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AMBUQ\Downloads\"/>
    </mc:Choice>
  </mc:AlternateContent>
  <bookViews>
    <workbookView xWindow="0" yWindow="0" windowWidth="17925" windowHeight="9735" activeTab="5"/>
  </bookViews>
  <sheets>
    <sheet name="PRESC GENERAL" sheetId="1" r:id="rId1"/>
    <sheet name="Hoja1" sheetId="9" r:id="rId2"/>
    <sheet name="MEDI" sheetId="2" r:id="rId3"/>
    <sheet name="MEDI- Indi UNIRS" sheetId="3" r:id="rId4"/>
    <sheet name="PROC" sheetId="4" r:id="rId5"/>
    <sheet name="PROD NUTR" sheetId="5" r:id="rId6"/>
    <sheet name="SERV COMP" sheetId="6" r:id="rId7"/>
    <sheet name="DISP MEDI" sheetId="7" r:id="rId8"/>
    <sheet name="Worksheet 1" sheetId="8" r:id="rId9"/>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01" i="6" l="1"/>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5" i="3"/>
  <c r="A4" i="3"/>
  <c r="A3" i="3"/>
  <c r="A2" i="3"/>
  <c r="B701" i="2"/>
  <c r="B700" i="2"/>
  <c r="B699" i="2"/>
  <c r="B698" i="2"/>
  <c r="B697" i="2"/>
  <c r="B696" i="2"/>
  <c r="B695" i="2"/>
  <c r="B694" i="2"/>
  <c r="B693" i="2"/>
  <c r="B692" i="2"/>
  <c r="B691" i="2"/>
  <c r="B690" i="2"/>
  <c r="B689" i="2"/>
  <c r="B688" i="2"/>
  <c r="B687" i="2"/>
  <c r="B686" i="2"/>
  <c r="B685" i="2"/>
  <c r="B684" i="2"/>
  <c r="B683" i="2"/>
  <c r="B682" i="2"/>
  <c r="B681" i="2"/>
  <c r="B680" i="2"/>
  <c r="B679" i="2"/>
  <c r="B678" i="2"/>
  <c r="B677" i="2"/>
  <c r="B676" i="2"/>
  <c r="B675" i="2"/>
  <c r="B674" i="2"/>
  <c r="B673" i="2"/>
  <c r="B672" i="2"/>
  <c r="B671" i="2"/>
  <c r="B670" i="2"/>
  <c r="B669" i="2"/>
  <c r="B668" i="2"/>
  <c r="B667" i="2"/>
  <c r="B666" i="2"/>
  <c r="B665" i="2"/>
  <c r="B664" i="2"/>
  <c r="B663" i="2"/>
  <c r="B662" i="2"/>
  <c r="B661" i="2"/>
  <c r="B660" i="2"/>
  <c r="B659" i="2"/>
  <c r="B658" i="2"/>
  <c r="B657" i="2"/>
  <c r="B656" i="2"/>
  <c r="B655" i="2"/>
  <c r="B654" i="2"/>
  <c r="B653" i="2"/>
  <c r="B652" i="2"/>
  <c r="B651" i="2"/>
  <c r="B650" i="2"/>
  <c r="B649" i="2"/>
  <c r="B648" i="2"/>
  <c r="B647" i="2"/>
  <c r="B646" i="2"/>
  <c r="B645" i="2"/>
  <c r="B644" i="2"/>
  <c r="B643" i="2"/>
  <c r="B642" i="2"/>
  <c r="B641" i="2"/>
  <c r="B640" i="2"/>
  <c r="B639" i="2"/>
  <c r="B638" i="2"/>
  <c r="B637" i="2"/>
  <c r="B636" i="2"/>
  <c r="B635" i="2"/>
  <c r="B634" i="2"/>
  <c r="B633" i="2"/>
  <c r="B632" i="2"/>
  <c r="B631" i="2"/>
  <c r="B630" i="2"/>
  <c r="B629" i="2"/>
  <c r="B628" i="2"/>
  <c r="B627" i="2"/>
  <c r="B626" i="2"/>
  <c r="B625" i="2"/>
  <c r="B624" i="2"/>
  <c r="B623" i="2"/>
  <c r="B622" i="2"/>
  <c r="B621" i="2"/>
  <c r="B620" i="2"/>
  <c r="B619" i="2"/>
  <c r="B618" i="2"/>
  <c r="B617" i="2"/>
  <c r="B616" i="2"/>
  <c r="B615" i="2"/>
  <c r="B614" i="2"/>
  <c r="B613" i="2"/>
  <c r="B612" i="2"/>
  <c r="B611" i="2"/>
  <c r="B610" i="2"/>
  <c r="B609" i="2"/>
  <c r="B608" i="2"/>
  <c r="B607" i="2"/>
  <c r="B606" i="2"/>
  <c r="B605" i="2"/>
  <c r="B604" i="2"/>
  <c r="B603" i="2"/>
  <c r="B602" i="2"/>
  <c r="B601" i="2"/>
  <c r="B600" i="2"/>
  <c r="B599" i="2"/>
  <c r="B598" i="2"/>
  <c r="B597" i="2"/>
  <c r="B596" i="2"/>
  <c r="B595" i="2"/>
  <c r="B594" i="2"/>
  <c r="B593" i="2"/>
  <c r="B592" i="2"/>
  <c r="B591" i="2"/>
  <c r="B590" i="2"/>
  <c r="B589" i="2"/>
  <c r="B588" i="2"/>
  <c r="B587" i="2"/>
  <c r="B586" i="2"/>
  <c r="B585" i="2"/>
  <c r="B584" i="2"/>
  <c r="B583" i="2"/>
  <c r="B582" i="2"/>
  <c r="B581" i="2"/>
  <c r="B580" i="2"/>
  <c r="B579" i="2"/>
  <c r="B578" i="2"/>
  <c r="B577" i="2"/>
  <c r="B576" i="2"/>
  <c r="B575" i="2"/>
  <c r="B574" i="2"/>
  <c r="B573" i="2"/>
  <c r="B572" i="2"/>
  <c r="B571" i="2"/>
  <c r="B570" i="2"/>
  <c r="B569" i="2"/>
  <c r="B568" i="2"/>
  <c r="B567" i="2"/>
  <c r="B566" i="2"/>
  <c r="B565" i="2"/>
  <c r="B564" i="2"/>
  <c r="B563" i="2"/>
  <c r="B562" i="2"/>
  <c r="B561" i="2"/>
  <c r="B560" i="2"/>
  <c r="B559" i="2"/>
  <c r="B558" i="2"/>
  <c r="B557" i="2"/>
  <c r="B556" i="2"/>
  <c r="B555" i="2"/>
  <c r="B554" i="2"/>
  <c r="B553" i="2"/>
  <c r="B552" i="2"/>
  <c r="B551" i="2"/>
  <c r="B550" i="2"/>
  <c r="B549" i="2"/>
  <c r="B548" i="2"/>
  <c r="B547" i="2"/>
  <c r="B546" i="2"/>
  <c r="B545" i="2"/>
  <c r="B544" i="2"/>
  <c r="B543" i="2"/>
  <c r="B542" i="2"/>
  <c r="B541" i="2"/>
  <c r="B540" i="2"/>
  <c r="B539" i="2"/>
  <c r="B538" i="2"/>
  <c r="B537" i="2"/>
  <c r="B536" i="2"/>
  <c r="B535" i="2"/>
  <c r="B534" i="2"/>
  <c r="B533" i="2"/>
  <c r="B532" i="2"/>
  <c r="B531" i="2"/>
  <c r="B530" i="2"/>
  <c r="B529" i="2"/>
  <c r="B528" i="2"/>
  <c r="B527" i="2"/>
  <c r="B526" i="2"/>
  <c r="B525" i="2"/>
  <c r="B524" i="2"/>
  <c r="B523" i="2"/>
  <c r="B522" i="2"/>
  <c r="B521" i="2"/>
  <c r="B520" i="2"/>
  <c r="B519" i="2"/>
  <c r="B518" i="2"/>
  <c r="B517" i="2"/>
  <c r="B516" i="2"/>
  <c r="B515" i="2"/>
  <c r="B514" i="2"/>
  <c r="B513" i="2"/>
  <c r="B512" i="2"/>
  <c r="B511" i="2"/>
  <c r="B510" i="2"/>
  <c r="B509" i="2"/>
  <c r="B508" i="2"/>
  <c r="B507" i="2"/>
  <c r="B506" i="2"/>
  <c r="B505" i="2"/>
  <c r="B504" i="2"/>
  <c r="B503" i="2"/>
  <c r="B502" i="2"/>
  <c r="B501" i="2"/>
  <c r="B500" i="2"/>
  <c r="B499" i="2"/>
  <c r="B498" i="2"/>
  <c r="B497" i="2"/>
  <c r="B496" i="2"/>
  <c r="B495" i="2"/>
  <c r="B494" i="2"/>
  <c r="B493" i="2"/>
  <c r="B492" i="2"/>
  <c r="B491" i="2"/>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E891" i="1"/>
  <c r="A891" i="1"/>
  <c r="E890" i="1"/>
  <c r="A890" i="1"/>
  <c r="E889" i="1"/>
  <c r="A889" i="1"/>
  <c r="E888" i="1"/>
  <c r="A888" i="1"/>
  <c r="E887" i="1"/>
  <c r="A887" i="1"/>
  <c r="E886" i="1"/>
  <c r="A886" i="1"/>
  <c r="E885" i="1"/>
  <c r="A885" i="1"/>
  <c r="E884" i="1"/>
  <c r="A884" i="1"/>
  <c r="E883" i="1"/>
  <c r="A883" i="1"/>
  <c r="E882" i="1"/>
  <c r="A882" i="1"/>
  <c r="E881" i="1"/>
  <c r="A881" i="1"/>
  <c r="E880" i="1"/>
  <c r="A880" i="1"/>
  <c r="E879" i="1"/>
  <c r="A879" i="1"/>
  <c r="E878" i="1"/>
  <c r="A878" i="1"/>
  <c r="E877" i="1"/>
  <c r="A877" i="1"/>
  <c r="E876" i="1"/>
  <c r="A876" i="1"/>
  <c r="E875" i="1"/>
  <c r="A875" i="1"/>
  <c r="E874" i="1"/>
  <c r="A874" i="1"/>
  <c r="E873" i="1"/>
  <c r="A873" i="1"/>
  <c r="E872" i="1"/>
  <c r="A872" i="1"/>
  <c r="E871" i="1"/>
  <c r="A871" i="1"/>
  <c r="E870" i="1"/>
  <c r="A870" i="1"/>
  <c r="E869" i="1"/>
  <c r="A869" i="1"/>
  <c r="E868" i="1"/>
  <c r="A868" i="1"/>
  <c r="E867" i="1"/>
  <c r="A867" i="1"/>
  <c r="E866" i="1"/>
  <c r="A866" i="1"/>
  <c r="E865" i="1"/>
  <c r="A865" i="1"/>
  <c r="E864" i="1"/>
  <c r="A864" i="1"/>
  <c r="E863" i="1"/>
  <c r="A863" i="1"/>
  <c r="E862" i="1"/>
  <c r="A862" i="1"/>
  <c r="E861" i="1"/>
  <c r="A861" i="1"/>
  <c r="E860" i="1"/>
  <c r="A860" i="1"/>
  <c r="E859" i="1"/>
  <c r="A859" i="1"/>
  <c r="E858" i="1"/>
  <c r="A858" i="1"/>
  <c r="E857" i="1"/>
  <c r="A857" i="1"/>
  <c r="E856" i="1"/>
  <c r="A856" i="1"/>
  <c r="E855" i="1"/>
  <c r="A855" i="1"/>
  <c r="E854" i="1"/>
  <c r="A854" i="1"/>
  <c r="E853" i="1"/>
  <c r="A853" i="1"/>
  <c r="E852" i="1"/>
  <c r="A852" i="1"/>
  <c r="E851" i="1"/>
  <c r="A851" i="1"/>
  <c r="E850" i="1"/>
  <c r="A850" i="1"/>
  <c r="E849" i="1"/>
  <c r="A849" i="1"/>
  <c r="E848" i="1"/>
  <c r="A848" i="1"/>
  <c r="E847" i="1"/>
  <c r="A847" i="1"/>
  <c r="E846" i="1"/>
  <c r="A846" i="1"/>
  <c r="E845" i="1"/>
  <c r="A845" i="1"/>
  <c r="E844" i="1"/>
  <c r="A844" i="1"/>
  <c r="E843" i="1"/>
  <c r="A843" i="1"/>
  <c r="E842" i="1"/>
  <c r="A842" i="1"/>
  <c r="E841" i="1"/>
  <c r="A841" i="1"/>
  <c r="E840" i="1"/>
  <c r="A840" i="1"/>
  <c r="E839" i="1"/>
  <c r="A839" i="1"/>
  <c r="E838" i="1"/>
  <c r="A838" i="1"/>
  <c r="E837" i="1"/>
  <c r="A837" i="1"/>
  <c r="E836" i="1"/>
  <c r="A836" i="1"/>
  <c r="E835" i="1"/>
  <c r="A835" i="1"/>
  <c r="E834" i="1"/>
  <c r="A834" i="1"/>
  <c r="E833" i="1"/>
  <c r="A833" i="1"/>
  <c r="E832" i="1"/>
  <c r="A832" i="1"/>
  <c r="E831" i="1"/>
  <c r="A831" i="1"/>
  <c r="E830" i="1"/>
  <c r="A830" i="1"/>
  <c r="E829" i="1"/>
  <c r="A829" i="1"/>
  <c r="E828" i="1"/>
  <c r="A828" i="1"/>
  <c r="E827" i="1"/>
  <c r="A827" i="1"/>
  <c r="E826" i="1"/>
  <c r="A826" i="1"/>
  <c r="E825" i="1"/>
  <c r="A825" i="1"/>
  <c r="E824" i="1"/>
  <c r="A824" i="1"/>
  <c r="E823" i="1"/>
  <c r="A823" i="1"/>
  <c r="E822" i="1"/>
  <c r="A822" i="1"/>
  <c r="E821" i="1"/>
  <c r="A821" i="1"/>
  <c r="E820" i="1"/>
  <c r="A820" i="1"/>
  <c r="E819" i="1"/>
  <c r="A819" i="1"/>
  <c r="E818" i="1"/>
  <c r="A818" i="1"/>
  <c r="E817" i="1"/>
  <c r="A817" i="1"/>
  <c r="E816" i="1"/>
  <c r="A816" i="1"/>
  <c r="E815" i="1"/>
  <c r="A815" i="1"/>
  <c r="E814" i="1"/>
  <c r="A814" i="1"/>
  <c r="E813" i="1"/>
  <c r="A813" i="1"/>
  <c r="E812" i="1"/>
  <c r="A812" i="1"/>
  <c r="E811" i="1"/>
  <c r="A811" i="1"/>
  <c r="E810" i="1"/>
  <c r="A810" i="1"/>
  <c r="E809" i="1"/>
  <c r="A809" i="1"/>
  <c r="E808" i="1"/>
  <c r="A808" i="1"/>
  <c r="E807" i="1"/>
  <c r="A807" i="1"/>
  <c r="E806" i="1"/>
  <c r="A806" i="1"/>
  <c r="E805" i="1"/>
  <c r="A805" i="1"/>
  <c r="E804" i="1"/>
  <c r="A804" i="1"/>
  <c r="E803" i="1"/>
  <c r="A803" i="1"/>
  <c r="E802" i="1"/>
  <c r="A802" i="1"/>
  <c r="E801" i="1"/>
  <c r="A801" i="1"/>
  <c r="E800" i="1"/>
  <c r="A800" i="1"/>
  <c r="E799" i="1"/>
  <c r="A799" i="1"/>
  <c r="E798" i="1"/>
  <c r="A798" i="1"/>
  <c r="E797" i="1"/>
  <c r="A797" i="1"/>
  <c r="E796" i="1"/>
  <c r="A796" i="1"/>
  <c r="E795" i="1"/>
  <c r="A795" i="1"/>
  <c r="E794" i="1"/>
  <c r="A794" i="1"/>
  <c r="E793" i="1"/>
  <c r="A793" i="1"/>
  <c r="E792" i="1"/>
  <c r="A792" i="1"/>
  <c r="E791" i="1"/>
  <c r="A791" i="1"/>
  <c r="E790" i="1"/>
  <c r="A790" i="1"/>
  <c r="E789" i="1"/>
  <c r="A789" i="1"/>
  <c r="E788" i="1"/>
  <c r="A788" i="1"/>
  <c r="E787" i="1"/>
  <c r="A787" i="1"/>
  <c r="E786" i="1"/>
  <c r="A786" i="1"/>
  <c r="E785" i="1"/>
  <c r="A785" i="1"/>
  <c r="E784" i="1"/>
  <c r="A784" i="1"/>
  <c r="E783" i="1"/>
  <c r="A783" i="1"/>
  <c r="E782" i="1"/>
  <c r="A782" i="1"/>
  <c r="E781" i="1"/>
  <c r="A781" i="1"/>
  <c r="E780" i="1"/>
  <c r="A780" i="1"/>
  <c r="E779" i="1"/>
  <c r="A779" i="1"/>
  <c r="E778" i="1"/>
  <c r="A778" i="1"/>
  <c r="E777" i="1"/>
  <c r="A777" i="1"/>
  <c r="E776" i="1"/>
  <c r="A776" i="1"/>
  <c r="E775" i="1"/>
  <c r="A775" i="1"/>
  <c r="E774" i="1"/>
  <c r="A774" i="1"/>
  <c r="E773" i="1"/>
  <c r="A773" i="1"/>
  <c r="E772" i="1"/>
  <c r="A772" i="1"/>
  <c r="E771" i="1"/>
  <c r="A771" i="1"/>
  <c r="E770" i="1"/>
  <c r="A770" i="1"/>
  <c r="E769" i="1"/>
  <c r="A769" i="1"/>
  <c r="E768" i="1"/>
  <c r="A768" i="1"/>
  <c r="E767" i="1"/>
  <c r="A767" i="1"/>
  <c r="E766" i="1"/>
  <c r="A766" i="1"/>
  <c r="E765" i="1"/>
  <c r="A765" i="1"/>
  <c r="E764" i="1"/>
  <c r="A764" i="1"/>
  <c r="E763" i="1"/>
  <c r="A763" i="1"/>
  <c r="E762" i="1"/>
  <c r="A762" i="1"/>
  <c r="E761" i="1"/>
  <c r="A761" i="1"/>
  <c r="E760" i="1"/>
  <c r="A760" i="1"/>
  <c r="E759" i="1"/>
  <c r="A759" i="1"/>
  <c r="E758" i="1"/>
  <c r="A758" i="1"/>
  <c r="E757" i="1"/>
  <c r="A757" i="1"/>
  <c r="E756" i="1"/>
  <c r="A756" i="1"/>
  <c r="E755" i="1"/>
  <c r="A755" i="1"/>
  <c r="E754" i="1"/>
  <c r="A754" i="1"/>
  <c r="E753" i="1"/>
  <c r="A753" i="1"/>
  <c r="E752" i="1"/>
  <c r="A752" i="1"/>
  <c r="E751" i="1"/>
  <c r="A751" i="1"/>
  <c r="E750" i="1"/>
  <c r="A750" i="1"/>
  <c r="E749" i="1"/>
  <c r="A749" i="1"/>
  <c r="E748" i="1"/>
  <c r="A748" i="1"/>
  <c r="E747" i="1"/>
  <c r="A747" i="1"/>
  <c r="E746" i="1"/>
  <c r="A746" i="1"/>
  <c r="E745" i="1"/>
  <c r="A745" i="1"/>
  <c r="E744" i="1"/>
  <c r="A744" i="1"/>
  <c r="E743" i="1"/>
  <c r="A743" i="1"/>
  <c r="E742" i="1"/>
  <c r="A742" i="1"/>
  <c r="E741" i="1"/>
  <c r="A741" i="1"/>
  <c r="E740" i="1"/>
  <c r="A740" i="1"/>
  <c r="E739" i="1"/>
  <c r="A739" i="1"/>
  <c r="E738" i="1"/>
  <c r="A738" i="1"/>
  <c r="E737" i="1"/>
  <c r="A737" i="1"/>
  <c r="E736" i="1"/>
  <c r="A736" i="1"/>
  <c r="E735" i="1"/>
  <c r="A735" i="1"/>
  <c r="E734" i="1"/>
  <c r="A734" i="1"/>
  <c r="E733" i="1"/>
  <c r="A733" i="1"/>
  <c r="E732" i="1"/>
  <c r="A732" i="1"/>
  <c r="E731" i="1"/>
  <c r="A731" i="1"/>
  <c r="E730" i="1"/>
  <c r="A730" i="1"/>
  <c r="E729" i="1"/>
  <c r="A729" i="1"/>
  <c r="E728" i="1"/>
  <c r="A728" i="1"/>
  <c r="E727" i="1"/>
  <c r="A727" i="1"/>
  <c r="E726" i="1"/>
  <c r="A726" i="1"/>
  <c r="E725" i="1"/>
  <c r="A725" i="1"/>
  <c r="E724" i="1"/>
  <c r="A724" i="1"/>
  <c r="E723" i="1"/>
  <c r="A723" i="1"/>
  <c r="E722" i="1"/>
  <c r="A722" i="1"/>
  <c r="E721" i="1"/>
  <c r="A721" i="1"/>
  <c r="E720" i="1"/>
  <c r="A720" i="1"/>
  <c r="E719" i="1"/>
  <c r="A719" i="1"/>
  <c r="E718" i="1"/>
  <c r="A718" i="1"/>
  <c r="E717" i="1"/>
  <c r="A717" i="1"/>
  <c r="E716" i="1"/>
  <c r="A716" i="1"/>
  <c r="E715" i="1"/>
  <c r="A715" i="1"/>
  <c r="E714" i="1"/>
  <c r="A714" i="1"/>
  <c r="E713" i="1"/>
  <c r="A713" i="1"/>
  <c r="E712" i="1"/>
  <c r="A712" i="1"/>
  <c r="E711" i="1"/>
  <c r="A711" i="1"/>
  <c r="E710" i="1"/>
  <c r="A710" i="1"/>
  <c r="E709" i="1"/>
  <c r="A709" i="1"/>
  <c r="E708" i="1"/>
  <c r="A708" i="1"/>
  <c r="E707" i="1"/>
  <c r="A707" i="1"/>
  <c r="E706" i="1"/>
  <c r="A706" i="1"/>
  <c r="E705" i="1"/>
  <c r="A705" i="1"/>
  <c r="E704" i="1"/>
  <c r="A704" i="1"/>
  <c r="E703" i="1"/>
  <c r="A703" i="1"/>
  <c r="E702" i="1"/>
  <c r="A702" i="1"/>
  <c r="E701" i="1"/>
  <c r="A701" i="1"/>
  <c r="E700" i="1"/>
  <c r="A700" i="1"/>
  <c r="E699" i="1"/>
  <c r="A699" i="1"/>
  <c r="E698" i="1"/>
  <c r="A698" i="1"/>
  <c r="E697" i="1"/>
  <c r="A697" i="1"/>
  <c r="E696" i="1"/>
  <c r="A696" i="1"/>
  <c r="E695" i="1"/>
  <c r="A695" i="1"/>
  <c r="E694" i="1"/>
  <c r="A694" i="1"/>
  <c r="E693" i="1"/>
  <c r="A693" i="1"/>
  <c r="E692" i="1"/>
  <c r="A692" i="1"/>
  <c r="E691" i="1"/>
  <c r="A691" i="1"/>
  <c r="E690" i="1"/>
  <c r="A690" i="1"/>
  <c r="E689" i="1"/>
  <c r="A689" i="1"/>
  <c r="E688" i="1"/>
  <c r="A688" i="1"/>
  <c r="E687" i="1"/>
  <c r="A687" i="1"/>
  <c r="E686" i="1"/>
  <c r="A686" i="1"/>
  <c r="E685" i="1"/>
  <c r="A685" i="1"/>
  <c r="E684" i="1"/>
  <c r="A684" i="1"/>
  <c r="E683" i="1"/>
  <c r="A683" i="1"/>
  <c r="E682" i="1"/>
  <c r="A682" i="1"/>
  <c r="E681" i="1"/>
  <c r="A681" i="1"/>
  <c r="E680" i="1"/>
  <c r="A680" i="1"/>
  <c r="E679" i="1"/>
  <c r="A679" i="1"/>
  <c r="E678" i="1"/>
  <c r="A678" i="1"/>
  <c r="E677" i="1"/>
  <c r="A677" i="1"/>
  <c r="E676" i="1"/>
  <c r="A676" i="1"/>
  <c r="E675" i="1"/>
  <c r="A675" i="1"/>
  <c r="E674" i="1"/>
  <c r="A674" i="1"/>
  <c r="E673" i="1"/>
  <c r="A673" i="1"/>
  <c r="E672" i="1"/>
  <c r="A672" i="1"/>
  <c r="E671" i="1"/>
  <c r="A671" i="1"/>
  <c r="E670" i="1"/>
  <c r="A670" i="1"/>
  <c r="E669" i="1"/>
  <c r="A669" i="1"/>
  <c r="E668" i="1"/>
  <c r="A668" i="1"/>
  <c r="E667" i="1"/>
  <c r="A667" i="1"/>
  <c r="E666" i="1"/>
  <c r="A666" i="1"/>
  <c r="E665" i="1"/>
  <c r="A665" i="1"/>
  <c r="E664" i="1"/>
  <c r="A664" i="1"/>
  <c r="E663" i="1"/>
  <c r="A663" i="1"/>
  <c r="E662" i="1"/>
  <c r="A662" i="1"/>
  <c r="E661" i="1"/>
  <c r="A661" i="1"/>
  <c r="E660" i="1"/>
  <c r="A660" i="1"/>
  <c r="E659" i="1"/>
  <c r="A659" i="1"/>
  <c r="E658" i="1"/>
  <c r="A658" i="1"/>
  <c r="E657" i="1"/>
  <c r="A657" i="1"/>
  <c r="E656" i="1"/>
  <c r="A656" i="1"/>
  <c r="E655" i="1"/>
  <c r="A655" i="1"/>
  <c r="E654" i="1"/>
  <c r="A654" i="1"/>
  <c r="E653" i="1"/>
  <c r="A653" i="1"/>
  <c r="E652" i="1"/>
  <c r="A652" i="1"/>
  <c r="E651" i="1"/>
  <c r="A651" i="1"/>
  <c r="E650" i="1"/>
  <c r="A650" i="1"/>
  <c r="E649" i="1"/>
  <c r="A649" i="1"/>
  <c r="E648" i="1"/>
  <c r="A648" i="1"/>
  <c r="E647" i="1"/>
  <c r="A647" i="1"/>
  <c r="E646" i="1"/>
  <c r="A646" i="1"/>
  <c r="E645" i="1"/>
  <c r="A645" i="1"/>
  <c r="E644" i="1"/>
  <c r="A644" i="1"/>
  <c r="E643" i="1"/>
  <c r="A643" i="1"/>
  <c r="E642" i="1"/>
  <c r="A642" i="1"/>
  <c r="E641" i="1"/>
  <c r="A641" i="1"/>
  <c r="E640" i="1"/>
  <c r="A640" i="1"/>
  <c r="E639" i="1"/>
  <c r="A639" i="1"/>
  <c r="E638" i="1"/>
  <c r="A638" i="1"/>
  <c r="E637" i="1"/>
  <c r="A637" i="1"/>
  <c r="E636" i="1"/>
  <c r="A636" i="1"/>
  <c r="E635" i="1"/>
  <c r="A635" i="1"/>
  <c r="E634" i="1"/>
  <c r="A634" i="1"/>
  <c r="E633" i="1"/>
  <c r="A633" i="1"/>
  <c r="E632" i="1"/>
  <c r="A632" i="1"/>
  <c r="E631" i="1"/>
  <c r="A631" i="1"/>
  <c r="E630" i="1"/>
  <c r="A630" i="1"/>
  <c r="E629" i="1"/>
  <c r="A629" i="1"/>
  <c r="E628" i="1"/>
  <c r="A628" i="1"/>
  <c r="E627" i="1"/>
  <c r="A627" i="1"/>
  <c r="E626" i="1"/>
  <c r="A626" i="1"/>
  <c r="E625" i="1"/>
  <c r="A625" i="1"/>
  <c r="E624" i="1"/>
  <c r="A624" i="1"/>
  <c r="E623" i="1"/>
  <c r="A623" i="1"/>
  <c r="E622" i="1"/>
  <c r="A622" i="1"/>
  <c r="E621" i="1"/>
  <c r="A621" i="1"/>
  <c r="E620" i="1"/>
  <c r="A620" i="1"/>
  <c r="E619" i="1"/>
  <c r="A619" i="1"/>
  <c r="E618" i="1"/>
  <c r="A618" i="1"/>
  <c r="E617" i="1"/>
  <c r="A617" i="1"/>
  <c r="E616" i="1"/>
  <c r="A616" i="1"/>
  <c r="E615" i="1"/>
  <c r="A615" i="1"/>
  <c r="E614" i="1"/>
  <c r="A614" i="1"/>
  <c r="E613" i="1"/>
  <c r="A613" i="1"/>
  <c r="E612" i="1"/>
  <c r="A612" i="1"/>
  <c r="E611" i="1"/>
  <c r="A611" i="1"/>
  <c r="E610" i="1"/>
  <c r="A610" i="1"/>
  <c r="E609" i="1"/>
  <c r="A609" i="1"/>
  <c r="E608" i="1"/>
  <c r="A608" i="1"/>
  <c r="E607" i="1"/>
  <c r="A607" i="1"/>
  <c r="E606" i="1"/>
  <c r="A606" i="1"/>
  <c r="E605" i="1"/>
  <c r="A605" i="1"/>
  <c r="E604" i="1"/>
  <c r="A604" i="1"/>
  <c r="E603" i="1"/>
  <c r="A603" i="1"/>
  <c r="E602" i="1"/>
  <c r="A602" i="1"/>
  <c r="E601" i="1"/>
  <c r="A601" i="1"/>
  <c r="E600" i="1"/>
  <c r="A600" i="1"/>
  <c r="E599" i="1"/>
  <c r="A599" i="1"/>
  <c r="E598" i="1"/>
  <c r="A598" i="1"/>
  <c r="E597" i="1"/>
  <c r="A597" i="1"/>
  <c r="E596" i="1"/>
  <c r="A596" i="1"/>
  <c r="E595" i="1"/>
  <c r="A595" i="1"/>
  <c r="E594" i="1"/>
  <c r="A594" i="1"/>
  <c r="E593" i="1"/>
  <c r="A593" i="1"/>
  <c r="E592" i="1"/>
  <c r="A592" i="1"/>
  <c r="E591" i="1"/>
  <c r="A591" i="1"/>
  <c r="E590" i="1"/>
  <c r="A590" i="1"/>
  <c r="E589" i="1"/>
  <c r="A589" i="1"/>
  <c r="E588" i="1"/>
  <c r="A588" i="1"/>
  <c r="E587" i="1"/>
  <c r="A587" i="1"/>
  <c r="E586" i="1"/>
  <c r="A586" i="1"/>
  <c r="E585" i="1"/>
  <c r="A585" i="1"/>
  <c r="E584" i="1"/>
  <c r="A584" i="1"/>
  <c r="E583" i="1"/>
  <c r="A583" i="1"/>
  <c r="E582" i="1"/>
  <c r="A582" i="1"/>
  <c r="E581" i="1"/>
  <c r="A581" i="1"/>
  <c r="E580" i="1"/>
  <c r="A580" i="1"/>
  <c r="E579" i="1"/>
  <c r="A579" i="1"/>
  <c r="E578" i="1"/>
  <c r="A578" i="1"/>
  <c r="E577" i="1"/>
  <c r="A577" i="1"/>
  <c r="E576" i="1"/>
  <c r="A576" i="1"/>
  <c r="E575" i="1"/>
  <c r="A575" i="1"/>
  <c r="E574" i="1"/>
  <c r="A574" i="1"/>
  <c r="E573" i="1"/>
  <c r="A573" i="1"/>
  <c r="E572" i="1"/>
  <c r="A572" i="1"/>
  <c r="E571" i="1"/>
  <c r="A571" i="1"/>
  <c r="E570" i="1"/>
  <c r="A570" i="1"/>
  <c r="E569" i="1"/>
  <c r="A569" i="1"/>
  <c r="E568" i="1"/>
  <c r="A568" i="1"/>
  <c r="E567" i="1"/>
  <c r="A567" i="1"/>
  <c r="E566" i="1"/>
  <c r="A566" i="1"/>
  <c r="E565" i="1"/>
  <c r="A565" i="1"/>
  <c r="E564" i="1"/>
  <c r="A564" i="1"/>
  <c r="E563" i="1"/>
  <c r="A563" i="1"/>
  <c r="E562" i="1"/>
  <c r="A562" i="1"/>
  <c r="E561" i="1"/>
  <c r="A561" i="1"/>
  <c r="E560" i="1"/>
  <c r="A560" i="1"/>
  <c r="E559" i="1"/>
  <c r="A559" i="1"/>
  <c r="E558" i="1"/>
  <c r="A558" i="1"/>
  <c r="E557" i="1"/>
  <c r="A557" i="1"/>
  <c r="E556" i="1"/>
  <c r="A556" i="1"/>
  <c r="E555" i="1"/>
  <c r="A555" i="1"/>
  <c r="E554" i="1"/>
  <c r="A554" i="1"/>
  <c r="E553" i="1"/>
  <c r="A553" i="1"/>
  <c r="E552" i="1"/>
  <c r="A552" i="1"/>
  <c r="E551" i="1"/>
  <c r="A551" i="1"/>
  <c r="E550" i="1"/>
  <c r="A550" i="1"/>
  <c r="E549" i="1"/>
  <c r="A549" i="1"/>
  <c r="E548" i="1"/>
  <c r="A548" i="1"/>
  <c r="E547" i="1"/>
  <c r="A547" i="1"/>
  <c r="E546" i="1"/>
  <c r="A546" i="1"/>
  <c r="E545" i="1"/>
  <c r="A545" i="1"/>
  <c r="E544" i="1"/>
  <c r="A544" i="1"/>
  <c r="E543" i="1"/>
  <c r="A543" i="1"/>
  <c r="E542" i="1"/>
  <c r="A542" i="1"/>
  <c r="E541" i="1"/>
  <c r="A541" i="1"/>
  <c r="E540" i="1"/>
  <c r="A540" i="1"/>
  <c r="E539" i="1"/>
  <c r="A539" i="1"/>
  <c r="E538" i="1"/>
  <c r="A538" i="1"/>
  <c r="E537" i="1"/>
  <c r="A537" i="1"/>
  <c r="E536" i="1"/>
  <c r="A536" i="1"/>
  <c r="E535" i="1"/>
  <c r="A535" i="1"/>
  <c r="E534" i="1"/>
  <c r="A534" i="1"/>
  <c r="E533" i="1"/>
  <c r="A533" i="1"/>
  <c r="E532" i="1"/>
  <c r="A532" i="1"/>
  <c r="E531" i="1"/>
  <c r="A531" i="1"/>
  <c r="E530" i="1"/>
  <c r="A530" i="1"/>
  <c r="E529" i="1"/>
  <c r="A529" i="1"/>
  <c r="E528" i="1"/>
  <c r="A528" i="1"/>
  <c r="E527" i="1"/>
  <c r="A527" i="1"/>
  <c r="E526" i="1"/>
  <c r="A526" i="1"/>
  <c r="E525" i="1"/>
  <c r="A525" i="1"/>
  <c r="E524" i="1"/>
  <c r="A524" i="1"/>
  <c r="E523" i="1"/>
  <c r="A523" i="1"/>
  <c r="E522" i="1"/>
  <c r="A522" i="1"/>
  <c r="E521" i="1"/>
  <c r="A521" i="1"/>
  <c r="E520" i="1"/>
  <c r="A520" i="1"/>
  <c r="E519" i="1"/>
  <c r="A519" i="1"/>
  <c r="E518" i="1"/>
  <c r="A518" i="1"/>
  <c r="E517" i="1"/>
  <c r="A517" i="1"/>
  <c r="E516" i="1"/>
  <c r="A516" i="1"/>
  <c r="E515" i="1"/>
  <c r="A515" i="1"/>
  <c r="E514" i="1"/>
  <c r="A514" i="1"/>
  <c r="E513" i="1"/>
  <c r="A513" i="1"/>
  <c r="E512" i="1"/>
  <c r="A512" i="1"/>
  <c r="E511" i="1"/>
  <c r="A511" i="1"/>
  <c r="E510" i="1"/>
  <c r="A510" i="1"/>
  <c r="E509" i="1"/>
  <c r="A509" i="1"/>
  <c r="E508" i="1"/>
  <c r="A508" i="1"/>
  <c r="E507" i="1"/>
  <c r="A507" i="1"/>
  <c r="E506" i="1"/>
  <c r="A506" i="1"/>
  <c r="E505" i="1"/>
  <c r="A505" i="1"/>
  <c r="E504" i="1"/>
  <c r="A504" i="1"/>
  <c r="E503" i="1"/>
  <c r="A503" i="1"/>
  <c r="E502" i="1"/>
  <c r="A502" i="1"/>
  <c r="E501" i="1"/>
  <c r="A501" i="1"/>
  <c r="E500" i="1"/>
  <c r="A500" i="1"/>
  <c r="E499" i="1"/>
  <c r="A499" i="1"/>
  <c r="E498" i="1"/>
  <c r="A498" i="1"/>
  <c r="E497" i="1"/>
  <c r="A497" i="1"/>
  <c r="E496" i="1"/>
  <c r="A496" i="1"/>
  <c r="E495" i="1"/>
  <c r="A495" i="1"/>
  <c r="E494" i="1"/>
  <c r="A494" i="1"/>
  <c r="E493" i="1"/>
  <c r="A493" i="1"/>
  <c r="E492" i="1"/>
  <c r="A492" i="1"/>
  <c r="E491" i="1"/>
  <c r="A491" i="1"/>
  <c r="E490" i="1"/>
  <c r="A490" i="1"/>
  <c r="E489" i="1"/>
  <c r="A489" i="1"/>
  <c r="E488" i="1"/>
  <c r="A488" i="1"/>
  <c r="E487" i="1"/>
  <c r="A487" i="1"/>
  <c r="E486" i="1"/>
  <c r="A486" i="1"/>
  <c r="E485" i="1"/>
  <c r="A485" i="1"/>
  <c r="E484" i="1"/>
  <c r="A484" i="1"/>
  <c r="E483" i="1"/>
  <c r="A483" i="1"/>
  <c r="E482" i="1"/>
  <c r="A482" i="1"/>
  <c r="E481" i="1"/>
  <c r="A481" i="1"/>
  <c r="E480" i="1"/>
  <c r="A480" i="1"/>
  <c r="E479" i="1"/>
  <c r="A479" i="1"/>
  <c r="E478" i="1"/>
  <c r="A478" i="1"/>
  <c r="E477" i="1"/>
  <c r="A477" i="1"/>
  <c r="E476" i="1"/>
  <c r="A476" i="1"/>
  <c r="E475" i="1"/>
  <c r="A475" i="1"/>
  <c r="E474" i="1"/>
  <c r="A474" i="1"/>
  <c r="E473" i="1"/>
  <c r="A473" i="1"/>
  <c r="E472" i="1"/>
  <c r="A472" i="1"/>
  <c r="E471" i="1"/>
  <c r="A471" i="1"/>
  <c r="E470" i="1"/>
  <c r="A470" i="1"/>
  <c r="E469" i="1"/>
  <c r="A469" i="1"/>
  <c r="E468" i="1"/>
  <c r="A468" i="1"/>
  <c r="E467" i="1"/>
  <c r="A467" i="1"/>
  <c r="E466" i="1"/>
  <c r="A466" i="1"/>
  <c r="E465" i="1"/>
  <c r="A465" i="1"/>
  <c r="E464" i="1"/>
  <c r="A464" i="1"/>
  <c r="E463" i="1"/>
  <c r="A463" i="1"/>
  <c r="E462" i="1"/>
  <c r="A462" i="1"/>
  <c r="E461" i="1"/>
  <c r="A461" i="1"/>
  <c r="E460" i="1"/>
  <c r="A460" i="1"/>
  <c r="E459" i="1"/>
  <c r="A459" i="1"/>
  <c r="E458" i="1"/>
  <c r="A458" i="1"/>
  <c r="E457" i="1"/>
  <c r="A457" i="1"/>
  <c r="E456" i="1"/>
  <c r="A456" i="1"/>
  <c r="E455" i="1"/>
  <c r="A455" i="1"/>
  <c r="E454" i="1"/>
  <c r="A454" i="1"/>
  <c r="E453" i="1"/>
  <c r="A453" i="1"/>
  <c r="E452" i="1"/>
  <c r="A452" i="1"/>
  <c r="E451" i="1"/>
  <c r="A451" i="1"/>
  <c r="E450" i="1"/>
  <c r="A450" i="1"/>
  <c r="E449" i="1"/>
  <c r="A449" i="1"/>
  <c r="E448" i="1"/>
  <c r="A448" i="1"/>
  <c r="E447" i="1"/>
  <c r="A447" i="1"/>
  <c r="E446" i="1"/>
  <c r="A446" i="1"/>
  <c r="E445" i="1"/>
  <c r="A445" i="1"/>
  <c r="E444" i="1"/>
  <c r="A444" i="1"/>
  <c r="E443" i="1"/>
  <c r="A443" i="1"/>
  <c r="E442" i="1"/>
  <c r="A442" i="1"/>
  <c r="E441" i="1"/>
  <c r="A441" i="1"/>
  <c r="E440" i="1"/>
  <c r="A440" i="1"/>
  <c r="E439" i="1"/>
  <c r="A439" i="1"/>
  <c r="E438" i="1"/>
  <c r="A438" i="1"/>
  <c r="E437" i="1"/>
  <c r="A437" i="1"/>
  <c r="E436" i="1"/>
  <c r="A436" i="1"/>
  <c r="E435" i="1"/>
  <c r="A435" i="1"/>
  <c r="E434" i="1"/>
  <c r="A434" i="1"/>
  <c r="E433" i="1"/>
  <c r="A433" i="1"/>
  <c r="E432" i="1"/>
  <c r="A432" i="1"/>
  <c r="E431" i="1"/>
  <c r="A431" i="1"/>
  <c r="E430" i="1"/>
  <c r="A430" i="1"/>
  <c r="E429" i="1"/>
  <c r="A429" i="1"/>
  <c r="E428" i="1"/>
  <c r="A428" i="1"/>
  <c r="E427" i="1"/>
  <c r="A427" i="1"/>
  <c r="E426" i="1"/>
  <c r="A426" i="1"/>
  <c r="E425" i="1"/>
  <c r="A425" i="1"/>
  <c r="E424" i="1"/>
  <c r="A424" i="1"/>
  <c r="E423" i="1"/>
  <c r="A423" i="1"/>
  <c r="E422" i="1"/>
  <c r="A422" i="1"/>
  <c r="E421" i="1"/>
  <c r="A421" i="1"/>
  <c r="E420" i="1"/>
  <c r="A420" i="1"/>
  <c r="E419" i="1"/>
  <c r="A419" i="1"/>
  <c r="E418" i="1"/>
  <c r="A418" i="1"/>
  <c r="E417" i="1"/>
  <c r="A417" i="1"/>
  <c r="E416" i="1"/>
  <c r="A416" i="1"/>
  <c r="E415" i="1"/>
  <c r="A415" i="1"/>
  <c r="E414" i="1"/>
  <c r="A414" i="1"/>
  <c r="E413" i="1"/>
  <c r="A413" i="1"/>
  <c r="E412" i="1"/>
  <c r="A412" i="1"/>
  <c r="E411" i="1"/>
  <c r="A411" i="1"/>
  <c r="E410" i="1"/>
  <c r="A410" i="1"/>
  <c r="E409" i="1"/>
  <c r="A409" i="1"/>
  <c r="E408" i="1"/>
  <c r="A408" i="1"/>
  <c r="E407" i="1"/>
  <c r="A407" i="1"/>
  <c r="E406" i="1"/>
  <c r="A406" i="1"/>
  <c r="E405" i="1"/>
  <c r="A405" i="1"/>
  <c r="E404" i="1"/>
  <c r="A404" i="1"/>
  <c r="E403" i="1"/>
  <c r="A403" i="1"/>
  <c r="E402" i="1"/>
  <c r="A402" i="1"/>
  <c r="E401" i="1"/>
  <c r="A401" i="1"/>
  <c r="E400" i="1"/>
  <c r="A400" i="1"/>
  <c r="E399" i="1"/>
  <c r="A399" i="1"/>
  <c r="E398" i="1"/>
  <c r="A398" i="1"/>
  <c r="E397" i="1"/>
  <c r="A397" i="1"/>
  <c r="E396" i="1"/>
  <c r="A396" i="1"/>
  <c r="E395" i="1"/>
  <c r="A395" i="1"/>
  <c r="E394" i="1"/>
  <c r="A394" i="1"/>
  <c r="E393" i="1"/>
  <c r="A393" i="1"/>
  <c r="E392" i="1"/>
  <c r="A392" i="1"/>
  <c r="E391" i="1"/>
  <c r="A391" i="1"/>
  <c r="E390" i="1"/>
  <c r="A390" i="1"/>
  <c r="E389" i="1"/>
  <c r="A389" i="1"/>
  <c r="E388" i="1"/>
  <c r="A388" i="1"/>
  <c r="E387" i="1"/>
  <c r="A387" i="1"/>
  <c r="E386" i="1"/>
  <c r="A386" i="1"/>
  <c r="E385" i="1"/>
  <c r="A385" i="1"/>
  <c r="E384" i="1"/>
  <c r="A384" i="1"/>
  <c r="E383" i="1"/>
  <c r="A383" i="1"/>
  <c r="E382" i="1"/>
  <c r="A382" i="1"/>
  <c r="E381" i="1"/>
  <c r="A381" i="1"/>
  <c r="E380" i="1"/>
  <c r="A380" i="1"/>
  <c r="E379" i="1"/>
  <c r="A379" i="1"/>
  <c r="E378" i="1"/>
  <c r="A378" i="1"/>
  <c r="E377" i="1"/>
  <c r="A377" i="1"/>
  <c r="E376" i="1"/>
  <c r="A376" i="1"/>
  <c r="E375" i="1"/>
  <c r="A375" i="1"/>
  <c r="E374" i="1"/>
  <c r="A374" i="1"/>
  <c r="E373" i="1"/>
  <c r="A373" i="1"/>
  <c r="E372" i="1"/>
  <c r="A372" i="1"/>
  <c r="E371" i="1"/>
  <c r="A371" i="1"/>
  <c r="E370" i="1"/>
  <c r="A370" i="1"/>
  <c r="E369" i="1"/>
  <c r="A369" i="1"/>
  <c r="E368" i="1"/>
  <c r="A368" i="1"/>
  <c r="E367" i="1"/>
  <c r="A367" i="1"/>
  <c r="E366" i="1"/>
  <c r="A366" i="1"/>
  <c r="E365" i="1"/>
  <c r="A365" i="1"/>
  <c r="E364" i="1"/>
  <c r="A364" i="1"/>
  <c r="E363" i="1"/>
  <c r="A363" i="1"/>
  <c r="E362" i="1"/>
  <c r="A362" i="1"/>
  <c r="E361" i="1"/>
  <c r="A361" i="1"/>
  <c r="E360" i="1"/>
  <c r="A360" i="1"/>
  <c r="E359" i="1"/>
  <c r="A359" i="1"/>
  <c r="E358" i="1"/>
  <c r="A358" i="1"/>
  <c r="E357" i="1"/>
  <c r="A357" i="1"/>
  <c r="E356" i="1"/>
  <c r="A356" i="1"/>
  <c r="E355" i="1"/>
  <c r="A355" i="1"/>
  <c r="E354" i="1"/>
  <c r="A354" i="1"/>
  <c r="E353" i="1"/>
  <c r="A353" i="1"/>
  <c r="E352" i="1"/>
  <c r="A352" i="1"/>
  <c r="E351" i="1"/>
  <c r="A351" i="1"/>
  <c r="E350" i="1"/>
  <c r="A350" i="1"/>
  <c r="E349" i="1"/>
  <c r="A349" i="1"/>
  <c r="E348" i="1"/>
  <c r="A348" i="1"/>
  <c r="E347" i="1"/>
  <c r="A347" i="1"/>
  <c r="E346" i="1"/>
  <c r="A346" i="1"/>
  <c r="E345" i="1"/>
  <c r="A345" i="1"/>
  <c r="E344" i="1"/>
  <c r="A344" i="1"/>
  <c r="E343" i="1"/>
  <c r="A343" i="1"/>
  <c r="E342" i="1"/>
  <c r="A342" i="1"/>
  <c r="E341" i="1"/>
  <c r="A341" i="1"/>
  <c r="E340" i="1"/>
  <c r="A340" i="1"/>
  <c r="E339" i="1"/>
  <c r="A339" i="1"/>
  <c r="E338" i="1"/>
  <c r="A338" i="1"/>
  <c r="E337" i="1"/>
  <c r="A337" i="1"/>
  <c r="E336" i="1"/>
  <c r="A336" i="1"/>
  <c r="E335" i="1"/>
  <c r="A335" i="1"/>
  <c r="E334" i="1"/>
  <c r="A334" i="1"/>
  <c r="E333" i="1"/>
  <c r="A333" i="1"/>
  <c r="E332" i="1"/>
  <c r="A332" i="1"/>
  <c r="E331" i="1"/>
  <c r="A331" i="1"/>
  <c r="E330" i="1"/>
  <c r="A330" i="1"/>
  <c r="E329" i="1"/>
  <c r="A329" i="1"/>
  <c r="E328" i="1"/>
  <c r="A328" i="1"/>
  <c r="E327" i="1"/>
  <c r="A327" i="1"/>
  <c r="E326" i="1"/>
  <c r="A326" i="1"/>
  <c r="E325" i="1"/>
  <c r="A325" i="1"/>
  <c r="E324" i="1"/>
  <c r="A324" i="1"/>
  <c r="E323" i="1"/>
  <c r="A323" i="1"/>
  <c r="E322" i="1"/>
  <c r="A322" i="1"/>
  <c r="E321" i="1"/>
  <c r="A321" i="1"/>
  <c r="E320" i="1"/>
  <c r="A320" i="1"/>
  <c r="E319" i="1"/>
  <c r="A319" i="1"/>
  <c r="E318" i="1"/>
  <c r="A318" i="1"/>
  <c r="E317" i="1"/>
  <c r="A317" i="1"/>
  <c r="E316" i="1"/>
  <c r="A316" i="1"/>
  <c r="E315" i="1"/>
  <c r="A315" i="1"/>
  <c r="E314" i="1"/>
  <c r="A314" i="1"/>
  <c r="E313" i="1"/>
  <c r="A313" i="1"/>
  <c r="E312" i="1"/>
  <c r="A312" i="1"/>
  <c r="E311" i="1"/>
  <c r="A311" i="1"/>
  <c r="E310" i="1"/>
  <c r="A310" i="1"/>
  <c r="E309" i="1"/>
  <c r="A309" i="1"/>
  <c r="E308" i="1"/>
  <c r="A308" i="1"/>
  <c r="E307" i="1"/>
  <c r="A307" i="1"/>
  <c r="E306" i="1"/>
  <c r="A306" i="1"/>
  <c r="E305" i="1"/>
  <c r="A305" i="1"/>
  <c r="E304" i="1"/>
  <c r="A304" i="1"/>
  <c r="E303" i="1"/>
  <c r="A303" i="1"/>
  <c r="E302" i="1"/>
  <c r="A302" i="1"/>
  <c r="E301" i="1"/>
  <c r="A301" i="1"/>
  <c r="E300" i="1"/>
  <c r="A300" i="1"/>
  <c r="E299" i="1"/>
  <c r="A299" i="1"/>
  <c r="E298" i="1"/>
  <c r="A298" i="1"/>
  <c r="E297" i="1"/>
  <c r="A297" i="1"/>
  <c r="E296" i="1"/>
  <c r="A296" i="1"/>
  <c r="E295" i="1"/>
  <c r="A295" i="1"/>
  <c r="E294" i="1"/>
  <c r="A294" i="1"/>
  <c r="E293" i="1"/>
  <c r="A293" i="1"/>
  <c r="E292" i="1"/>
  <c r="A292" i="1"/>
  <c r="E291" i="1"/>
  <c r="A291" i="1"/>
  <c r="E290" i="1"/>
  <c r="A290" i="1"/>
  <c r="E289" i="1"/>
  <c r="A289" i="1"/>
  <c r="E288" i="1"/>
  <c r="A288" i="1"/>
  <c r="E287" i="1"/>
  <c r="A287" i="1"/>
  <c r="E286" i="1"/>
  <c r="A286" i="1"/>
  <c r="E285" i="1"/>
  <c r="A285" i="1"/>
  <c r="E284" i="1"/>
  <c r="A284" i="1"/>
  <c r="E283" i="1"/>
  <c r="A283" i="1"/>
  <c r="E282" i="1"/>
  <c r="A282" i="1"/>
  <c r="E281" i="1"/>
  <c r="A281" i="1"/>
  <c r="E280" i="1"/>
  <c r="A280" i="1"/>
  <c r="E279" i="1"/>
  <c r="A279" i="1"/>
  <c r="E278" i="1"/>
  <c r="A278" i="1"/>
  <c r="E277" i="1"/>
  <c r="A277" i="1"/>
  <c r="E276" i="1"/>
  <c r="A276" i="1"/>
  <c r="E275" i="1"/>
  <c r="A275" i="1"/>
  <c r="E274" i="1"/>
  <c r="A274" i="1"/>
  <c r="E273" i="1"/>
  <c r="A273" i="1"/>
  <c r="E272" i="1"/>
  <c r="A272" i="1"/>
  <c r="E271" i="1"/>
  <c r="A271" i="1"/>
  <c r="E270" i="1"/>
  <c r="A270" i="1"/>
  <c r="E269" i="1"/>
  <c r="A269" i="1"/>
  <c r="E268" i="1"/>
  <c r="A268" i="1"/>
  <c r="E267" i="1"/>
  <c r="A267" i="1"/>
  <c r="E266" i="1"/>
  <c r="A266" i="1"/>
  <c r="E265" i="1"/>
  <c r="A265" i="1"/>
  <c r="E264" i="1"/>
  <c r="A264" i="1"/>
  <c r="E263" i="1"/>
  <c r="A263" i="1"/>
  <c r="E262" i="1"/>
  <c r="A262" i="1"/>
  <c r="E261" i="1"/>
  <c r="A261" i="1"/>
  <c r="E260" i="1"/>
  <c r="A260" i="1"/>
  <c r="E259" i="1"/>
  <c r="A259" i="1"/>
  <c r="E258" i="1"/>
  <c r="A258" i="1"/>
  <c r="E257" i="1"/>
  <c r="A257" i="1"/>
  <c r="E256" i="1"/>
  <c r="A256" i="1"/>
  <c r="E255" i="1"/>
  <c r="A255" i="1"/>
  <c r="E254" i="1"/>
  <c r="A254" i="1"/>
  <c r="E253" i="1"/>
  <c r="A253" i="1"/>
  <c r="E252" i="1"/>
  <c r="A252" i="1"/>
  <c r="E251" i="1"/>
  <c r="A251" i="1"/>
  <c r="E250" i="1"/>
  <c r="A250" i="1"/>
  <c r="E249" i="1"/>
  <c r="A249" i="1"/>
  <c r="E248" i="1"/>
  <c r="A248" i="1"/>
  <c r="E247" i="1"/>
  <c r="A247" i="1"/>
  <c r="E246" i="1"/>
  <c r="A246" i="1"/>
  <c r="E245" i="1"/>
  <c r="A245" i="1"/>
  <c r="E244" i="1"/>
  <c r="A244" i="1"/>
  <c r="E243" i="1"/>
  <c r="A243" i="1"/>
  <c r="E242" i="1"/>
  <c r="A242" i="1"/>
  <c r="E241" i="1"/>
  <c r="A241" i="1"/>
  <c r="E240" i="1"/>
  <c r="A240" i="1"/>
  <c r="E239" i="1"/>
  <c r="A239" i="1"/>
  <c r="E238" i="1"/>
  <c r="A238" i="1"/>
  <c r="E237" i="1"/>
  <c r="A237" i="1"/>
  <c r="E236" i="1"/>
  <c r="A236" i="1"/>
  <c r="E235" i="1"/>
  <c r="A235" i="1"/>
  <c r="E234" i="1"/>
  <c r="A234" i="1"/>
  <c r="E233" i="1"/>
  <c r="A233" i="1"/>
  <c r="E232" i="1"/>
  <c r="A232" i="1"/>
  <c r="E231" i="1"/>
  <c r="A231" i="1"/>
  <c r="E230" i="1"/>
  <c r="A230" i="1"/>
  <c r="E229" i="1"/>
  <c r="A229" i="1"/>
  <c r="E228" i="1"/>
  <c r="A228" i="1"/>
  <c r="E227" i="1"/>
  <c r="A227" i="1"/>
  <c r="E226" i="1"/>
  <c r="A226" i="1"/>
  <c r="E225" i="1"/>
  <c r="A225" i="1"/>
  <c r="E224" i="1"/>
  <c r="A224" i="1"/>
  <c r="E223" i="1"/>
  <c r="A223" i="1"/>
  <c r="E222" i="1"/>
  <c r="A222" i="1"/>
  <c r="E221" i="1"/>
  <c r="A221" i="1"/>
  <c r="E220" i="1"/>
  <c r="A220" i="1"/>
  <c r="E219" i="1"/>
  <c r="A219" i="1"/>
  <c r="E218" i="1"/>
  <c r="A218" i="1"/>
  <c r="E217" i="1"/>
  <c r="A217" i="1"/>
  <c r="E216" i="1"/>
  <c r="A216" i="1"/>
  <c r="E215" i="1"/>
  <c r="A215" i="1"/>
  <c r="E214" i="1"/>
  <c r="A214" i="1"/>
  <c r="E213" i="1"/>
  <c r="A213" i="1"/>
  <c r="E212" i="1"/>
  <c r="A212" i="1"/>
  <c r="E211" i="1"/>
  <c r="A211" i="1"/>
  <c r="E210" i="1"/>
  <c r="A210" i="1"/>
  <c r="E209" i="1"/>
  <c r="A209" i="1"/>
  <c r="E208" i="1"/>
  <c r="A208" i="1"/>
  <c r="E207" i="1"/>
  <c r="A207" i="1"/>
  <c r="E206" i="1"/>
  <c r="A206" i="1"/>
  <c r="E205" i="1"/>
  <c r="A205" i="1"/>
  <c r="E204" i="1"/>
  <c r="A204" i="1"/>
  <c r="E203" i="1"/>
  <c r="A203" i="1"/>
  <c r="E202" i="1"/>
  <c r="A202" i="1"/>
  <c r="E201" i="1"/>
  <c r="A201" i="1"/>
  <c r="E200" i="1"/>
  <c r="A200" i="1"/>
  <c r="E199" i="1"/>
  <c r="A199" i="1"/>
  <c r="E198" i="1"/>
  <c r="A198" i="1"/>
  <c r="E197" i="1"/>
  <c r="A197" i="1"/>
  <c r="E196" i="1"/>
  <c r="A196" i="1"/>
  <c r="E195" i="1"/>
  <c r="A195" i="1"/>
  <c r="E194" i="1"/>
  <c r="A194" i="1"/>
  <c r="E193" i="1"/>
  <c r="A193" i="1"/>
  <c r="E192" i="1"/>
  <c r="A192" i="1"/>
  <c r="E191" i="1"/>
  <c r="A191" i="1"/>
  <c r="E190" i="1"/>
  <c r="A190" i="1"/>
  <c r="E189" i="1"/>
  <c r="A189" i="1"/>
  <c r="E188" i="1"/>
  <c r="A188" i="1"/>
  <c r="E187" i="1"/>
  <c r="A187" i="1"/>
  <c r="E186" i="1"/>
  <c r="A186" i="1"/>
  <c r="E185" i="1"/>
  <c r="A185" i="1"/>
  <c r="E184" i="1"/>
  <c r="A184" i="1"/>
  <c r="E183" i="1"/>
  <c r="A183" i="1"/>
  <c r="E182" i="1"/>
  <c r="A182" i="1"/>
  <c r="E181" i="1"/>
  <c r="A181" i="1"/>
  <c r="E180" i="1"/>
  <c r="A180" i="1"/>
  <c r="E179" i="1"/>
  <c r="A179" i="1"/>
  <c r="E178" i="1"/>
  <c r="A178" i="1"/>
  <c r="E177" i="1"/>
  <c r="A177" i="1"/>
  <c r="E176" i="1"/>
  <c r="A176" i="1"/>
  <c r="E175" i="1"/>
  <c r="A175" i="1"/>
  <c r="E174" i="1"/>
  <c r="A174" i="1"/>
  <c r="E173" i="1"/>
  <c r="A173" i="1"/>
  <c r="E172" i="1"/>
  <c r="A172" i="1"/>
  <c r="E171" i="1"/>
  <c r="A171" i="1"/>
  <c r="E170" i="1"/>
  <c r="A170" i="1"/>
  <c r="E169" i="1"/>
  <c r="A169" i="1"/>
  <c r="E168" i="1"/>
  <c r="A168" i="1"/>
  <c r="E167" i="1"/>
  <c r="A167" i="1"/>
  <c r="E166" i="1"/>
  <c r="A166" i="1"/>
  <c r="E165" i="1"/>
  <c r="A165" i="1"/>
  <c r="E164" i="1"/>
  <c r="A164" i="1"/>
  <c r="E163" i="1"/>
  <c r="A163" i="1"/>
  <c r="E162" i="1"/>
  <c r="A162" i="1"/>
  <c r="E161" i="1"/>
  <c r="A161" i="1"/>
  <c r="E160" i="1"/>
  <c r="A160" i="1"/>
  <c r="E159" i="1"/>
  <c r="A159" i="1"/>
  <c r="E158" i="1"/>
  <c r="A158" i="1"/>
  <c r="E157" i="1"/>
  <c r="A157" i="1"/>
  <c r="E156" i="1"/>
  <c r="A156" i="1"/>
  <c r="E155" i="1"/>
  <c r="A155" i="1"/>
  <c r="E154" i="1"/>
  <c r="A154" i="1"/>
  <c r="E153" i="1"/>
  <c r="A153" i="1"/>
  <c r="E152" i="1"/>
  <c r="A152" i="1"/>
  <c r="E151" i="1"/>
  <c r="A151" i="1"/>
  <c r="E150" i="1"/>
  <c r="A150" i="1"/>
  <c r="E149" i="1"/>
  <c r="A149" i="1"/>
  <c r="E148" i="1"/>
  <c r="A148" i="1"/>
  <c r="E147" i="1"/>
  <c r="A147" i="1"/>
  <c r="E146" i="1"/>
  <c r="A146" i="1"/>
  <c r="E145" i="1"/>
  <c r="A145" i="1"/>
  <c r="E144" i="1"/>
  <c r="A144" i="1"/>
  <c r="E143" i="1"/>
  <c r="A143" i="1"/>
  <c r="E142" i="1"/>
  <c r="A142" i="1"/>
  <c r="E141" i="1"/>
  <c r="A141" i="1"/>
  <c r="E140" i="1"/>
  <c r="A140" i="1"/>
  <c r="E139" i="1"/>
  <c r="A139" i="1"/>
  <c r="E138" i="1"/>
  <c r="A138" i="1"/>
  <c r="E137" i="1"/>
  <c r="A137" i="1"/>
  <c r="E136" i="1"/>
  <c r="A136" i="1"/>
  <c r="E135" i="1"/>
  <c r="A135" i="1"/>
  <c r="E134" i="1"/>
  <c r="A134" i="1"/>
  <c r="E133" i="1"/>
  <c r="A133" i="1"/>
  <c r="E132" i="1"/>
  <c r="A132" i="1"/>
  <c r="E131" i="1"/>
  <c r="A131" i="1"/>
  <c r="E130" i="1"/>
  <c r="A130" i="1"/>
  <c r="E129" i="1"/>
  <c r="A129" i="1"/>
  <c r="E128" i="1"/>
  <c r="A128" i="1"/>
  <c r="E127" i="1"/>
  <c r="A127" i="1"/>
  <c r="E126" i="1"/>
  <c r="A126" i="1"/>
  <c r="E125" i="1"/>
  <c r="A125" i="1"/>
  <c r="E124" i="1"/>
  <c r="A124" i="1"/>
  <c r="E123" i="1"/>
  <c r="A123" i="1"/>
  <c r="E122" i="1"/>
  <c r="A122" i="1"/>
  <c r="E121" i="1"/>
  <c r="A121" i="1"/>
  <c r="E120" i="1"/>
  <c r="A120" i="1"/>
  <c r="E119" i="1"/>
  <c r="A119" i="1"/>
  <c r="E118" i="1"/>
  <c r="A118" i="1"/>
  <c r="E117" i="1"/>
  <c r="A117" i="1"/>
  <c r="E116" i="1"/>
  <c r="A116" i="1"/>
  <c r="E115" i="1"/>
  <c r="A115" i="1"/>
  <c r="E114" i="1"/>
  <c r="A114" i="1"/>
  <c r="E113" i="1"/>
  <c r="A113" i="1"/>
  <c r="E112" i="1"/>
  <c r="A112" i="1"/>
  <c r="E111" i="1"/>
  <c r="A111" i="1"/>
  <c r="E110" i="1"/>
  <c r="A110" i="1"/>
  <c r="E109" i="1"/>
  <c r="A109" i="1"/>
  <c r="E108" i="1"/>
  <c r="A108" i="1"/>
  <c r="E107" i="1"/>
  <c r="A107" i="1"/>
  <c r="E106" i="1"/>
  <c r="A106" i="1"/>
  <c r="E105" i="1"/>
  <c r="A105" i="1"/>
  <c r="E104" i="1"/>
  <c r="A104" i="1"/>
  <c r="E103" i="1"/>
  <c r="A103" i="1"/>
  <c r="E102" i="1"/>
  <c r="A102" i="1"/>
  <c r="E101" i="1"/>
  <c r="A101" i="1"/>
  <c r="E100" i="1"/>
  <c r="A100" i="1"/>
  <c r="E99" i="1"/>
  <c r="A99" i="1"/>
  <c r="E98" i="1"/>
  <c r="A98" i="1"/>
  <c r="E97" i="1"/>
  <c r="A97" i="1"/>
  <c r="E96" i="1"/>
  <c r="A96" i="1"/>
  <c r="E95" i="1"/>
  <c r="A95" i="1"/>
  <c r="E94" i="1"/>
  <c r="A94" i="1"/>
  <c r="E93" i="1"/>
  <c r="A93" i="1"/>
  <c r="E92" i="1"/>
  <c r="A92" i="1"/>
  <c r="E91" i="1"/>
  <c r="A91" i="1"/>
  <c r="E90" i="1"/>
  <c r="A90" i="1"/>
  <c r="E89" i="1"/>
  <c r="A89" i="1"/>
  <c r="E88" i="1"/>
  <c r="A88" i="1"/>
  <c r="E87" i="1"/>
  <c r="A87" i="1"/>
  <c r="E86" i="1"/>
  <c r="A86" i="1"/>
  <c r="E85" i="1"/>
  <c r="A85" i="1"/>
  <c r="E84" i="1"/>
  <c r="A84" i="1"/>
  <c r="E83" i="1"/>
  <c r="A83" i="1"/>
  <c r="E82" i="1"/>
  <c r="A82" i="1"/>
  <c r="E81" i="1"/>
  <c r="A81" i="1"/>
  <c r="E80" i="1"/>
  <c r="A80" i="1"/>
  <c r="E79" i="1"/>
  <c r="A79" i="1"/>
  <c r="E78" i="1"/>
  <c r="A78" i="1"/>
  <c r="E77" i="1"/>
  <c r="A77" i="1"/>
  <c r="E76" i="1"/>
  <c r="A76" i="1"/>
  <c r="E75" i="1"/>
  <c r="A75" i="1"/>
  <c r="E74" i="1"/>
  <c r="A74" i="1"/>
  <c r="E73" i="1"/>
  <c r="A73" i="1"/>
  <c r="E72" i="1"/>
  <c r="A72" i="1"/>
  <c r="E71" i="1"/>
  <c r="A71" i="1"/>
  <c r="E70" i="1"/>
  <c r="A70" i="1"/>
  <c r="E69" i="1"/>
  <c r="A69" i="1"/>
  <c r="E68" i="1"/>
  <c r="A68" i="1"/>
  <c r="E67" i="1"/>
  <c r="A67" i="1"/>
  <c r="E66" i="1"/>
  <c r="A66" i="1"/>
  <c r="E65" i="1"/>
  <c r="A65" i="1"/>
  <c r="E64" i="1"/>
  <c r="A64" i="1"/>
  <c r="E63" i="1"/>
  <c r="A63" i="1"/>
  <c r="E62" i="1"/>
  <c r="A62" i="1"/>
  <c r="E61" i="1"/>
  <c r="A61" i="1"/>
  <c r="E60" i="1"/>
  <c r="A60" i="1"/>
  <c r="E59" i="1"/>
  <c r="A59" i="1"/>
  <c r="E58" i="1"/>
  <c r="A58" i="1"/>
  <c r="E57" i="1"/>
  <c r="A57" i="1"/>
  <c r="E56" i="1"/>
  <c r="A56" i="1"/>
  <c r="E55" i="1"/>
  <c r="A55" i="1"/>
  <c r="E54" i="1"/>
  <c r="A54" i="1"/>
  <c r="E53" i="1"/>
  <c r="A53" i="1"/>
  <c r="E52" i="1"/>
  <c r="A52" i="1"/>
  <c r="E51" i="1"/>
  <c r="A51" i="1"/>
  <c r="E50" i="1"/>
  <c r="A50" i="1"/>
  <c r="E49" i="1"/>
  <c r="A49" i="1"/>
  <c r="E48" i="1"/>
  <c r="A48" i="1"/>
  <c r="E47" i="1"/>
  <c r="A47" i="1"/>
  <c r="E46" i="1"/>
  <c r="A46" i="1"/>
  <c r="E45" i="1"/>
  <c r="A45" i="1"/>
  <c r="E44" i="1"/>
  <c r="A44" i="1"/>
  <c r="E43" i="1"/>
  <c r="A43" i="1"/>
  <c r="E42" i="1"/>
  <c r="A42" i="1"/>
  <c r="E41" i="1"/>
  <c r="A41" i="1"/>
  <c r="E40" i="1"/>
  <c r="A40" i="1"/>
  <c r="E39" i="1"/>
  <c r="A39" i="1"/>
  <c r="E38" i="1"/>
  <c r="A38" i="1"/>
  <c r="E37" i="1"/>
  <c r="A37" i="1"/>
  <c r="E36" i="1"/>
  <c r="A36" i="1"/>
  <c r="E35" i="1"/>
  <c r="A35" i="1"/>
  <c r="E34" i="1"/>
  <c r="A34" i="1"/>
  <c r="E33" i="1"/>
  <c r="A33" i="1"/>
  <c r="E32" i="1"/>
  <c r="A32" i="1"/>
  <c r="E31" i="1"/>
  <c r="A31" i="1"/>
  <c r="E30" i="1"/>
  <c r="A30" i="1"/>
  <c r="E29" i="1"/>
  <c r="A29" i="1"/>
  <c r="E28" i="1"/>
  <c r="A28" i="1"/>
  <c r="E27" i="1"/>
  <c r="A27" i="1"/>
  <c r="E26" i="1"/>
  <c r="A26" i="1"/>
  <c r="E25" i="1"/>
  <c r="A25" i="1"/>
  <c r="E24" i="1"/>
  <c r="A24" i="1"/>
  <c r="E23" i="1"/>
  <c r="A23" i="1"/>
  <c r="E22" i="1"/>
  <c r="A22" i="1"/>
  <c r="E21" i="1"/>
  <c r="A21" i="1"/>
  <c r="E20" i="1"/>
  <c r="A20" i="1"/>
  <c r="E19" i="1"/>
  <c r="A19" i="1"/>
  <c r="E18" i="1"/>
  <c r="A18" i="1"/>
  <c r="E17" i="1"/>
  <c r="A17" i="1"/>
  <c r="E16" i="1"/>
  <c r="A16" i="1"/>
  <c r="E15" i="1"/>
  <c r="A15" i="1"/>
  <c r="E14" i="1"/>
  <c r="A14" i="1"/>
  <c r="E13" i="1"/>
  <c r="A13" i="1"/>
  <c r="E12" i="1"/>
  <c r="A12" i="1"/>
  <c r="E11" i="1"/>
  <c r="A11" i="1"/>
  <c r="E10" i="1"/>
  <c r="A10" i="1"/>
  <c r="E9" i="1"/>
  <c r="A9" i="1"/>
  <c r="E8" i="1"/>
  <c r="A8" i="1"/>
  <c r="E7" i="1"/>
  <c r="A7" i="1"/>
  <c r="E6" i="1"/>
  <c r="A6" i="1"/>
  <c r="E5" i="1"/>
  <c r="A5" i="1"/>
  <c r="E4" i="1"/>
  <c r="A4" i="1"/>
</calcChain>
</file>

<file path=xl/sharedStrings.xml><?xml version="1.0" encoding="utf-8"?>
<sst xmlns="http://schemas.openxmlformats.org/spreadsheetml/2006/main" count="71375" uniqueCount="6587">
  <si>
    <t>NOPRESCRIPCION</t>
  </si>
  <si>
    <t>PERIODO_WEBSERVICE</t>
  </si>
  <si>
    <t>FPRESCRIPCION</t>
  </si>
  <si>
    <t>HPRESCRIPCION</t>
  </si>
  <si>
    <t>CODHABIPS</t>
  </si>
  <si>
    <t>TIPOIDIPS</t>
  </si>
  <si>
    <t>NROIDIPS</t>
  </si>
  <si>
    <t>CODDANEMUNIPS</t>
  </si>
  <si>
    <t>DIRSEDEIPS</t>
  </si>
  <si>
    <t>TELSEDEIPS</t>
  </si>
  <si>
    <t>TIPOIDPROF</t>
  </si>
  <si>
    <t>NUMIDPROF</t>
  </si>
  <si>
    <t>PNPROFS</t>
  </si>
  <si>
    <t>SNPROFS</t>
  </si>
  <si>
    <t>PAPROFS</t>
  </si>
  <si>
    <t>SAPROFS</t>
  </si>
  <si>
    <t>REGPROFS</t>
  </si>
  <si>
    <t>TIPOIDPACIENTE</t>
  </si>
  <si>
    <t>NROIDPACIENTE</t>
  </si>
  <si>
    <t>PNPACIENTE</t>
  </si>
  <si>
    <t>SNPACIENTE</t>
  </si>
  <si>
    <t>PAPACIENTE</t>
  </si>
  <si>
    <t>SAPACIENTE</t>
  </si>
  <si>
    <t>MUNICIPIO</t>
  </si>
  <si>
    <t>DEPARTAMENTO</t>
  </si>
  <si>
    <t>CODAMBATE</t>
  </si>
  <si>
    <t>DESC_CODAMBATE</t>
  </si>
  <si>
    <t>REFAMBATE</t>
  </si>
  <si>
    <t>DESC_REFAMBATE</t>
  </si>
  <si>
    <t>ENFHUERFANA</t>
  </si>
  <si>
    <t>DESC_ENFHUERFANA</t>
  </si>
  <si>
    <t>CODENFHUERFANA</t>
  </si>
  <si>
    <t>DESC_CODENFHUERFANA</t>
  </si>
  <si>
    <t>ENFHUERFANADX</t>
  </si>
  <si>
    <t>DESC_ENFHUERFANADX</t>
  </si>
  <si>
    <t>CODDXPPAL</t>
  </si>
  <si>
    <t>DESC_CODDXPPAL</t>
  </si>
  <si>
    <t>CODDXREL1</t>
  </si>
  <si>
    <t>DESC_CODDXREL1</t>
  </si>
  <si>
    <t>CODDXREL2</t>
  </si>
  <si>
    <t>DESC_CODDXREL2</t>
  </si>
  <si>
    <t>SOPNUTRICIONAL</t>
  </si>
  <si>
    <t>CODEPS</t>
  </si>
  <si>
    <t>TIPOIDMADREPACIENTE</t>
  </si>
  <si>
    <t>NROIDMADREPACIENTE</t>
  </si>
  <si>
    <t>TIPOTRANSC</t>
  </si>
  <si>
    <t>DESC_TIPOTRANSC</t>
  </si>
  <si>
    <t>TIPOIDDONANTEVIVO</t>
  </si>
  <si>
    <t>NROIDDONANTEVIVO</t>
  </si>
  <si>
    <t>ESTPRES</t>
  </si>
  <si>
    <t>01/02/2020</t>
  </si>
  <si>
    <t>10:04:18</t>
  </si>
  <si>
    <t>NI</t>
  </si>
  <si>
    <t>CARRERA 1 #16-107</t>
  </si>
  <si>
    <t>CC</t>
  </si>
  <si>
    <t>JULIANA</t>
  </si>
  <si>
    <t>NO EXISTE</t>
  </si>
  <si>
    <t>JIMENEZ</t>
  </si>
  <si>
    <t>TABARES</t>
  </si>
  <si>
    <t>LUZ</t>
  </si>
  <si>
    <t>STELLA</t>
  </si>
  <si>
    <t>CARDENAS</t>
  </si>
  <si>
    <t>.</t>
  </si>
  <si>
    <t>OBANDO</t>
  </si>
  <si>
    <t>VALLE DEL CAUCA</t>
  </si>
  <si>
    <t>Ambulatorio  No Priorizado</t>
  </si>
  <si>
    <t>NO</t>
  </si>
  <si>
    <t>E784</t>
  </si>
  <si>
    <t>Otra hiperlipidemia</t>
  </si>
  <si>
    <t>E149</t>
  </si>
  <si>
    <t>Diabetes mellitus no especificada, sin mencion de complicacion</t>
  </si>
  <si>
    <t>ESS076</t>
  </si>
  <si>
    <t>29/01/2020</t>
  </si>
  <si>
    <t>09:33:09</t>
  </si>
  <si>
    <t>08758</t>
  </si>
  <si>
    <t>CALLE 30 AUTOP AL AEROPUERTO AL LADO DEL PARQUE MUVDI</t>
  </si>
  <si>
    <t>JOSE</t>
  </si>
  <si>
    <t>ATILIO</t>
  </si>
  <si>
    <t>NUÑEZ</t>
  </si>
  <si>
    <t>RAMOS</t>
  </si>
  <si>
    <t>05273109</t>
  </si>
  <si>
    <t>JORGE</t>
  </si>
  <si>
    <t>GEOVANY</t>
  </si>
  <si>
    <t>HERRERA</t>
  </si>
  <si>
    <t>VERGARA</t>
  </si>
  <si>
    <t>EL COPEY</t>
  </si>
  <si>
    <t>CESAR</t>
  </si>
  <si>
    <t>Ambulatorio  Priorizado</t>
  </si>
  <si>
    <t>I500</t>
  </si>
  <si>
    <t>Insuficiencia cardiaca congestiva</t>
  </si>
  <si>
    <t>02/02/2020</t>
  </si>
  <si>
    <t>10:41:01</t>
  </si>
  <si>
    <t>CALLE 29 No 50-50</t>
  </si>
  <si>
    <t>MELKIS</t>
  </si>
  <si>
    <t>ANTONIO</t>
  </si>
  <si>
    <t>BUELVAS</t>
  </si>
  <si>
    <t>VILLALBA</t>
  </si>
  <si>
    <t>CRISTINA</t>
  </si>
  <si>
    <t>CARMONA</t>
  </si>
  <si>
    <t>PEREZ</t>
  </si>
  <si>
    <t>ACHI</t>
  </si>
  <si>
    <t>BOLIVAR</t>
  </si>
  <si>
    <t>Hospitalario  Internación</t>
  </si>
  <si>
    <t>I490</t>
  </si>
  <si>
    <t>Fibrilacion y aleteo ventricular</t>
  </si>
  <si>
    <t>11:20:54</t>
  </si>
  <si>
    <t>DIEGO</t>
  </si>
  <si>
    <t>ANDRES</t>
  </si>
  <si>
    <t>MORENO</t>
  </si>
  <si>
    <t>HERNANDEZ</t>
  </si>
  <si>
    <t>31/01/2020</t>
  </si>
  <si>
    <t>14:49:49</t>
  </si>
  <si>
    <t>08001</t>
  </si>
  <si>
    <t>CALLE 45 # 19-104</t>
  </si>
  <si>
    <t>EDITH</t>
  </si>
  <si>
    <t>CAMARGO</t>
  </si>
  <si>
    <t>VECINO</t>
  </si>
  <si>
    <t>MARIA</t>
  </si>
  <si>
    <t>CESPEDES</t>
  </si>
  <si>
    <t>FERNANDEZ</t>
  </si>
  <si>
    <t>BARRANQUILLA</t>
  </si>
  <si>
    <t>ATLANTICO</t>
  </si>
  <si>
    <t>E440</t>
  </si>
  <si>
    <t>Desnutricion proteicocalorica moderada</t>
  </si>
  <si>
    <t>30/01/2020</t>
  </si>
  <si>
    <t>10:13:01</t>
  </si>
  <si>
    <t>Calle 22 y 24 Cra 14 No. 22-50</t>
  </si>
  <si>
    <t>VICTOR</t>
  </si>
  <si>
    <t>RAFAEL</t>
  </si>
  <si>
    <t>OTERO</t>
  </si>
  <si>
    <t>MARRUGO</t>
  </si>
  <si>
    <t>EVELIO</t>
  </si>
  <si>
    <t>MANUEL</t>
  </si>
  <si>
    <t>VILLERA</t>
  </si>
  <si>
    <t>RUIZ</t>
  </si>
  <si>
    <t>BUENAVISTA</t>
  </si>
  <si>
    <t>CORDOBA</t>
  </si>
  <si>
    <t>L231</t>
  </si>
  <si>
    <t>Dermatitis alergica de contacto debida a adhesivos</t>
  </si>
  <si>
    <t>16:11:44</t>
  </si>
  <si>
    <t>CARRETERA VIA AL RINCON KM 100 FCA LAS PARCELAS</t>
  </si>
  <si>
    <t>CINDY</t>
  </si>
  <si>
    <t>LORENA</t>
  </si>
  <si>
    <t>OLIVIERI</t>
  </si>
  <si>
    <t>NOBMANN</t>
  </si>
  <si>
    <t>GLADIS</t>
  </si>
  <si>
    <t>GUERRA</t>
  </si>
  <si>
    <t>COTES</t>
  </si>
  <si>
    <t>SAN DIEGO</t>
  </si>
  <si>
    <t>G309</t>
  </si>
  <si>
    <t>Enfermedad de Alzheimer, no especificada</t>
  </si>
  <si>
    <t>28/01/2020</t>
  </si>
  <si>
    <t>07:34:15</t>
  </si>
  <si>
    <t>CALLE 16B No 12-24</t>
  </si>
  <si>
    <t>OMAR</t>
  </si>
  <si>
    <t>ENRIQUE</t>
  </si>
  <si>
    <t>HOYOS</t>
  </si>
  <si>
    <t>BATISTA</t>
  </si>
  <si>
    <t>NIDIA</t>
  </si>
  <si>
    <t>DE PADILLA</t>
  </si>
  <si>
    <t>C509</t>
  </si>
  <si>
    <t>Tumor maligno de la mama, parte no especificada</t>
  </si>
  <si>
    <t>11:28:31</t>
  </si>
  <si>
    <t>CALLE 6 # 2-90</t>
  </si>
  <si>
    <t>LUIS</t>
  </si>
  <si>
    <t>EDUARDO</t>
  </si>
  <si>
    <t>MURILLO</t>
  </si>
  <si>
    <t>MUNOZ</t>
  </si>
  <si>
    <t>OLIVA</t>
  </si>
  <si>
    <t>SANCHEZ</t>
  </si>
  <si>
    <t>DE ROMERO</t>
  </si>
  <si>
    <t>I872</t>
  </si>
  <si>
    <t>Insuficiencia venosa (cronica) (periferica)</t>
  </si>
  <si>
    <t>11:46:01</t>
  </si>
  <si>
    <t>Avenida Colombia Nº13-146</t>
  </si>
  <si>
    <t>3017573836-3017446503</t>
  </si>
  <si>
    <t>LADY</t>
  </si>
  <si>
    <t>JOHANA</t>
  </si>
  <si>
    <t>MENDEZ</t>
  </si>
  <si>
    <t>CASTILLO</t>
  </si>
  <si>
    <t>FRANCESCO</t>
  </si>
  <si>
    <t>VARGAS</t>
  </si>
  <si>
    <t>NARANJO</t>
  </si>
  <si>
    <t>MAGANGUE</t>
  </si>
  <si>
    <t>R579</t>
  </si>
  <si>
    <t>Choque, no especificado</t>
  </si>
  <si>
    <t>B457</t>
  </si>
  <si>
    <t>Criptococosis diseminada</t>
  </si>
  <si>
    <t>E232</t>
  </si>
  <si>
    <t>Diabetes insipida</t>
  </si>
  <si>
    <t>27/01/2020</t>
  </si>
  <si>
    <t>10:10:21</t>
  </si>
  <si>
    <t>GABRIEL</t>
  </si>
  <si>
    <t>NAVARRO</t>
  </si>
  <si>
    <t>BARRIOS</t>
  </si>
  <si>
    <t>OLIVIA</t>
  </si>
  <si>
    <t>DEL CARMEN</t>
  </si>
  <si>
    <t>BOHORQUEZ</t>
  </si>
  <si>
    <t>FLOREZ</t>
  </si>
  <si>
    <t>E46X</t>
  </si>
  <si>
    <t>Desnutricion proteicocalorica, no especificada</t>
  </si>
  <si>
    <t>24/01/2020</t>
  </si>
  <si>
    <t>11:04:36</t>
  </si>
  <si>
    <t>CALLE 121 CARRERA 26 -28</t>
  </si>
  <si>
    <t>DALLANA</t>
  </si>
  <si>
    <t>PATRICIA</t>
  </si>
  <si>
    <t>PELUFFO</t>
  </si>
  <si>
    <t>DIAZ</t>
  </si>
  <si>
    <t>MND 03555</t>
  </si>
  <si>
    <t>YOVANIS</t>
  </si>
  <si>
    <t>MARGOTH</t>
  </si>
  <si>
    <t>SALGADO</t>
  </si>
  <si>
    <t>BARBOZA</t>
  </si>
  <si>
    <t>E129</t>
  </si>
  <si>
    <t>Diabetes mellitus asociada con desnutricion, sin mencion de complicacion</t>
  </si>
  <si>
    <t>I10X</t>
  </si>
  <si>
    <t>Hipertension esencial (primaria)</t>
  </si>
  <si>
    <t>11:21:01</t>
  </si>
  <si>
    <t>CRA. 51B # 84-150</t>
  </si>
  <si>
    <t>HERNANDO</t>
  </si>
  <si>
    <t>ROLONG</t>
  </si>
  <si>
    <t>BULA</t>
  </si>
  <si>
    <t>10416/87</t>
  </si>
  <si>
    <t>DAVID</t>
  </si>
  <si>
    <t>DONADO</t>
  </si>
  <si>
    <t>MENDOZA</t>
  </si>
  <si>
    <t>H408</t>
  </si>
  <si>
    <t>Otros glaucomas</t>
  </si>
  <si>
    <t>H526</t>
  </si>
  <si>
    <t>Otros trastornos de la refraccion</t>
  </si>
  <si>
    <t>12:24:58</t>
  </si>
  <si>
    <t>CARRERA 75 No.79B-50</t>
  </si>
  <si>
    <t>3177030 EXT 116</t>
  </si>
  <si>
    <t>JAIME</t>
  </si>
  <si>
    <t>ARTURO</t>
  </si>
  <si>
    <t>MAURY</t>
  </si>
  <si>
    <t>BENEDETTI</t>
  </si>
  <si>
    <t>TI</t>
  </si>
  <si>
    <t>CAMILA</t>
  </si>
  <si>
    <t>NIGRO</t>
  </si>
  <si>
    <t>GUTIERREZ</t>
  </si>
  <si>
    <t>MALAMBO</t>
  </si>
  <si>
    <t>M206</t>
  </si>
  <si>
    <t>Deformidades adquiridas de los dedos del pie, no especificadas</t>
  </si>
  <si>
    <t>26/01/2020</t>
  </si>
  <si>
    <t>16:38:13</t>
  </si>
  <si>
    <t>08638</t>
  </si>
  <si>
    <t>CARRERA 19 A NÚMERO 24-46</t>
  </si>
  <si>
    <t>CLAUDIA</t>
  </si>
  <si>
    <t>LONDOÑO</t>
  </si>
  <si>
    <t>JESUS</t>
  </si>
  <si>
    <t>MOISES</t>
  </si>
  <si>
    <t>SOLANO</t>
  </si>
  <si>
    <t>GALINDO</t>
  </si>
  <si>
    <t>BARANOA</t>
  </si>
  <si>
    <t>R32X</t>
  </si>
  <si>
    <t>Incontinencia urinaria, no especificada</t>
  </si>
  <si>
    <t>12:18:42</t>
  </si>
  <si>
    <t>carrera 14 N° 16-42</t>
  </si>
  <si>
    <t>IVAN</t>
  </si>
  <si>
    <t>VELEZ</t>
  </si>
  <si>
    <t>ALBERTO</t>
  </si>
  <si>
    <t>ACUÑA</t>
  </si>
  <si>
    <t>MARTINEZ</t>
  </si>
  <si>
    <t>MOMPOS</t>
  </si>
  <si>
    <t>I420</t>
  </si>
  <si>
    <t>Cardiomiopatia dilatada</t>
  </si>
  <si>
    <t>I489</t>
  </si>
  <si>
    <t>Fibrilación y aleteo auricular, no especificado</t>
  </si>
  <si>
    <t>23:56:14</t>
  </si>
  <si>
    <t>CALLE 5 # 36 - 08</t>
  </si>
  <si>
    <t>6206000 Extension 1010</t>
  </si>
  <si>
    <t>FELIPE</t>
  </si>
  <si>
    <t>BARBOSA</t>
  </si>
  <si>
    <t>SANTIAGO</t>
  </si>
  <si>
    <t>ELENA</t>
  </si>
  <si>
    <t>AGUDELO</t>
  </si>
  <si>
    <t>CARTAGO</t>
  </si>
  <si>
    <t>A408</t>
  </si>
  <si>
    <t>Otras sepsis estreptococicas</t>
  </si>
  <si>
    <t>12:20:54</t>
  </si>
  <si>
    <t>FRANCISCO</t>
  </si>
  <si>
    <t>JAVIER</t>
  </si>
  <si>
    <t>LENIS</t>
  </si>
  <si>
    <t>CHACON</t>
  </si>
  <si>
    <t>251035-08</t>
  </si>
  <si>
    <t>12:27:38</t>
  </si>
  <si>
    <t>A410</t>
  </si>
  <si>
    <t>Sepsis debida a Staphylococcus aureus</t>
  </si>
  <si>
    <t>12:37:42</t>
  </si>
  <si>
    <t>10:30:16</t>
  </si>
  <si>
    <t>CARLOS</t>
  </si>
  <si>
    <t>VINICIO</t>
  </si>
  <si>
    <t>CABALLERO</t>
  </si>
  <si>
    <t>URIBE</t>
  </si>
  <si>
    <t>ZORAIDA</t>
  </si>
  <si>
    <t>ESTHER</t>
  </si>
  <si>
    <t>RAMIREZ</t>
  </si>
  <si>
    <t>MUÑOZ</t>
  </si>
  <si>
    <t>SOLEDAD</t>
  </si>
  <si>
    <t>M069</t>
  </si>
  <si>
    <t>Artritis reumatoide, no especificada</t>
  </si>
  <si>
    <t>10:33:07</t>
  </si>
  <si>
    <t>CARRERA 51B N94-334 CONS 206</t>
  </si>
  <si>
    <t>RODOLFO</t>
  </si>
  <si>
    <t>JALLER</t>
  </si>
  <si>
    <t>RAAD</t>
  </si>
  <si>
    <t>MONICA</t>
  </si>
  <si>
    <t>SANDOVAL</t>
  </si>
  <si>
    <t>OROZCO</t>
  </si>
  <si>
    <t>J304</t>
  </si>
  <si>
    <t>Rinitis alergica, no especificada</t>
  </si>
  <si>
    <t>09:07:05</t>
  </si>
  <si>
    <t>CARRERA 24 # 53D-80</t>
  </si>
  <si>
    <t>IBAMA</t>
  </si>
  <si>
    <t>TORRES</t>
  </si>
  <si>
    <t>VIRGINIA</t>
  </si>
  <si>
    <t>QUESADA</t>
  </si>
  <si>
    <t>F331</t>
  </si>
  <si>
    <t>Trastorno depresivo recurrente, episodio moderado presente</t>
  </si>
  <si>
    <t>F510</t>
  </si>
  <si>
    <t>Insomnio no organico</t>
  </si>
  <si>
    <t>08:14:53</t>
  </si>
  <si>
    <t>CALLE 22 #24-33</t>
  </si>
  <si>
    <t>GONZALEZ</t>
  </si>
  <si>
    <t>ELIECER</t>
  </si>
  <si>
    <t>SEGUNDO</t>
  </si>
  <si>
    <t>GARAY</t>
  </si>
  <si>
    <t>CARDOZO</t>
  </si>
  <si>
    <t>COROZAL</t>
  </si>
  <si>
    <t>SUCRE</t>
  </si>
  <si>
    <t>E112</t>
  </si>
  <si>
    <t>Diabetes mellitus no insulinodependiente, con complicaciones renales</t>
  </si>
  <si>
    <t>N189</t>
  </si>
  <si>
    <t>Enfermedad renal cronica, no especificada</t>
  </si>
  <si>
    <t>15:49:39</t>
  </si>
  <si>
    <t>CARRERA 19 NÚMERO 14-47</t>
  </si>
  <si>
    <t>PBX.5803535</t>
  </si>
  <si>
    <t>CE</t>
  </si>
  <si>
    <t>HUMBERTO</t>
  </si>
  <si>
    <t>COLMENAREZ</t>
  </si>
  <si>
    <t>2016-17254</t>
  </si>
  <si>
    <t>MARINA</t>
  </si>
  <si>
    <t>SIERRA</t>
  </si>
  <si>
    <t>ARIGUANI</t>
  </si>
  <si>
    <t>MAGDALENA</t>
  </si>
  <si>
    <t>I219</t>
  </si>
  <si>
    <t>Infarto agudo del miocardio, sin otra especificacion</t>
  </si>
  <si>
    <t>17:09:49</t>
  </si>
  <si>
    <t>08433</t>
  </si>
  <si>
    <t>CLL 12 N° 14- 35</t>
  </si>
  <si>
    <t>OSVALDO</t>
  </si>
  <si>
    <t>RUBEN</t>
  </si>
  <si>
    <t>MIRANDA</t>
  </si>
  <si>
    <t>HERMES</t>
  </si>
  <si>
    <t>FONTALVO</t>
  </si>
  <si>
    <t>R15X</t>
  </si>
  <si>
    <t>Incontinencia fecal</t>
  </si>
  <si>
    <t>09:32:40</t>
  </si>
  <si>
    <t>CRA 3 BIS CALLE 1 Y 2 cartago</t>
  </si>
  <si>
    <t>HUGO</t>
  </si>
  <si>
    <t>VIDAL</t>
  </si>
  <si>
    <t>GIRALDO</t>
  </si>
  <si>
    <t>VIRGELINA</t>
  </si>
  <si>
    <t>CASTRO</t>
  </si>
  <si>
    <t>I702</t>
  </si>
  <si>
    <t>Aterosclerosis de las arterias de los miembros</t>
  </si>
  <si>
    <t>E105</t>
  </si>
  <si>
    <t>Diabetes mellitus insulinodependiente, con complicaciones circulatorias perifericas</t>
  </si>
  <si>
    <t>05:17:57</t>
  </si>
  <si>
    <t>CARRERA 46 No 66 - 22</t>
  </si>
  <si>
    <t>301-3661017</t>
  </si>
  <si>
    <t>VILMA</t>
  </si>
  <si>
    <t>ROSA</t>
  </si>
  <si>
    <t>VILLADIEGO</t>
  </si>
  <si>
    <t>RIGOBERTO</t>
  </si>
  <si>
    <t>RODRIGUEZ</t>
  </si>
  <si>
    <t>DE LAS SALAS</t>
  </si>
  <si>
    <t>08:48:51</t>
  </si>
  <si>
    <t>CALLE 29 # 13-115</t>
  </si>
  <si>
    <t>ANGEL</t>
  </si>
  <si>
    <t>OSPINO</t>
  </si>
  <si>
    <t>REBOLLEDO</t>
  </si>
  <si>
    <t>GALAPA</t>
  </si>
  <si>
    <t>F009</t>
  </si>
  <si>
    <t>Demencia  en la enfermedad de Alzheimer, no especificada</t>
  </si>
  <si>
    <t>11:54:27</t>
  </si>
  <si>
    <t>CR 22 CL 18 - 109 P1</t>
  </si>
  <si>
    <t>APOLINAR</t>
  </si>
  <si>
    <t>OSPINA</t>
  </si>
  <si>
    <t>CAMACHO</t>
  </si>
  <si>
    <t>4525-94</t>
  </si>
  <si>
    <t>BERMUDEZ</t>
  </si>
  <si>
    <t>CHAMORRO</t>
  </si>
  <si>
    <t>OVEJAS</t>
  </si>
  <si>
    <t>K589</t>
  </si>
  <si>
    <t>Sindrome del colon irritable sin diarrea</t>
  </si>
  <si>
    <t>K590</t>
  </si>
  <si>
    <t>Constipacion</t>
  </si>
  <si>
    <t>12:52:48</t>
  </si>
  <si>
    <t>CHERYL</t>
  </si>
  <si>
    <t>NIRGYRETH</t>
  </si>
  <si>
    <t>ROJAS</t>
  </si>
  <si>
    <t>GARCIA</t>
  </si>
  <si>
    <t>GABRIELA</t>
  </si>
  <si>
    <t>ARIAS</t>
  </si>
  <si>
    <t>DE LA HOZ</t>
  </si>
  <si>
    <t>MANAURE</t>
  </si>
  <si>
    <t>H903</t>
  </si>
  <si>
    <t>Hipoacusia neurosensorial, bilateral</t>
  </si>
  <si>
    <t>13:00:59</t>
  </si>
  <si>
    <t>16:18:52</t>
  </si>
  <si>
    <t>COBA</t>
  </si>
  <si>
    <t>MARCELINA</t>
  </si>
  <si>
    <t>E109</t>
  </si>
  <si>
    <t>Diabetes mellitus insulinodependiente, sin mencion de complicacion</t>
  </si>
  <si>
    <t>16:26:38</t>
  </si>
  <si>
    <t>11:11:22</t>
  </si>
  <si>
    <t>calle 30 No. 41-26</t>
  </si>
  <si>
    <t>LILIANA</t>
  </si>
  <si>
    <t>BEATRIZ</t>
  </si>
  <si>
    <t>REVOLLEDO</t>
  </si>
  <si>
    <t>1894/99</t>
  </si>
  <si>
    <t>MIGUEL</t>
  </si>
  <si>
    <t>DE JESUS</t>
  </si>
  <si>
    <t>GOMEZ</t>
  </si>
  <si>
    <t>MANJARRES</t>
  </si>
  <si>
    <t>CARTAGENA</t>
  </si>
  <si>
    <t>F901</t>
  </si>
  <si>
    <t>Trastorno hipercinetico de la conducta</t>
  </si>
  <si>
    <t>F432</t>
  </si>
  <si>
    <t>Trastornos de adaptacion</t>
  </si>
  <si>
    <t>16:52:58</t>
  </si>
  <si>
    <t>08685</t>
  </si>
  <si>
    <t>KR 13 Nº 11 - 70</t>
  </si>
  <si>
    <t>HELLEN</t>
  </si>
  <si>
    <t>LAURENS</t>
  </si>
  <si>
    <t>CASTELLAR</t>
  </si>
  <si>
    <t>BALDOVINO</t>
  </si>
  <si>
    <t>04935</t>
  </si>
  <si>
    <t>RC</t>
  </si>
  <si>
    <t>YUSEPH</t>
  </si>
  <si>
    <t>SANTOS</t>
  </si>
  <si>
    <t>SANTO TOMAS</t>
  </si>
  <si>
    <t>E441</t>
  </si>
  <si>
    <t>Desnutricion proteicocalorica leve</t>
  </si>
  <si>
    <t>10:22:52</t>
  </si>
  <si>
    <t>SEDE BARRIO VILLA FERNANDA</t>
  </si>
  <si>
    <t>ALEJANDRA</t>
  </si>
  <si>
    <t>OSORIO</t>
  </si>
  <si>
    <t>AIDE</t>
  </si>
  <si>
    <t>ARDILA</t>
  </si>
  <si>
    <t>BETANCUR</t>
  </si>
  <si>
    <t>ALCALA</t>
  </si>
  <si>
    <t>E119</t>
  </si>
  <si>
    <t>Diabetes mellitus no insulinodependiente, sin mencion de complicacion</t>
  </si>
  <si>
    <t>13:38:47</t>
  </si>
  <si>
    <t>Kr 18 No. 14 - 85</t>
  </si>
  <si>
    <t>5713323-5701425-3165326202</t>
  </si>
  <si>
    <t>PASTORA</t>
  </si>
  <si>
    <t>ARIÑO</t>
  </si>
  <si>
    <t>CALDERON</t>
  </si>
  <si>
    <t>VALLEDUPAR</t>
  </si>
  <si>
    <t>H101</t>
  </si>
  <si>
    <t>Conjuntivitis atopica aguda</t>
  </si>
  <si>
    <t>10:23:02</t>
  </si>
  <si>
    <t>Calle 17 N° 9-05</t>
  </si>
  <si>
    <t>3215377641 - 3014488077</t>
  </si>
  <si>
    <t>BERRIO</t>
  </si>
  <si>
    <t>05116</t>
  </si>
  <si>
    <t>CARMEN</t>
  </si>
  <si>
    <t>ANAY</t>
  </si>
  <si>
    <t>VASQUEZ</t>
  </si>
  <si>
    <t>SERPA</t>
  </si>
  <si>
    <t>G373</t>
  </si>
  <si>
    <t>Mielitis transversa aguda en enfermedad desmielinizante del sistema nervioso central</t>
  </si>
  <si>
    <t>18:50:18</t>
  </si>
  <si>
    <t>FARUK</t>
  </si>
  <si>
    <t>SAMPAYO</t>
  </si>
  <si>
    <t>JUDITH</t>
  </si>
  <si>
    <t>YUNEZ</t>
  </si>
  <si>
    <t>DE NIÑO</t>
  </si>
  <si>
    <t>L97X</t>
  </si>
  <si>
    <t>ulcera de miembro inferior, no clasificada en otra parte</t>
  </si>
  <si>
    <t>14:35:25</t>
  </si>
  <si>
    <t>ALEXANDER</t>
  </si>
  <si>
    <t>ETELVINA</t>
  </si>
  <si>
    <t>SALAS</t>
  </si>
  <si>
    <t>DE SALCEDO</t>
  </si>
  <si>
    <t>N394</t>
  </si>
  <si>
    <t>Otras incontinencias urinarias especificadas</t>
  </si>
  <si>
    <t>10:20:25</t>
  </si>
  <si>
    <t>ADOLFO</t>
  </si>
  <si>
    <t>JANNE</t>
  </si>
  <si>
    <t>7064-99</t>
  </si>
  <si>
    <t>NATALY</t>
  </si>
  <si>
    <t>CARVAJAL</t>
  </si>
  <si>
    <t>N953</t>
  </si>
  <si>
    <t>Estados asociados con menopausia artificial</t>
  </si>
  <si>
    <t>11:04:16</t>
  </si>
  <si>
    <t>CARRERA 16 Nª 14 - 106</t>
  </si>
  <si>
    <t>HUBERTO</t>
  </si>
  <si>
    <t>USTARIZ</t>
  </si>
  <si>
    <t>MANJARREZ</t>
  </si>
  <si>
    <t>ANA</t>
  </si>
  <si>
    <t>ARCINIEGAS</t>
  </si>
  <si>
    <t>LA GLORIA</t>
  </si>
  <si>
    <t>M545</t>
  </si>
  <si>
    <t>Lumbago no especificado</t>
  </si>
  <si>
    <t>R522</t>
  </si>
  <si>
    <t>Otro dolor cronico</t>
  </si>
  <si>
    <t>11:24:12</t>
  </si>
  <si>
    <t>cra 16 n 13 c 39</t>
  </si>
  <si>
    <t>3173683259 - 3137437203</t>
  </si>
  <si>
    <t>RAY</t>
  </si>
  <si>
    <t>VICENTE</t>
  </si>
  <si>
    <t>DELUQUEZ</t>
  </si>
  <si>
    <t>BAUTE</t>
  </si>
  <si>
    <t>YURANI</t>
  </si>
  <si>
    <t>PAOLA</t>
  </si>
  <si>
    <t>TAPIA</t>
  </si>
  <si>
    <t>F841</t>
  </si>
  <si>
    <t>Autismo atipico</t>
  </si>
  <si>
    <t>F729</t>
  </si>
  <si>
    <t>Retraso mental grave, deterioro del comportamiento de grado no especificado</t>
  </si>
  <si>
    <t>08:31:35</t>
  </si>
  <si>
    <t>CL 15 # 1N-55</t>
  </si>
  <si>
    <t>MARCELO</t>
  </si>
  <si>
    <t>VALENCIA</t>
  </si>
  <si>
    <t>2196-08</t>
  </si>
  <si>
    <t>BLANCA</t>
  </si>
  <si>
    <t>AURORA</t>
  </si>
  <si>
    <t>SERNA</t>
  </si>
  <si>
    <t>DE MEJIA</t>
  </si>
  <si>
    <t>H119</t>
  </si>
  <si>
    <t>Trastorno de la conjuntiva, no especificado</t>
  </si>
  <si>
    <t>M350</t>
  </si>
  <si>
    <t>Sindrome seco [Sjgren]</t>
  </si>
  <si>
    <t>11:11:25</t>
  </si>
  <si>
    <t>Cra 14 n 3-48 piso 1</t>
  </si>
  <si>
    <t>RICARDO</t>
  </si>
  <si>
    <t>MARITZA</t>
  </si>
  <si>
    <t>NIÑO</t>
  </si>
  <si>
    <t>ITURRIAGO</t>
  </si>
  <si>
    <t>TALAIGUA NUEVO</t>
  </si>
  <si>
    <t>H401</t>
  </si>
  <si>
    <t>Glaucoma primario de angulo abierto</t>
  </si>
  <si>
    <t>11:05:04</t>
  </si>
  <si>
    <t>DEL PILAR</t>
  </si>
  <si>
    <t>LLINAS</t>
  </si>
  <si>
    <t>RM 1150</t>
  </si>
  <si>
    <t>SONIA</t>
  </si>
  <si>
    <t>CASTAÑO</t>
  </si>
  <si>
    <t>SERRANO</t>
  </si>
  <si>
    <t>10:05:56</t>
  </si>
  <si>
    <t>DIAGONAL 138 CARRERA 7M ESQUINA</t>
  </si>
  <si>
    <t>G459</t>
  </si>
  <si>
    <t>Isquemia cerebral transitoria, sin otra especificacion</t>
  </si>
  <si>
    <t>15:37:32</t>
  </si>
  <si>
    <t>SHEILYN</t>
  </si>
  <si>
    <t>LOPEZ</t>
  </si>
  <si>
    <t>11:49:26</t>
  </si>
  <si>
    <t>CALLE 20 # 16-42</t>
  </si>
  <si>
    <t>FABIAN</t>
  </si>
  <si>
    <t>MORALES</t>
  </si>
  <si>
    <t>MUÑIZ</t>
  </si>
  <si>
    <t>ARIEL</t>
  </si>
  <si>
    <t>ZAMORA</t>
  </si>
  <si>
    <t>SARMIENTO</t>
  </si>
  <si>
    <t>REPELON</t>
  </si>
  <si>
    <t>I482</t>
  </si>
  <si>
    <t>Fibrilación auricular crónica</t>
  </si>
  <si>
    <t>14:34:05</t>
  </si>
  <si>
    <t>TORO</t>
  </si>
  <si>
    <t>H001</t>
  </si>
  <si>
    <t>Calacio [chalazion]</t>
  </si>
  <si>
    <t>15:14:00</t>
  </si>
  <si>
    <t>TATIANA</t>
  </si>
  <si>
    <t>SALINA</t>
  </si>
  <si>
    <t>YANETH</t>
  </si>
  <si>
    <t>EMILE</t>
  </si>
  <si>
    <t>PICON</t>
  </si>
  <si>
    <t>RINCON</t>
  </si>
  <si>
    <t>H813</t>
  </si>
  <si>
    <t>Otros vertigos perifericos</t>
  </si>
  <si>
    <t>13:04:52</t>
  </si>
  <si>
    <t>CONRADO</t>
  </si>
  <si>
    <t>ESTRADA</t>
  </si>
  <si>
    <t>080687</t>
  </si>
  <si>
    <t>ESTEBAN</t>
  </si>
  <si>
    <t>SABANALARGA</t>
  </si>
  <si>
    <t>R634</t>
  </si>
  <si>
    <t>Perdida anormal de peso</t>
  </si>
  <si>
    <t>15:44:59</t>
  </si>
  <si>
    <t>CL 3 CA 12-60</t>
  </si>
  <si>
    <t>4850934-4851348</t>
  </si>
  <si>
    <t>ALEJANDRO</t>
  </si>
  <si>
    <t>TAMARA</t>
  </si>
  <si>
    <t>17347/2009</t>
  </si>
  <si>
    <t>HELIA</t>
  </si>
  <si>
    <t>ISABEL</t>
  </si>
  <si>
    <t>AROCA</t>
  </si>
  <si>
    <t>09:48:57</t>
  </si>
  <si>
    <t>CARRERA 25B No. 25 -152</t>
  </si>
  <si>
    <t>AUGUSTO</t>
  </si>
  <si>
    <t>SINCELEJO</t>
  </si>
  <si>
    <t>08:08:11</t>
  </si>
  <si>
    <t>JOHANNA</t>
  </si>
  <si>
    <t>ROMERO</t>
  </si>
  <si>
    <t>ANUAR</t>
  </si>
  <si>
    <t>DOMINGUEZ</t>
  </si>
  <si>
    <t>H108</t>
  </si>
  <si>
    <t>Otras conjuntivitis</t>
  </si>
  <si>
    <t>H251</t>
  </si>
  <si>
    <t>Catarata senil nuclear</t>
  </si>
  <si>
    <t>14:44:09</t>
  </si>
  <si>
    <t>CARRERA 49 C NO 82-70</t>
  </si>
  <si>
    <t>GROSSER</t>
  </si>
  <si>
    <t>08288</t>
  </si>
  <si>
    <t>MAGDA</t>
  </si>
  <si>
    <t>10:05:22</t>
  </si>
  <si>
    <t>NERYS</t>
  </si>
  <si>
    <t>ACEVEDO</t>
  </si>
  <si>
    <t>SEHUANES</t>
  </si>
  <si>
    <t>13:45:06</t>
  </si>
  <si>
    <t>15:02:42</t>
  </si>
  <si>
    <t>CARRETERA PRINCIPAL SALIDA A PLATO</t>
  </si>
  <si>
    <t>MILENA</t>
  </si>
  <si>
    <t>JULIAN</t>
  </si>
  <si>
    <t>RADA</t>
  </si>
  <si>
    <t>H811</t>
  </si>
  <si>
    <t>Vertigo paroxistico benigno</t>
  </si>
  <si>
    <t>14:47:08</t>
  </si>
  <si>
    <t>CL 10 A Nº 23 -93</t>
  </si>
  <si>
    <t>MILAGRO</t>
  </si>
  <si>
    <t>IGLESIAS</t>
  </si>
  <si>
    <t>PACHECO</t>
  </si>
  <si>
    <t>03348</t>
  </si>
  <si>
    <t>CAROLINA</t>
  </si>
  <si>
    <t>CABARCAS</t>
  </si>
  <si>
    <t>PASTRANA</t>
  </si>
  <si>
    <t>P050</t>
  </si>
  <si>
    <t>Bajo peso para la edad gestacional</t>
  </si>
  <si>
    <t>14:05:48</t>
  </si>
  <si>
    <t>YANINA</t>
  </si>
  <si>
    <t>SILVANA</t>
  </si>
  <si>
    <t>PATERNOSTRO</t>
  </si>
  <si>
    <t>CAÑAS</t>
  </si>
  <si>
    <t>LILIA</t>
  </si>
  <si>
    <t>LUNA</t>
  </si>
  <si>
    <t>MONTES</t>
  </si>
  <si>
    <t>14:59:00</t>
  </si>
  <si>
    <t>BRUSELAS TRV 36 # 36-33</t>
  </si>
  <si>
    <t>LARISSA</t>
  </si>
  <si>
    <t>MARLENE</t>
  </si>
  <si>
    <t>CANO</t>
  </si>
  <si>
    <t>DURAN</t>
  </si>
  <si>
    <t>JEISY</t>
  </si>
  <si>
    <t>MOLINA</t>
  </si>
  <si>
    <t>BARRAZA</t>
  </si>
  <si>
    <t>BECERRIL</t>
  </si>
  <si>
    <t>Urgencias</t>
  </si>
  <si>
    <t>J960</t>
  </si>
  <si>
    <t>Insuficiencia respiratoria aguda</t>
  </si>
  <si>
    <t>J154</t>
  </si>
  <si>
    <t>Neumonia debida a otros estreptococos</t>
  </si>
  <si>
    <t>15:13:37</t>
  </si>
  <si>
    <t>SANDRA</t>
  </si>
  <si>
    <t>CRESPO</t>
  </si>
  <si>
    <t>J459</t>
  </si>
  <si>
    <t>Asma, no especificado</t>
  </si>
  <si>
    <t>10:50:32</t>
  </si>
  <si>
    <t>YESSY</t>
  </si>
  <si>
    <t>CHICACAUSA</t>
  </si>
  <si>
    <t>CANDELARIA</t>
  </si>
  <si>
    <t>ANGULO</t>
  </si>
  <si>
    <t>DE RODRIGUEZ</t>
  </si>
  <si>
    <t>11:32:42</t>
  </si>
  <si>
    <t>MELISA</t>
  </si>
  <si>
    <t>IBARRA</t>
  </si>
  <si>
    <t>QUIÑONEZ</t>
  </si>
  <si>
    <t>ALCALDE</t>
  </si>
  <si>
    <t>VALDERRAMA</t>
  </si>
  <si>
    <t>G500</t>
  </si>
  <si>
    <t>Neuralgia del trigemino</t>
  </si>
  <si>
    <t>16:23:38</t>
  </si>
  <si>
    <t>CALLE 33 # 31 - 65</t>
  </si>
  <si>
    <t>OLIMPO</t>
  </si>
  <si>
    <t>ESPINOSA</t>
  </si>
  <si>
    <t>OLIVER</t>
  </si>
  <si>
    <t>ENA</t>
  </si>
  <si>
    <t>MERCADO</t>
  </si>
  <si>
    <t>ALMANZA</t>
  </si>
  <si>
    <t>E104</t>
  </si>
  <si>
    <t>Diabetes mellitus insulinodependiente, con complicaciones neurologicas</t>
  </si>
  <si>
    <t>16:38:36</t>
  </si>
  <si>
    <t>E114</t>
  </si>
  <si>
    <t>Diabetes mellitus no insulinodependiente, con complicaciones neurologicas</t>
  </si>
  <si>
    <t>16:16:42</t>
  </si>
  <si>
    <t>16:19:53</t>
  </si>
  <si>
    <t>11:24:33</t>
  </si>
  <si>
    <t>NAYELIS</t>
  </si>
  <si>
    <t>DARIANA</t>
  </si>
  <si>
    <t>PEÑALOZA</t>
  </si>
  <si>
    <t>AGUSTIN CODAZZI</t>
  </si>
  <si>
    <t>15:20:02</t>
  </si>
  <si>
    <t>LEAL</t>
  </si>
  <si>
    <t>ALVAREZ</t>
  </si>
  <si>
    <t>14:36:20</t>
  </si>
  <si>
    <t>05266</t>
  </si>
  <si>
    <t>CRA 48 # 34 SUR 10</t>
  </si>
  <si>
    <t>DUQUE</t>
  </si>
  <si>
    <t>ARBELAEZ</t>
  </si>
  <si>
    <t>81777-95</t>
  </si>
  <si>
    <t>FABIO</t>
  </si>
  <si>
    <t>MOSQUERA</t>
  </si>
  <si>
    <t>CONDOTO</t>
  </si>
  <si>
    <t>CHOCO</t>
  </si>
  <si>
    <t>C161</t>
  </si>
  <si>
    <t>Tumor maligno del fundus gastrico</t>
  </si>
  <si>
    <t>10:56:17</t>
  </si>
  <si>
    <t>calle 71 # 41 - 46 3 piso consultorio 305</t>
  </si>
  <si>
    <t>LEMBER</t>
  </si>
  <si>
    <t>08412010</t>
  </si>
  <si>
    <t>MAGNO</t>
  </si>
  <si>
    <t>MANTILLA</t>
  </si>
  <si>
    <t>PAYARES</t>
  </si>
  <si>
    <t>F840</t>
  </si>
  <si>
    <t>Autismo en la ninez</t>
  </si>
  <si>
    <t>F919</t>
  </si>
  <si>
    <t>Trastorno de la conducta, no especificado</t>
  </si>
  <si>
    <t>09:07:37</t>
  </si>
  <si>
    <t>CARRERA 19 No 24-118</t>
  </si>
  <si>
    <t>8782000 - 8783092</t>
  </si>
  <si>
    <t>ADALBERTO</t>
  </si>
  <si>
    <t>ESCORCIA</t>
  </si>
  <si>
    <t>H402</t>
  </si>
  <si>
    <t>Glaucoma primario de angulo cerrado</t>
  </si>
  <si>
    <t>09:13:34</t>
  </si>
  <si>
    <t>CRA 8 # 8-57</t>
  </si>
  <si>
    <t>2052113 - 2052913</t>
  </si>
  <si>
    <t>NEIVER</t>
  </si>
  <si>
    <t>VALDES</t>
  </si>
  <si>
    <t>RICO</t>
  </si>
  <si>
    <t>ANSERMANUEVO</t>
  </si>
  <si>
    <t>H409</t>
  </si>
  <si>
    <t>Glaucoma, no especificado</t>
  </si>
  <si>
    <t>K295</t>
  </si>
  <si>
    <t>Gastritis cronica, no especificada</t>
  </si>
  <si>
    <t>09:31:27</t>
  </si>
  <si>
    <t>13:11:41</t>
  </si>
  <si>
    <t>13:18:52</t>
  </si>
  <si>
    <t>25/01/2020</t>
  </si>
  <si>
    <t>13:26:13</t>
  </si>
  <si>
    <t>RAMBAL</t>
  </si>
  <si>
    <t>DE LA OSSA</t>
  </si>
  <si>
    <t>04288</t>
  </si>
  <si>
    <t>MARIO</t>
  </si>
  <si>
    <t>GRANADOS</t>
  </si>
  <si>
    <t>CARO</t>
  </si>
  <si>
    <t>F508</t>
  </si>
  <si>
    <t>Otros trastornos de la ingestion de alimentos</t>
  </si>
  <si>
    <t>08:54:36</t>
  </si>
  <si>
    <t>CALLE 70 No.48-56</t>
  </si>
  <si>
    <t>ARLINGTON</t>
  </si>
  <si>
    <t>CERA</t>
  </si>
  <si>
    <t>002458</t>
  </si>
  <si>
    <t>SIXTA</t>
  </si>
  <si>
    <t>TULIA</t>
  </si>
  <si>
    <t>BOKELMAN</t>
  </si>
  <si>
    <t>TERAN</t>
  </si>
  <si>
    <t>G308</t>
  </si>
  <si>
    <t>Otros tipos de enfermedad de Alzheimer</t>
  </si>
  <si>
    <t>14:23:17</t>
  </si>
  <si>
    <t>TRESPALACIOS</t>
  </si>
  <si>
    <t>ARRIETA</t>
  </si>
  <si>
    <t>H353</t>
  </si>
  <si>
    <t>Degeneracion de la macula y del polo posterior del ojo</t>
  </si>
  <si>
    <t>14:25:46</t>
  </si>
  <si>
    <t>16:36:03</t>
  </si>
  <si>
    <t>DELIA</t>
  </si>
  <si>
    <t>16:05:39</t>
  </si>
  <si>
    <t>BOANERGE</t>
  </si>
  <si>
    <t>CORONADO</t>
  </si>
  <si>
    <t>10:00:49</t>
  </si>
  <si>
    <t>CARRERA 47 Nº 84 - 157</t>
  </si>
  <si>
    <t>PIEDAD</t>
  </si>
  <si>
    <t>INMACULADA</t>
  </si>
  <si>
    <t>VIANA</t>
  </si>
  <si>
    <t>MARZOLA</t>
  </si>
  <si>
    <t>EVEY</t>
  </si>
  <si>
    <t>ALFREDO</t>
  </si>
  <si>
    <t>MENCO</t>
  </si>
  <si>
    <t>JARABA</t>
  </si>
  <si>
    <t>L400</t>
  </si>
  <si>
    <t>Psoriasis vulgar</t>
  </si>
  <si>
    <t>12:02:23</t>
  </si>
  <si>
    <t>CL 25 Nº 8 - 25</t>
  </si>
  <si>
    <t>8781338 - 8780382</t>
  </si>
  <si>
    <t>CLEMENTE</t>
  </si>
  <si>
    <t>BORGE</t>
  </si>
  <si>
    <t>SALAZAR</t>
  </si>
  <si>
    <t>RM.9490-93</t>
  </si>
  <si>
    <t>ANGELA</t>
  </si>
  <si>
    <t>DOLORES</t>
  </si>
  <si>
    <t>REYES</t>
  </si>
  <si>
    <t>DE ARAUJO</t>
  </si>
  <si>
    <t>08:44:13</t>
  </si>
  <si>
    <t>CALLE 80 No 49 C-10</t>
  </si>
  <si>
    <t>NICOLAS</t>
  </si>
  <si>
    <t>ESMERAL</t>
  </si>
  <si>
    <t>OJEDA</t>
  </si>
  <si>
    <t>PALMA</t>
  </si>
  <si>
    <t>M541</t>
  </si>
  <si>
    <t>Radiculopatia</t>
  </si>
  <si>
    <t>09:24:24</t>
  </si>
  <si>
    <t>MURGAS</t>
  </si>
  <si>
    <t>0776</t>
  </si>
  <si>
    <t>ARCELIA</t>
  </si>
  <si>
    <t>TORRADO</t>
  </si>
  <si>
    <t>M190</t>
  </si>
  <si>
    <t>Artrosis primaria de otras articulaciones</t>
  </si>
  <si>
    <t>M170</t>
  </si>
  <si>
    <t>Gonartrosis primaria, bilateral</t>
  </si>
  <si>
    <t>M759</t>
  </si>
  <si>
    <t>Lesion del hombro, no especificada</t>
  </si>
  <si>
    <t>06:28:40</t>
  </si>
  <si>
    <t>06:31:10</t>
  </si>
  <si>
    <t>E43X</t>
  </si>
  <si>
    <t>Desnutricion proteicocalorica severa, no especificada</t>
  </si>
  <si>
    <t>06:33:07</t>
  </si>
  <si>
    <t>16:48:36</t>
  </si>
  <si>
    <t>SOL</t>
  </si>
  <si>
    <t>ESCALANTE</t>
  </si>
  <si>
    <t>MARIANO</t>
  </si>
  <si>
    <t>13:34:09</t>
  </si>
  <si>
    <t>CIRO</t>
  </si>
  <si>
    <t>13:20:43</t>
  </si>
  <si>
    <t>ARLEY</t>
  </si>
  <si>
    <t>PELAEZ</t>
  </si>
  <si>
    <t>LEONILDE</t>
  </si>
  <si>
    <t>BOLAÑOS</t>
  </si>
  <si>
    <t>10:34:26</t>
  </si>
  <si>
    <t>CARRERA 16 N°16A-42</t>
  </si>
  <si>
    <t>HEBER</t>
  </si>
  <si>
    <t>CABANA</t>
  </si>
  <si>
    <t>LOIDA</t>
  </si>
  <si>
    <t>SUPELANO</t>
  </si>
  <si>
    <t>ROA</t>
  </si>
  <si>
    <t>PAILITAS</t>
  </si>
  <si>
    <t>I509</t>
  </si>
  <si>
    <t>Insuficiencia cardiaca, no especificada</t>
  </si>
  <si>
    <t>11:17:37</t>
  </si>
  <si>
    <t>CARRERA 5 # 30-43</t>
  </si>
  <si>
    <t>JULIO</t>
  </si>
  <si>
    <t>COUTIN</t>
  </si>
  <si>
    <t>ROYKOVICH</t>
  </si>
  <si>
    <t>NINFA</t>
  </si>
  <si>
    <t>PALOMEQUE</t>
  </si>
  <si>
    <t>BLANDON</t>
  </si>
  <si>
    <t>QUIBDO</t>
  </si>
  <si>
    <t>S932</t>
  </si>
  <si>
    <t>Ruptura de ligamentos a nivel del tobillo y del pie</t>
  </si>
  <si>
    <t>09:25:33</t>
  </si>
  <si>
    <t>DE AVILA</t>
  </si>
  <si>
    <t>PINTO</t>
  </si>
  <si>
    <t>M797</t>
  </si>
  <si>
    <t>Fibromialgia</t>
  </si>
  <si>
    <t>12:05:16</t>
  </si>
  <si>
    <t>CARRERA 20 No. 13-31</t>
  </si>
  <si>
    <t>GERMAN</t>
  </si>
  <si>
    <t>CLARIDET</t>
  </si>
  <si>
    <t>MADERA</t>
  </si>
  <si>
    <t>CORPUS</t>
  </si>
  <si>
    <t>CAIMITO</t>
  </si>
  <si>
    <t>B909</t>
  </si>
  <si>
    <t>Secuelas de tuberculosis respiratoria y de tuberculosis no especificada</t>
  </si>
  <si>
    <t>14:45:47</t>
  </si>
  <si>
    <t>CALLE 51 NO. 3-77</t>
  </si>
  <si>
    <t>2102446 - 3207305044</t>
  </si>
  <si>
    <t>BAYONA</t>
  </si>
  <si>
    <t>1552-5</t>
  </si>
  <si>
    <t>EDILMA</t>
  </si>
  <si>
    <t>CARDONA</t>
  </si>
  <si>
    <t>10:08:58</t>
  </si>
  <si>
    <t>CALLE 14 NUMERO 20 - 53</t>
  </si>
  <si>
    <t>MADELEINE</t>
  </si>
  <si>
    <t>GENARINA</t>
  </si>
  <si>
    <t>DE SOTOMAYOR</t>
  </si>
  <si>
    <t>SANTIAGO DE TOLU</t>
  </si>
  <si>
    <t>12:08:45</t>
  </si>
  <si>
    <t>DERECK</t>
  </si>
  <si>
    <t>DE LA ROSA</t>
  </si>
  <si>
    <t>BARRANCO</t>
  </si>
  <si>
    <t>B24X</t>
  </si>
  <si>
    <t>Enfermedad por virus de la inmunodeficiencia humana [VIH], sin otra especificacion</t>
  </si>
  <si>
    <t>08:58:22</t>
  </si>
  <si>
    <t>JUAN</t>
  </si>
  <si>
    <t>ROMAN</t>
  </si>
  <si>
    <t>BONETT</t>
  </si>
  <si>
    <t>N484</t>
  </si>
  <si>
    <t>Impotencia de origen organico</t>
  </si>
  <si>
    <t>N40X</t>
  </si>
  <si>
    <t>Hiperplasia de la prostata</t>
  </si>
  <si>
    <t>09:57:49</t>
  </si>
  <si>
    <t>CALLE 16 C Nº 17-141</t>
  </si>
  <si>
    <t>095- 5712339</t>
  </si>
  <si>
    <t>SEBASTIAN</t>
  </si>
  <si>
    <t>VILLAZON</t>
  </si>
  <si>
    <t>OVALLE</t>
  </si>
  <si>
    <t>EVINA</t>
  </si>
  <si>
    <t>LEIVA</t>
  </si>
  <si>
    <t>10:01:29</t>
  </si>
  <si>
    <t>G632</t>
  </si>
  <si>
    <t>Polineuropatia diabetica</t>
  </si>
  <si>
    <t>12:49:05</t>
  </si>
  <si>
    <t>ERNESTO</t>
  </si>
  <si>
    <t>FIDEL</t>
  </si>
  <si>
    <t>CUADRADO</t>
  </si>
  <si>
    <t>ZULETA</t>
  </si>
  <si>
    <t>YARIMA</t>
  </si>
  <si>
    <t>NILENIS</t>
  </si>
  <si>
    <t>CENTENO</t>
  </si>
  <si>
    <t>ALVARADO</t>
  </si>
  <si>
    <t>GUAMAL</t>
  </si>
  <si>
    <t>N040</t>
  </si>
  <si>
    <t>Sindrome nefrotico, anomalia glomerular minima</t>
  </si>
  <si>
    <t>15:37:19</t>
  </si>
  <si>
    <t>MOJICA</t>
  </si>
  <si>
    <t>AMAYA</t>
  </si>
  <si>
    <t>F900</t>
  </si>
  <si>
    <t>Perturbacion de la actividad y de la atencion</t>
  </si>
  <si>
    <t>09:34:49</t>
  </si>
  <si>
    <t>CRA 51B No. 96A-113 PISO 1</t>
  </si>
  <si>
    <t>GLORIA</t>
  </si>
  <si>
    <t>GARAVITO</t>
  </si>
  <si>
    <t>DE EGEA</t>
  </si>
  <si>
    <t>DAVEIVA</t>
  </si>
  <si>
    <t>ANAYA</t>
  </si>
  <si>
    <t>AGUAS</t>
  </si>
  <si>
    <t>J303</t>
  </si>
  <si>
    <t>Otras rinitis alergicas</t>
  </si>
  <si>
    <t>J450</t>
  </si>
  <si>
    <t>Asma predominantemente alergica</t>
  </si>
  <si>
    <t>13:26:07</t>
  </si>
  <si>
    <t>CALLE 38 N° 52-249</t>
  </si>
  <si>
    <t>ISINELA</t>
  </si>
  <si>
    <t>MOSCOTE</t>
  </si>
  <si>
    <t>YULIANIS</t>
  </si>
  <si>
    <t>GUARANDA</t>
  </si>
  <si>
    <t>O200</t>
  </si>
  <si>
    <t>Amenaza de aborto</t>
  </si>
  <si>
    <t>14:36:44</t>
  </si>
  <si>
    <t>KR 53 A No 8 - 10</t>
  </si>
  <si>
    <t>ELSY</t>
  </si>
  <si>
    <t>LIZETH</t>
  </si>
  <si>
    <t>CHARRIS</t>
  </si>
  <si>
    <t>CONTRERAS</t>
  </si>
  <si>
    <t>CATALINA</t>
  </si>
  <si>
    <t>F209</t>
  </si>
  <si>
    <t>Esquizofrenia, no especificada</t>
  </si>
  <si>
    <t>11:10:14</t>
  </si>
  <si>
    <t>ANDREA</t>
  </si>
  <si>
    <t>VELASCO</t>
  </si>
  <si>
    <t>BOJORGE</t>
  </si>
  <si>
    <t>MARY</t>
  </si>
  <si>
    <t>CANDELA</t>
  </si>
  <si>
    <t>TRIVIÑO</t>
  </si>
  <si>
    <t>GUACARI</t>
  </si>
  <si>
    <t>F29X</t>
  </si>
  <si>
    <t>Psicosis de origen no organico, no especificada</t>
  </si>
  <si>
    <t>11:48:21</t>
  </si>
  <si>
    <t>KARINA</t>
  </si>
  <si>
    <t>TORREGROSA</t>
  </si>
  <si>
    <t>TORNE</t>
  </si>
  <si>
    <t>04932</t>
  </si>
  <si>
    <t>KENIDER</t>
  </si>
  <si>
    <t>ESCOBAR</t>
  </si>
  <si>
    <t>15:12:44</t>
  </si>
  <si>
    <t>MARTINA</t>
  </si>
  <si>
    <t>I499</t>
  </si>
  <si>
    <t>Arritmia cardiaca, no especificada</t>
  </si>
  <si>
    <t>14:43:21</t>
  </si>
  <si>
    <t>CRA 50 No 82 - 168 PEDICENTRO CONSULTORIO 802</t>
  </si>
  <si>
    <t>ANGELICA</t>
  </si>
  <si>
    <t>RONCALLO</t>
  </si>
  <si>
    <t>DEL PORTILLO</t>
  </si>
  <si>
    <t>08-1757-02</t>
  </si>
  <si>
    <t>OLASCOAGA</t>
  </si>
  <si>
    <t>15:26:39</t>
  </si>
  <si>
    <t>calle 16 b 12 - 24</t>
  </si>
  <si>
    <t>WAKIS</t>
  </si>
  <si>
    <t>MAYORCA</t>
  </si>
  <si>
    <t>CASTILLA</t>
  </si>
  <si>
    <t>JASHAY</t>
  </si>
  <si>
    <t>SOFIA</t>
  </si>
  <si>
    <t>ROSADO</t>
  </si>
  <si>
    <t>H104</t>
  </si>
  <si>
    <t>Conjuntivitis cronica</t>
  </si>
  <si>
    <t>09:59:33</t>
  </si>
  <si>
    <t>ALICIA</t>
  </si>
  <si>
    <t>FUNEZ</t>
  </si>
  <si>
    <t>LOS PALMITOS</t>
  </si>
  <si>
    <t>K580</t>
  </si>
  <si>
    <t>Sindrome del colon irritable con diarrea</t>
  </si>
  <si>
    <t>17:36:12</t>
  </si>
  <si>
    <t>JULIETH</t>
  </si>
  <si>
    <t>VALENTINA</t>
  </si>
  <si>
    <t>O351</t>
  </si>
  <si>
    <t>Atencion materna por (presunta) anormalidad cromosomica en el feto</t>
  </si>
  <si>
    <t>14:41:03</t>
  </si>
  <si>
    <t>CALLE 16B No.11-33</t>
  </si>
  <si>
    <t>ALFONSO</t>
  </si>
  <si>
    <t>RIAÑO</t>
  </si>
  <si>
    <t>NILDO</t>
  </si>
  <si>
    <t>CARRILLO</t>
  </si>
  <si>
    <t>I634</t>
  </si>
  <si>
    <t>Infarto cerebral debido a embolia de arterias cerebrales</t>
  </si>
  <si>
    <t>15:14:31</t>
  </si>
  <si>
    <t>MUNIVE</t>
  </si>
  <si>
    <t>MEEK</t>
  </si>
  <si>
    <t>JURADO</t>
  </si>
  <si>
    <t>14:38:24</t>
  </si>
  <si>
    <t>CALLE 23 No.5-50</t>
  </si>
  <si>
    <t>SHIRLEY</t>
  </si>
  <si>
    <t>ACOSTA</t>
  </si>
  <si>
    <t>ND00746</t>
  </si>
  <si>
    <t>B334</t>
  </si>
  <si>
    <t xml:space="preserve">Sindrome (cardio) pulmonar por hantavirus [SPH] [SCPH] </t>
  </si>
  <si>
    <t>08:28:41</t>
  </si>
  <si>
    <t>CL 13 # 3N-42</t>
  </si>
  <si>
    <t>JEISSON</t>
  </si>
  <si>
    <t>LUCIA</t>
  </si>
  <si>
    <t>DE ESLAVA</t>
  </si>
  <si>
    <t>R521</t>
  </si>
  <si>
    <t>Dolor cronico intratable</t>
  </si>
  <si>
    <t>15:41:53</t>
  </si>
  <si>
    <t>VERA</t>
  </si>
  <si>
    <t>DE FONSECA</t>
  </si>
  <si>
    <t>CICUCO</t>
  </si>
  <si>
    <t>07:34:27</t>
  </si>
  <si>
    <t>CALLE 28 N° 5 - 93</t>
  </si>
  <si>
    <t>NEFER</t>
  </si>
  <si>
    <t>WILMER</t>
  </si>
  <si>
    <t>BOTELLO</t>
  </si>
  <si>
    <t>SANTA MARTA</t>
  </si>
  <si>
    <t>T905</t>
  </si>
  <si>
    <t>Secuelas de traumatismo intracraneal</t>
  </si>
  <si>
    <t>Z931</t>
  </si>
  <si>
    <t>Gastrostomia</t>
  </si>
  <si>
    <t>Z930</t>
  </si>
  <si>
    <t>Traqueostomia</t>
  </si>
  <si>
    <t>19:01:47</t>
  </si>
  <si>
    <t>EDGARDO</t>
  </si>
  <si>
    <t>ALONSO</t>
  </si>
  <si>
    <t>CHINCHIA</t>
  </si>
  <si>
    <t>R572</t>
  </si>
  <si>
    <t>Choque séptico</t>
  </si>
  <si>
    <t>12:31:00</t>
  </si>
  <si>
    <t>CARMELO</t>
  </si>
  <si>
    <t>CORREA</t>
  </si>
  <si>
    <t>I679</t>
  </si>
  <si>
    <t>Enfermedad cerebrovascular, no especificada</t>
  </si>
  <si>
    <t>09:45:51</t>
  </si>
  <si>
    <t>09:10:01</t>
  </si>
  <si>
    <t>ALBA</t>
  </si>
  <si>
    <t>ALEJANDRINA</t>
  </si>
  <si>
    <t>PUELLO</t>
  </si>
  <si>
    <t>JAYK</t>
  </si>
  <si>
    <t>15:35:47</t>
  </si>
  <si>
    <t>CALLE 30# 12-96 PISO 1</t>
  </si>
  <si>
    <t>LEONIDAS</t>
  </si>
  <si>
    <t>MOYA</t>
  </si>
  <si>
    <t>PALACIOS</t>
  </si>
  <si>
    <t>JOVITA</t>
  </si>
  <si>
    <t>AYALA</t>
  </si>
  <si>
    <t>ASPRILLA</t>
  </si>
  <si>
    <t>NOVITA</t>
  </si>
  <si>
    <t>M961</t>
  </si>
  <si>
    <t>Sindrome postlaminectomia, no clasificado en otra parte</t>
  </si>
  <si>
    <t>M544</t>
  </si>
  <si>
    <t>Lumbago con ciatica</t>
  </si>
  <si>
    <t>15:32:10</t>
  </si>
  <si>
    <t>10:14:04</t>
  </si>
  <si>
    <t>CALLE 47 NUMERO 19 - 47</t>
  </si>
  <si>
    <t>LINDIS</t>
  </si>
  <si>
    <t>D649</t>
  </si>
  <si>
    <t>Anemia de tipo no especificado</t>
  </si>
  <si>
    <t>E639</t>
  </si>
  <si>
    <t>Deficiencia nutricional, no especificada</t>
  </si>
  <si>
    <t>14:57:34</t>
  </si>
  <si>
    <t>HENRY</t>
  </si>
  <si>
    <t>MONTOYA</t>
  </si>
  <si>
    <t>ORJUELA</t>
  </si>
  <si>
    <t>H182</t>
  </si>
  <si>
    <t>Otros edemas de la cornea</t>
  </si>
  <si>
    <t>16:53:47</t>
  </si>
  <si>
    <t>LOURDES</t>
  </si>
  <si>
    <t>CALAMAR</t>
  </si>
  <si>
    <t>07:17:10</t>
  </si>
  <si>
    <t>ROSSANA</t>
  </si>
  <si>
    <t>ALTAMAR</t>
  </si>
  <si>
    <t>SANABRIA</t>
  </si>
  <si>
    <t>Hospitalario  Domiciliario</t>
  </si>
  <si>
    <t>14:08:22</t>
  </si>
  <si>
    <t>CATHERINE</t>
  </si>
  <si>
    <t>LOZADA</t>
  </si>
  <si>
    <t>052724</t>
  </si>
  <si>
    <t>CAMPO</t>
  </si>
  <si>
    <t>BOBADILLO</t>
  </si>
  <si>
    <t>E116</t>
  </si>
  <si>
    <t>Diabetes mellitus no insulinodependiente, con otras complicaciones especificadas</t>
  </si>
  <si>
    <t>E669</t>
  </si>
  <si>
    <t>Obesidad, no especificada</t>
  </si>
  <si>
    <t>16:06:13</t>
  </si>
  <si>
    <t>AGUSTIN</t>
  </si>
  <si>
    <t>HENRIQUEZ</t>
  </si>
  <si>
    <t>PABLO</t>
  </si>
  <si>
    <t>TORREZ</t>
  </si>
  <si>
    <t>J449</t>
  </si>
  <si>
    <t>Enfermedad pulmonar obstructiva cronica, no especificada</t>
  </si>
  <si>
    <t>17:53:52</t>
  </si>
  <si>
    <t>CARRERA 7#30-28</t>
  </si>
  <si>
    <t>GILBERTO</t>
  </si>
  <si>
    <t>IBARGUEN</t>
  </si>
  <si>
    <t>JHON</t>
  </si>
  <si>
    <t>HINESTROZA</t>
  </si>
  <si>
    <t>K510</t>
  </si>
  <si>
    <t xml:space="preserve">Pancolitis ulcerativa (cronica) </t>
  </si>
  <si>
    <t>15:30:07</t>
  </si>
  <si>
    <t>EDINSON</t>
  </si>
  <si>
    <t>SANGUINO</t>
  </si>
  <si>
    <t>14:04:44</t>
  </si>
  <si>
    <t>EMER</t>
  </si>
  <si>
    <t>DORIA</t>
  </si>
  <si>
    <t>H045</t>
  </si>
  <si>
    <t>Estenosis e insuficiencia de las vias lagrimales</t>
  </si>
  <si>
    <t>16:14:33</t>
  </si>
  <si>
    <t>NANCY</t>
  </si>
  <si>
    <t>SALCEDO</t>
  </si>
  <si>
    <t>BADILLO</t>
  </si>
  <si>
    <t>08:44:03</t>
  </si>
  <si>
    <t>KR 3BIS #1-40</t>
  </si>
  <si>
    <t>22104152 - 22104153</t>
  </si>
  <si>
    <t>LEON</t>
  </si>
  <si>
    <t>DULCE</t>
  </si>
  <si>
    <t>RENTERIA</t>
  </si>
  <si>
    <t>G409</t>
  </si>
  <si>
    <t>Epilepsia, tipo no especificado</t>
  </si>
  <si>
    <t>Q909</t>
  </si>
  <si>
    <t>Sindrome de Down, no especificado</t>
  </si>
  <si>
    <t>10:27:43</t>
  </si>
  <si>
    <t>FAJARDO</t>
  </si>
  <si>
    <t>5-1199</t>
  </si>
  <si>
    <t>MARLENY</t>
  </si>
  <si>
    <t>GORDILLO</t>
  </si>
  <si>
    <t>10:20:47</t>
  </si>
  <si>
    <t>CALLE 21 # 19-29 piso 2</t>
  </si>
  <si>
    <t>DUARTE</t>
  </si>
  <si>
    <t>1599-2011</t>
  </si>
  <si>
    <t>INGRIS</t>
  </si>
  <si>
    <t>16:48:35</t>
  </si>
  <si>
    <t>CALLE 28 Nº 22 - 45</t>
  </si>
  <si>
    <t>DENIS</t>
  </si>
  <si>
    <t>RAQUEL</t>
  </si>
  <si>
    <t>YULIS</t>
  </si>
  <si>
    <t>BERDUGO</t>
  </si>
  <si>
    <t>08:59:07</t>
  </si>
  <si>
    <t>MORA</t>
  </si>
  <si>
    <t>R.M. 958/9</t>
  </si>
  <si>
    <t>ALEMAN</t>
  </si>
  <si>
    <t>VILLALOBOS</t>
  </si>
  <si>
    <t>EL BANCO</t>
  </si>
  <si>
    <t>H160</t>
  </si>
  <si>
    <t>ulcera de la cornea</t>
  </si>
  <si>
    <t>13:35:43</t>
  </si>
  <si>
    <t>EUGENIA</t>
  </si>
  <si>
    <t>MACKENZIE</t>
  </si>
  <si>
    <t>DONNA</t>
  </si>
  <si>
    <t>SUSANA</t>
  </si>
  <si>
    <t>E221</t>
  </si>
  <si>
    <t>Hiperprolactinemia</t>
  </si>
  <si>
    <t>19:11:03</t>
  </si>
  <si>
    <t>CARRERA 13 #16-45</t>
  </si>
  <si>
    <t>3012521066 - 3215453690</t>
  </si>
  <si>
    <t>MONTERO</t>
  </si>
  <si>
    <t>CORTES</t>
  </si>
  <si>
    <t>085491</t>
  </si>
  <si>
    <t>10:54:18</t>
  </si>
  <si>
    <t>IGNACIO</t>
  </si>
  <si>
    <t>RAMON</t>
  </si>
  <si>
    <t>NEGRETTE</t>
  </si>
  <si>
    <t>ISAZA</t>
  </si>
  <si>
    <t>ILSE</t>
  </si>
  <si>
    <t>CANTILLO</t>
  </si>
  <si>
    <t>M751</t>
  </si>
  <si>
    <t>Sindrome del manguito rotatorio</t>
  </si>
  <si>
    <t>16:23:53</t>
  </si>
  <si>
    <t>Kr 4 No. 24-88</t>
  </si>
  <si>
    <t>ALVARO</t>
  </si>
  <si>
    <t>ROSAS</t>
  </si>
  <si>
    <t>INSUASTY</t>
  </si>
  <si>
    <t>GERARDO</t>
  </si>
  <si>
    <t>17:02:35</t>
  </si>
  <si>
    <t>09:48:33</t>
  </si>
  <si>
    <t>LUCILA</t>
  </si>
  <si>
    <t>DE ARANGO</t>
  </si>
  <si>
    <t>F069</t>
  </si>
  <si>
    <t>Trastorno mental no especificado debido a lesion y disfuncion cerebral y a enfermedad fisica</t>
  </si>
  <si>
    <t>16:23:43</t>
  </si>
  <si>
    <t>GLADYS</t>
  </si>
  <si>
    <t>DE MARTINEZ</t>
  </si>
  <si>
    <t>08:40:04</t>
  </si>
  <si>
    <t>CENITH</t>
  </si>
  <si>
    <t>MARIELA</t>
  </si>
  <si>
    <t>BENAVIDES</t>
  </si>
  <si>
    <t>14:09:37</t>
  </si>
  <si>
    <t>CL 13 # 2-07</t>
  </si>
  <si>
    <t>ALEX</t>
  </si>
  <si>
    <t>DUPERLY</t>
  </si>
  <si>
    <t>BROCHERO</t>
  </si>
  <si>
    <t>BUENO</t>
  </si>
  <si>
    <t>DANIEL</t>
  </si>
  <si>
    <t>15:56:51</t>
  </si>
  <si>
    <t>CALLE 7 ENTRE KRAS 17 Y 18</t>
  </si>
  <si>
    <t>BAYRON</t>
  </si>
  <si>
    <t>CADENA</t>
  </si>
  <si>
    <t>HERNAN</t>
  </si>
  <si>
    <t>NOGUERA</t>
  </si>
  <si>
    <t>T913</t>
  </si>
  <si>
    <t>Secuelas de traumatismo de la medula espinal</t>
  </si>
  <si>
    <t>14:49:52</t>
  </si>
  <si>
    <t>Carrera 8 No. 13B-135</t>
  </si>
  <si>
    <t>5745834-5742921</t>
  </si>
  <si>
    <t>GAMARRA</t>
  </si>
  <si>
    <t>08:03:52</t>
  </si>
  <si>
    <t>CARRERA 67 A No. 31 - B - 116 MANZANA C LOTE 23</t>
  </si>
  <si>
    <t>6714131-6616830</t>
  </si>
  <si>
    <t>ENILDA</t>
  </si>
  <si>
    <t>VILLANUEVA</t>
  </si>
  <si>
    <t>13:11:29</t>
  </si>
  <si>
    <t>CARRERA 48 Numero 70-139</t>
  </si>
  <si>
    <t>LETICIA</t>
  </si>
  <si>
    <t>RAMONA</t>
  </si>
  <si>
    <t>ARIZA</t>
  </si>
  <si>
    <t>OWEN</t>
  </si>
  <si>
    <t>11:44:31</t>
  </si>
  <si>
    <t>IGINIO</t>
  </si>
  <si>
    <t>CAVIEDES</t>
  </si>
  <si>
    <t>CUAO</t>
  </si>
  <si>
    <t>Z132</t>
  </si>
  <si>
    <t>Examen de pesquisa especial para trastornos de la nutricion</t>
  </si>
  <si>
    <t>08:35:48</t>
  </si>
  <si>
    <t>NERIS</t>
  </si>
  <si>
    <t>HURTADO</t>
  </si>
  <si>
    <t>11:57:43</t>
  </si>
  <si>
    <t>CASTELLANA TV 71B No. 31-64 SECTOR CONTADORA</t>
  </si>
  <si>
    <t>WRIGHT</t>
  </si>
  <si>
    <t>DIOMAR</t>
  </si>
  <si>
    <t>ESTI</t>
  </si>
  <si>
    <t>VIDES</t>
  </si>
  <si>
    <t>TORRECILLA</t>
  </si>
  <si>
    <t>L031</t>
  </si>
  <si>
    <t>Celulitis de otras partes de los miembros</t>
  </si>
  <si>
    <t>14:03:33</t>
  </si>
  <si>
    <t>14:24:09</t>
  </si>
  <si>
    <t>MALDONADO</t>
  </si>
  <si>
    <t>NATIVIDAD</t>
  </si>
  <si>
    <t>DE LOPEZ</t>
  </si>
  <si>
    <t>10:38:42</t>
  </si>
  <si>
    <t>CLL 1a EL EDEN DG 32 No. 82-40</t>
  </si>
  <si>
    <t>KALIL</t>
  </si>
  <si>
    <t>KAFURY</t>
  </si>
  <si>
    <t>BENEDETTY</t>
  </si>
  <si>
    <t>ENALBA</t>
  </si>
  <si>
    <t>REGINA</t>
  </si>
  <si>
    <t>LOBO</t>
  </si>
  <si>
    <t>EL CARMEN DE BOLIVAR</t>
  </si>
  <si>
    <t>D434</t>
  </si>
  <si>
    <t>Tumor de comportamiento incierto o desconocido de la medula espinal</t>
  </si>
  <si>
    <t>10:04:19</t>
  </si>
  <si>
    <t>BELARMINA</t>
  </si>
  <si>
    <t>GALVEZ</t>
  </si>
  <si>
    <t>MARIN</t>
  </si>
  <si>
    <t>I830</t>
  </si>
  <si>
    <t>Venas varicosas de los miembros inferiores con ulcera</t>
  </si>
  <si>
    <t>11:22:16</t>
  </si>
  <si>
    <t>ISELA</t>
  </si>
  <si>
    <t>SOPLAVIENTO</t>
  </si>
  <si>
    <t>13:52:37</t>
  </si>
  <si>
    <t>CARRERA 19 A # 14 A - 72</t>
  </si>
  <si>
    <t>3205690149 2714020</t>
  </si>
  <si>
    <t>CHADID</t>
  </si>
  <si>
    <t>JOAQUIN</t>
  </si>
  <si>
    <t>BLANCO</t>
  </si>
  <si>
    <t>SAN ONOFRE</t>
  </si>
  <si>
    <t>16:25:11</t>
  </si>
  <si>
    <t>GALLARDO</t>
  </si>
  <si>
    <t>DE GARCIA</t>
  </si>
  <si>
    <t>11:19:28</t>
  </si>
  <si>
    <t>BAENA</t>
  </si>
  <si>
    <t>RESTREPO</t>
  </si>
  <si>
    <t>EL CAIRO</t>
  </si>
  <si>
    <t>08:09:51</t>
  </si>
  <si>
    <t>DARIO</t>
  </si>
  <si>
    <t>VIZCAINO</t>
  </si>
  <si>
    <t>LARA</t>
  </si>
  <si>
    <t>CECILIA</t>
  </si>
  <si>
    <t>PASCUALES</t>
  </si>
  <si>
    <t>I832</t>
  </si>
  <si>
    <t>Venas varicosas de los miembros inferiores con ulcera e inflamacion</t>
  </si>
  <si>
    <t>22:19:24</t>
  </si>
  <si>
    <t>MANOTAS</t>
  </si>
  <si>
    <t>ADIELA</t>
  </si>
  <si>
    <t>GRISALES</t>
  </si>
  <si>
    <t>DE GAVIRIA</t>
  </si>
  <si>
    <t>M158</t>
  </si>
  <si>
    <t>Otras poliartrosis</t>
  </si>
  <si>
    <t>K804</t>
  </si>
  <si>
    <t>Calculo de conducto biliar con colecistitis</t>
  </si>
  <si>
    <t>10:59:37</t>
  </si>
  <si>
    <t>MARGARITA</t>
  </si>
  <si>
    <t>DE ARIAS</t>
  </si>
  <si>
    <t>H571</t>
  </si>
  <si>
    <t>Dolor ocular</t>
  </si>
  <si>
    <t>10:55:32</t>
  </si>
  <si>
    <t>14:33:18</t>
  </si>
  <si>
    <t>INES</t>
  </si>
  <si>
    <t>FERREIRA</t>
  </si>
  <si>
    <t>LATIF</t>
  </si>
  <si>
    <t>T784</t>
  </si>
  <si>
    <t>Alergia no especificada</t>
  </si>
  <si>
    <t>10:29:57</t>
  </si>
  <si>
    <t>CLAUDIO</t>
  </si>
  <si>
    <t>AGUIRRE</t>
  </si>
  <si>
    <t>CASTAÑEDA</t>
  </si>
  <si>
    <t>AMPARO</t>
  </si>
  <si>
    <t>LA UNION</t>
  </si>
  <si>
    <t>G438</t>
  </si>
  <si>
    <t>Otras migranas</t>
  </si>
  <si>
    <t>15:32:31</t>
  </si>
  <si>
    <t>ESMERALDA</t>
  </si>
  <si>
    <t>C539</t>
  </si>
  <si>
    <t>Tumor maligno del cuello del utero, sin otra especificacion</t>
  </si>
  <si>
    <t>10:40:49</t>
  </si>
  <si>
    <t>RUDESINDO</t>
  </si>
  <si>
    <t>N19X</t>
  </si>
  <si>
    <t>Insuficiencia renal no especificada</t>
  </si>
  <si>
    <t>I718</t>
  </si>
  <si>
    <t>Ruptura de aneurisma aortico, sitio no especificado</t>
  </si>
  <si>
    <t>15:42:07</t>
  </si>
  <si>
    <t>SAMUEL</t>
  </si>
  <si>
    <t>PATERNINA</t>
  </si>
  <si>
    <t>QUINTANA</t>
  </si>
  <si>
    <t>16:02:07</t>
  </si>
  <si>
    <t>09:36:27</t>
  </si>
  <si>
    <t>MARTA</t>
  </si>
  <si>
    <t>E780</t>
  </si>
  <si>
    <t>Hipercolesterolemia pura</t>
  </si>
  <si>
    <t>08:55:35</t>
  </si>
  <si>
    <t>DONALDO</t>
  </si>
  <si>
    <t>MEDINA</t>
  </si>
  <si>
    <t>J302</t>
  </si>
  <si>
    <t>Otra rinitis alergica estacional</t>
  </si>
  <si>
    <t>06:37:57</t>
  </si>
  <si>
    <t>ALEXIS</t>
  </si>
  <si>
    <t>VANEGAS</t>
  </si>
  <si>
    <t>F064</t>
  </si>
  <si>
    <t>Trastorno de ansiedad, organico</t>
  </si>
  <si>
    <t>06:35:45</t>
  </si>
  <si>
    <t>16:50:56</t>
  </si>
  <si>
    <t>MERCEDES</t>
  </si>
  <si>
    <t>LIDUEÑAS</t>
  </si>
  <si>
    <t>H010</t>
  </si>
  <si>
    <t>Blefaritis</t>
  </si>
  <si>
    <t>H110</t>
  </si>
  <si>
    <t>Pterigion</t>
  </si>
  <si>
    <t>11:52:16</t>
  </si>
  <si>
    <t>10:52:10</t>
  </si>
  <si>
    <t>JUANA</t>
  </si>
  <si>
    <t>BAUTISTA</t>
  </si>
  <si>
    <t>DITA</t>
  </si>
  <si>
    <t>DE MORALES</t>
  </si>
  <si>
    <t>12:08:27</t>
  </si>
  <si>
    <t>LESLIE</t>
  </si>
  <si>
    <t>MEZA</t>
  </si>
  <si>
    <t>SEQUEDA</t>
  </si>
  <si>
    <t>G401</t>
  </si>
  <si>
    <t>Epilepsia y sindromes epilepticos sintomaticos relacionados con localizaciones (focales)(parciales) y con ataques parciales simples</t>
  </si>
  <si>
    <t>F700</t>
  </si>
  <si>
    <t>Retraso mental leve, deterioro del comportamiento nulo o minimo</t>
  </si>
  <si>
    <t>08:45:32</t>
  </si>
  <si>
    <t>GINA</t>
  </si>
  <si>
    <t>PEÑA</t>
  </si>
  <si>
    <t>JHONEISTER</t>
  </si>
  <si>
    <t>COLON</t>
  </si>
  <si>
    <t>F819</t>
  </si>
  <si>
    <t>Trastorno del desarrollo de las habilidades escolares, no especificado</t>
  </si>
  <si>
    <t>15:54:23</t>
  </si>
  <si>
    <t>ELKIN</t>
  </si>
  <si>
    <t>BELTRAN</t>
  </si>
  <si>
    <t>CARRASCAL</t>
  </si>
  <si>
    <t>G433</t>
  </si>
  <si>
    <t>Migrana complicada</t>
  </si>
  <si>
    <t>14:41:22</t>
  </si>
  <si>
    <t>CALLE 6 # 17-55. EDIFICIO ÍCONO. PISO 2</t>
  </si>
  <si>
    <t>3400938 - 3175860041</t>
  </si>
  <si>
    <t>MARCELA</t>
  </si>
  <si>
    <t>AZULA</t>
  </si>
  <si>
    <t>SIMONA</t>
  </si>
  <si>
    <t>CUESTA</t>
  </si>
  <si>
    <t>16:00:05</t>
  </si>
  <si>
    <t>6254/1991</t>
  </si>
  <si>
    <t>CARDOSO</t>
  </si>
  <si>
    <t>BETIN</t>
  </si>
  <si>
    <t>10:09:59</t>
  </si>
  <si>
    <t>YULIANA</t>
  </si>
  <si>
    <t>TAPIAS</t>
  </si>
  <si>
    <t>L219</t>
  </si>
  <si>
    <t>Dermatitis seborreica, no especificada</t>
  </si>
  <si>
    <t>11:31:31</t>
  </si>
  <si>
    <t>AURA</t>
  </si>
  <si>
    <t>MUNERA</t>
  </si>
  <si>
    <t>DE BERMUDEZ</t>
  </si>
  <si>
    <t>M805</t>
  </si>
  <si>
    <t>Osteoporosis idiopatica, con fractura patologica</t>
  </si>
  <si>
    <t>16:12:19</t>
  </si>
  <si>
    <t>08:51:05</t>
  </si>
  <si>
    <t>QUINTERO</t>
  </si>
  <si>
    <t>4740/2003</t>
  </si>
  <si>
    <t>TUBARA</t>
  </si>
  <si>
    <t>15:28:50</t>
  </si>
  <si>
    <t>ELISA</t>
  </si>
  <si>
    <t>15:54:17</t>
  </si>
  <si>
    <t>MARISOL</t>
  </si>
  <si>
    <t>RIVAS</t>
  </si>
  <si>
    <t>R104</t>
  </si>
  <si>
    <t>Otros dolores abdominales y los no especificados</t>
  </si>
  <si>
    <t>10:57:06</t>
  </si>
  <si>
    <t>MATILDE</t>
  </si>
  <si>
    <t>09:24:41</t>
  </si>
  <si>
    <t>15:35:10</t>
  </si>
  <si>
    <t>Transversal 36 No 36-33</t>
  </si>
  <si>
    <t>(095)6475420</t>
  </si>
  <si>
    <t>LUISA</t>
  </si>
  <si>
    <t>BALLEN</t>
  </si>
  <si>
    <t>BARRERA</t>
  </si>
  <si>
    <t>MND04464</t>
  </si>
  <si>
    <t>SAN ESTANISLAO</t>
  </si>
  <si>
    <t>18:10:51</t>
  </si>
  <si>
    <t>YENNY</t>
  </si>
  <si>
    <t>BLANQUICETT</t>
  </si>
  <si>
    <t>KELSY</t>
  </si>
  <si>
    <t>SILVIA</t>
  </si>
  <si>
    <t>SAN LUIS DE SINCE</t>
  </si>
  <si>
    <t>P95X</t>
  </si>
  <si>
    <t>Muerte fetal de causa no especificada</t>
  </si>
  <si>
    <t>Z800</t>
  </si>
  <si>
    <t>Historia familiar de tumor maligno de organos digestivos</t>
  </si>
  <si>
    <t>12:22:08</t>
  </si>
  <si>
    <t>MIRTALDA</t>
  </si>
  <si>
    <t>CHAVEZ</t>
  </si>
  <si>
    <t>09:10:49</t>
  </si>
  <si>
    <t>CAMILO</t>
  </si>
  <si>
    <t>COTUA</t>
  </si>
  <si>
    <t>URZOLA</t>
  </si>
  <si>
    <t>FARCO</t>
  </si>
  <si>
    <t>G20X</t>
  </si>
  <si>
    <t>Enfermedad de Parkinson</t>
  </si>
  <si>
    <t>YARLEIDIS</t>
  </si>
  <si>
    <t>LURUACO</t>
  </si>
  <si>
    <t>H102</t>
  </si>
  <si>
    <t>Otras conjuntivitis agudas</t>
  </si>
  <si>
    <t>10:33:53</t>
  </si>
  <si>
    <t>CARRERA 51 No82-197</t>
  </si>
  <si>
    <t>PERTUZ</t>
  </si>
  <si>
    <t>PINZON</t>
  </si>
  <si>
    <t>ETILVIA</t>
  </si>
  <si>
    <t>POLO</t>
  </si>
  <si>
    <t>E107</t>
  </si>
  <si>
    <t>Diabetes mellitus insulinodependiente, con complicaciones multiples</t>
  </si>
  <si>
    <t>10:43:39</t>
  </si>
  <si>
    <t>09:16:36</t>
  </si>
  <si>
    <t>JAIDER</t>
  </si>
  <si>
    <t>JUNIOR</t>
  </si>
  <si>
    <t>LIÑAN</t>
  </si>
  <si>
    <t>CLEMENCIA</t>
  </si>
  <si>
    <t>F638</t>
  </si>
  <si>
    <t>Otros trastornos de los habitos y de los impulsos</t>
  </si>
  <si>
    <t>F818</t>
  </si>
  <si>
    <t>Otros trastornos del desarrollo de las habilidades escolares</t>
  </si>
  <si>
    <t>11:50:52</t>
  </si>
  <si>
    <t>OSCAR</t>
  </si>
  <si>
    <t>REVOLLO</t>
  </si>
  <si>
    <t>FERNANDA</t>
  </si>
  <si>
    <t>SAMPUES</t>
  </si>
  <si>
    <t>G121</t>
  </si>
  <si>
    <t>Otras atrofias musculares espinales hereditarias</t>
  </si>
  <si>
    <t>08:33:58</t>
  </si>
  <si>
    <t>SANTA</t>
  </si>
  <si>
    <t>16:40:36</t>
  </si>
  <si>
    <t>ESPAÑA</t>
  </si>
  <si>
    <t>DE RIOS</t>
  </si>
  <si>
    <t>N393</t>
  </si>
  <si>
    <t>Incontinencia urinaria por tension</t>
  </si>
  <si>
    <t>11:07:46</t>
  </si>
  <si>
    <t>PIZARRO</t>
  </si>
  <si>
    <t>PORTO</t>
  </si>
  <si>
    <t>11:50:06</t>
  </si>
  <si>
    <t>Calle 23 CARRERA 14 ESQUINA</t>
  </si>
  <si>
    <t>4346262 EXT 201, 233</t>
  </si>
  <si>
    <t>JOHN</t>
  </si>
  <si>
    <t>PEDROZO</t>
  </si>
  <si>
    <t>PUPO</t>
  </si>
  <si>
    <t>470313-12</t>
  </si>
  <si>
    <t>DORIAN</t>
  </si>
  <si>
    <t>HINCAPIE</t>
  </si>
  <si>
    <t>14:35:09</t>
  </si>
  <si>
    <t>calle 14a numero 3-28</t>
  </si>
  <si>
    <t>RAUL</t>
  </si>
  <si>
    <t>REMIGIO</t>
  </si>
  <si>
    <t>TRAVIESO</t>
  </si>
  <si>
    <t>HORTENCIA</t>
  </si>
  <si>
    <t>GORDON</t>
  </si>
  <si>
    <t>BARRETO</t>
  </si>
  <si>
    <t>08:35:05</t>
  </si>
  <si>
    <t>YELIS</t>
  </si>
  <si>
    <t>FABIANA</t>
  </si>
  <si>
    <t>ARAGON</t>
  </si>
  <si>
    <t>09:04:20</t>
  </si>
  <si>
    <t>ANGIE</t>
  </si>
  <si>
    <t>L500</t>
  </si>
  <si>
    <t>Urticaria alergica</t>
  </si>
  <si>
    <t>12:33:15</t>
  </si>
  <si>
    <t>CARRERA 50 No. 80-216</t>
  </si>
  <si>
    <t>URINA</t>
  </si>
  <si>
    <t>TRIANA</t>
  </si>
  <si>
    <t>7070/83</t>
  </si>
  <si>
    <t>GARIZAO</t>
  </si>
  <si>
    <t>10:54:20</t>
  </si>
  <si>
    <t>ASCENCIO</t>
  </si>
  <si>
    <t>CANCHILA</t>
  </si>
  <si>
    <t>TOLU VIEJO</t>
  </si>
  <si>
    <t>J432</t>
  </si>
  <si>
    <t>Enfisema centrolobular</t>
  </si>
  <si>
    <t>16:12:05</t>
  </si>
  <si>
    <t>ABRAHAM</t>
  </si>
  <si>
    <t>RINALDI</t>
  </si>
  <si>
    <t>ATENCIA</t>
  </si>
  <si>
    <t>NESTOR</t>
  </si>
  <si>
    <t>LOZANO</t>
  </si>
  <si>
    <t>RANGEL</t>
  </si>
  <si>
    <t>J180</t>
  </si>
  <si>
    <t>Bronconeumonia, no especificada</t>
  </si>
  <si>
    <t>15:29:03</t>
  </si>
  <si>
    <t>CLARA</t>
  </si>
  <si>
    <t>F001</t>
  </si>
  <si>
    <t>Demencia  en la enfermedad de Alzheimer, de comienzo tardio</t>
  </si>
  <si>
    <t>F238</t>
  </si>
  <si>
    <t>Otros trastornos psicoticos agudos y transitorios</t>
  </si>
  <si>
    <t>14:16:39</t>
  </si>
  <si>
    <t>CELIN</t>
  </si>
  <si>
    <t>MERIÑO</t>
  </si>
  <si>
    <t>SITIONUEVO</t>
  </si>
  <si>
    <t>15:50:32</t>
  </si>
  <si>
    <t>ARIS</t>
  </si>
  <si>
    <t>CORTAZA</t>
  </si>
  <si>
    <t>GENESIS</t>
  </si>
  <si>
    <t>TURIZO</t>
  </si>
  <si>
    <t>23:16:28</t>
  </si>
  <si>
    <t>J189</t>
  </si>
  <si>
    <t>Neumonia, no especificada</t>
  </si>
  <si>
    <t>10:29:24</t>
  </si>
  <si>
    <t>EMILIA</t>
  </si>
  <si>
    <t>PADILLA</t>
  </si>
  <si>
    <t>H041</t>
  </si>
  <si>
    <t>Otros trastornos de la glandula lagrimal</t>
  </si>
  <si>
    <t>09:41:33</t>
  </si>
  <si>
    <t>CRA 4 # 17-67</t>
  </si>
  <si>
    <t>NILA</t>
  </si>
  <si>
    <t>13:58:29</t>
  </si>
  <si>
    <t>MAURICIO</t>
  </si>
  <si>
    <t>TAFUR</t>
  </si>
  <si>
    <t>MAISON</t>
  </si>
  <si>
    <t>LARGO</t>
  </si>
  <si>
    <t>SEPULVEDA</t>
  </si>
  <si>
    <t>14:42:37</t>
  </si>
  <si>
    <t>CERPA</t>
  </si>
  <si>
    <t>R195</t>
  </si>
  <si>
    <t>Otras anormalidades fecales</t>
  </si>
  <si>
    <t>12:44:27</t>
  </si>
  <si>
    <t>VIVES</t>
  </si>
  <si>
    <t>08/29430/1</t>
  </si>
  <si>
    <t>PUERTO COLOMBIA</t>
  </si>
  <si>
    <t>S050</t>
  </si>
  <si>
    <t>Traumatismo de la conjuntiva y abrasion corneal sin mencion de cuerpo extrano</t>
  </si>
  <si>
    <t>21:47:34</t>
  </si>
  <si>
    <t>TAMALAMEQUE</t>
  </si>
  <si>
    <t>09:15:19</t>
  </si>
  <si>
    <t>ANGELO</t>
  </si>
  <si>
    <t>GEOVANNI</t>
  </si>
  <si>
    <t>ARZUAGA</t>
  </si>
  <si>
    <t>008346</t>
  </si>
  <si>
    <t>IGLESIA</t>
  </si>
  <si>
    <t>11:19:00</t>
  </si>
  <si>
    <t>08573</t>
  </si>
  <si>
    <t>Cra.30 Corredor Universitario No.1-850 Puerto Colombia-4 Piso Torre Sabbag - Porto Azul</t>
  </si>
  <si>
    <t>ROBERTO</t>
  </si>
  <si>
    <t>NELSON</t>
  </si>
  <si>
    <t>JUSTO</t>
  </si>
  <si>
    <t>CRUZ</t>
  </si>
  <si>
    <t>URANGO</t>
  </si>
  <si>
    <t>K30X</t>
  </si>
  <si>
    <t>Dispepsia funcional</t>
  </si>
  <si>
    <t>K740</t>
  </si>
  <si>
    <t>Fibrosis hepatica</t>
  </si>
  <si>
    <t>14:48:49</t>
  </si>
  <si>
    <t>FRANCIA</t>
  </si>
  <si>
    <t>DE LA CONCEPCION</t>
  </si>
  <si>
    <t>MOLINARES</t>
  </si>
  <si>
    <t>09:54:31</t>
  </si>
  <si>
    <t>SILVIANA</t>
  </si>
  <si>
    <t>GARRIDO</t>
  </si>
  <si>
    <t>CABRERA</t>
  </si>
  <si>
    <t>10288/2005</t>
  </si>
  <si>
    <t>PUENTES</t>
  </si>
  <si>
    <t>CHINU</t>
  </si>
  <si>
    <t>SI</t>
  </si>
  <si>
    <t>0994</t>
  </si>
  <si>
    <t>Hipercolesterolemia familiar homocigota</t>
  </si>
  <si>
    <t>09:55:22</t>
  </si>
  <si>
    <t>PRECIADO</t>
  </si>
  <si>
    <t>3049/94</t>
  </si>
  <si>
    <t>JOSEFINA</t>
  </si>
  <si>
    <t>DE VIDES</t>
  </si>
  <si>
    <t>SAN JUAN DE BETULIA</t>
  </si>
  <si>
    <t>N952</t>
  </si>
  <si>
    <t>Vaginitis atrofica postmenopausica</t>
  </si>
  <si>
    <t>13:48:16</t>
  </si>
  <si>
    <t>CONSUELO</t>
  </si>
  <si>
    <t>08:12:58</t>
  </si>
  <si>
    <t>18:11:21</t>
  </si>
  <si>
    <t>BUENAVENTURA</t>
  </si>
  <si>
    <t>MELENDRES</t>
  </si>
  <si>
    <t>10:30:03</t>
  </si>
  <si>
    <t>ALCIDES</t>
  </si>
  <si>
    <t>RODELO</t>
  </si>
  <si>
    <t>NAVA</t>
  </si>
  <si>
    <t>L208</t>
  </si>
  <si>
    <t>Otras dermatitis atopicas</t>
  </si>
  <si>
    <t>15:40:56</t>
  </si>
  <si>
    <t>13:18:59</t>
  </si>
  <si>
    <t>05001</t>
  </si>
  <si>
    <t>CALLE 64 CON CARRERA 51 D</t>
  </si>
  <si>
    <t>KLIDYS</t>
  </si>
  <si>
    <t>SOBRECAMA</t>
  </si>
  <si>
    <t>PIZARIO</t>
  </si>
  <si>
    <t>ISTMINA</t>
  </si>
  <si>
    <t>B829</t>
  </si>
  <si>
    <t>Parasitosis intestinal, sin otra especificacion</t>
  </si>
  <si>
    <t>01:58:43</t>
  </si>
  <si>
    <t>NADIA</t>
  </si>
  <si>
    <t>VINASCO</t>
  </si>
  <si>
    <t>0511812</t>
  </si>
  <si>
    <t>14:41:31</t>
  </si>
  <si>
    <t>L258</t>
  </si>
  <si>
    <t>Dermatitis de contacto, forma no especificada, debida a otros agentes</t>
  </si>
  <si>
    <t>15:23:39</t>
  </si>
  <si>
    <t>JOSEFA</t>
  </si>
  <si>
    <t>M150</t>
  </si>
  <si>
    <t>(Osteo)artrosis primaria generalizada</t>
  </si>
  <si>
    <t>10:18:34</t>
  </si>
  <si>
    <t>CALLE 16 # 10a-143</t>
  </si>
  <si>
    <t>QUESSEP</t>
  </si>
  <si>
    <t>YULEIXIS</t>
  </si>
  <si>
    <t>MENDIZ</t>
  </si>
  <si>
    <t>N200</t>
  </si>
  <si>
    <t>Calculo del rinon</t>
  </si>
  <si>
    <t>08:40:12</t>
  </si>
  <si>
    <t>TERESA</t>
  </si>
  <si>
    <t>JARAMILLO</t>
  </si>
  <si>
    <t>G710</t>
  </si>
  <si>
    <t>Distrofia muscular</t>
  </si>
  <si>
    <t>08:44:31</t>
  </si>
  <si>
    <t>08:59:33</t>
  </si>
  <si>
    <t>YORGELIS</t>
  </si>
  <si>
    <t>NIETO</t>
  </si>
  <si>
    <t>10:41:05</t>
  </si>
  <si>
    <t>MAILEN</t>
  </si>
  <si>
    <t>GAITAN</t>
  </si>
  <si>
    <t>ALCIBIADES</t>
  </si>
  <si>
    <t>D693</t>
  </si>
  <si>
    <t>Purpura trombocitopenica idiopatica</t>
  </si>
  <si>
    <t>17:24:16</t>
  </si>
  <si>
    <t>VARELA</t>
  </si>
  <si>
    <t>DE MOVILLA</t>
  </si>
  <si>
    <t>I255</t>
  </si>
  <si>
    <t>Cardiomiopatia isquemica</t>
  </si>
  <si>
    <t>12:27:53</t>
  </si>
  <si>
    <t>07:16:24</t>
  </si>
  <si>
    <t>CARRERA 12 No.110-91</t>
  </si>
  <si>
    <t>MESINO</t>
  </si>
  <si>
    <t>07573</t>
  </si>
  <si>
    <t>ZUÑIGA</t>
  </si>
  <si>
    <t>09:47:50</t>
  </si>
  <si>
    <t>CARRERA 13B Nº 17-07</t>
  </si>
  <si>
    <t>AMELIA</t>
  </si>
  <si>
    <t>QUIROZ</t>
  </si>
  <si>
    <t>SAN PEDRO</t>
  </si>
  <si>
    <t>11:39:32</t>
  </si>
  <si>
    <t>SINDI</t>
  </si>
  <si>
    <t>GALVIS</t>
  </si>
  <si>
    <t>09:53:53</t>
  </si>
  <si>
    <t>CALLE 64 No.9D-66</t>
  </si>
  <si>
    <t>MIRIAM</t>
  </si>
  <si>
    <t>MONTALVO</t>
  </si>
  <si>
    <t>644-03</t>
  </si>
  <si>
    <t>10:40:52</t>
  </si>
  <si>
    <t>LOREO</t>
  </si>
  <si>
    <t>MONTECRISTO</t>
  </si>
  <si>
    <t>10:42:25</t>
  </si>
  <si>
    <t>LINA</t>
  </si>
  <si>
    <t>08-0428610</t>
  </si>
  <si>
    <t>VICENTA</t>
  </si>
  <si>
    <t>DE ESCORCIA</t>
  </si>
  <si>
    <t>15:03:19</t>
  </si>
  <si>
    <t>CALLE 30 Nº 13-45</t>
  </si>
  <si>
    <t>3628730 - 3012783360</t>
  </si>
  <si>
    <t>AZIZA</t>
  </si>
  <si>
    <t>WADI</t>
  </si>
  <si>
    <t>0458</t>
  </si>
  <si>
    <t>POLONUEVO</t>
  </si>
  <si>
    <t>M518</t>
  </si>
  <si>
    <t>Otros trastornos especificados de los discos intervertebrales</t>
  </si>
  <si>
    <t>14:14:31</t>
  </si>
  <si>
    <t>BERNAL</t>
  </si>
  <si>
    <t>DIAZ GRANADOS</t>
  </si>
  <si>
    <t>R.M. 47981</t>
  </si>
  <si>
    <t>DISNEY</t>
  </si>
  <si>
    <t>BORRERO</t>
  </si>
  <si>
    <t>H400</t>
  </si>
  <si>
    <t>Sospecha de glaucoma</t>
  </si>
  <si>
    <t>12:49:27</t>
  </si>
  <si>
    <t>ELIDA</t>
  </si>
  <si>
    <t>Z961</t>
  </si>
  <si>
    <t>Presencia de lentes intraoculares</t>
  </si>
  <si>
    <t>13:18:23</t>
  </si>
  <si>
    <t>DANIELA</t>
  </si>
  <si>
    <t>ASTAIZA</t>
  </si>
  <si>
    <t>CATAÑO</t>
  </si>
  <si>
    <t>12:44:04</t>
  </si>
  <si>
    <t>12:52:29</t>
  </si>
  <si>
    <t>13:22:10</t>
  </si>
  <si>
    <t>ARMENTA</t>
  </si>
  <si>
    <t>DE PAHUANA</t>
  </si>
  <si>
    <t>09:05:21</t>
  </si>
  <si>
    <t>CL 20 No 13A - 98</t>
  </si>
  <si>
    <t>SAMIRA</t>
  </si>
  <si>
    <t>LYLIAM</t>
  </si>
  <si>
    <t>SOLARTE</t>
  </si>
  <si>
    <t>DIDIER</t>
  </si>
  <si>
    <t>TRECO</t>
  </si>
  <si>
    <t>PALMITO</t>
  </si>
  <si>
    <t>F323</t>
  </si>
  <si>
    <t>Episodio depresivo grave con sintomas psicoticos</t>
  </si>
  <si>
    <t>11:06:17</t>
  </si>
  <si>
    <t>OLGA</t>
  </si>
  <si>
    <t>BASSA</t>
  </si>
  <si>
    <t>H335</t>
  </si>
  <si>
    <t>Otros desprendimientos de la retina</t>
  </si>
  <si>
    <t>15:56:00</t>
  </si>
  <si>
    <t>CALLE 50 No.20-91</t>
  </si>
  <si>
    <t>MARUN</t>
  </si>
  <si>
    <t>137806/04</t>
  </si>
  <si>
    <t>PONEDERA</t>
  </si>
  <si>
    <t>Z988</t>
  </si>
  <si>
    <t>Otros estados postquirurgicos especificados</t>
  </si>
  <si>
    <t>15:21:07</t>
  </si>
  <si>
    <t>08421</t>
  </si>
  <si>
    <t>CARRERA 20 NO. 20-30</t>
  </si>
  <si>
    <t>ALEXANDRA</t>
  </si>
  <si>
    <t>LEONARDO</t>
  </si>
  <si>
    <t>YEPEZ</t>
  </si>
  <si>
    <t>A483</t>
  </si>
  <si>
    <t>Sindrome del choque toxico</t>
  </si>
  <si>
    <t>N390</t>
  </si>
  <si>
    <t>Infeccion de vias urinarias, sitio no especificado</t>
  </si>
  <si>
    <t>16:01:42</t>
  </si>
  <si>
    <t>KEIMARY</t>
  </si>
  <si>
    <t>ORTIZ</t>
  </si>
  <si>
    <t>H168</t>
  </si>
  <si>
    <t>Otras queratitis</t>
  </si>
  <si>
    <t>16:57:29</t>
  </si>
  <si>
    <t>MOSLACO</t>
  </si>
  <si>
    <t>SUAREZ</t>
  </si>
  <si>
    <t>09:17:10</t>
  </si>
  <si>
    <t>CRA 52 No 84 - 98</t>
  </si>
  <si>
    <t>LAURA</t>
  </si>
  <si>
    <t>VANESSA</t>
  </si>
  <si>
    <t>DE LEON</t>
  </si>
  <si>
    <t>081179</t>
  </si>
  <si>
    <t>H048</t>
  </si>
  <si>
    <t>Otros trastornos especificados del aparato lagrimal</t>
  </si>
  <si>
    <t>09:55:00</t>
  </si>
  <si>
    <t>16:35:41</t>
  </si>
  <si>
    <t>MARMOLEJO</t>
  </si>
  <si>
    <t>G992</t>
  </si>
  <si>
    <t>Mielopatia en enfermedades clasificadas en otra parte</t>
  </si>
  <si>
    <t>06:23:29</t>
  </si>
  <si>
    <t>DE FONTALVO</t>
  </si>
  <si>
    <t>06:24:44</t>
  </si>
  <si>
    <t>09:55:18</t>
  </si>
  <si>
    <t>ROSALBA</t>
  </si>
  <si>
    <t>OCAMPO</t>
  </si>
  <si>
    <t>16:16:03</t>
  </si>
  <si>
    <t>MELANY</t>
  </si>
  <si>
    <t>F701</t>
  </si>
  <si>
    <t>Retraso mental leve, deterioro del comportamiento significativo, que requiere atencion o tratamiento</t>
  </si>
  <si>
    <t>08:56:00</t>
  </si>
  <si>
    <t>M892</t>
  </si>
  <si>
    <t>Otros trastornos del desarrollo y crecimiento oseo</t>
  </si>
  <si>
    <t>08:56:57</t>
  </si>
  <si>
    <t>CALLE 23 # 56 - 32</t>
  </si>
  <si>
    <t>INGRID</t>
  </si>
  <si>
    <t>0822152013</t>
  </si>
  <si>
    <t>LINOBER</t>
  </si>
  <si>
    <t>YOVARI</t>
  </si>
  <si>
    <t>D539</t>
  </si>
  <si>
    <t>Anemia nutricional, no especificada</t>
  </si>
  <si>
    <t>11:33:51</t>
  </si>
  <si>
    <t>FABIOLA</t>
  </si>
  <si>
    <t>GALEANO</t>
  </si>
  <si>
    <t>E115</t>
  </si>
  <si>
    <t>Diabetes mellitus no insulinodependiente, con complicaciones circulatorias perifericas</t>
  </si>
  <si>
    <t>14:21:20</t>
  </si>
  <si>
    <t>CHERMY</t>
  </si>
  <si>
    <t>11:33:32</t>
  </si>
  <si>
    <t>CR 10 No 06 - 15</t>
  </si>
  <si>
    <t>2911064 - 3128872951</t>
  </si>
  <si>
    <t>GENER</t>
  </si>
  <si>
    <t>MAHAHT</t>
  </si>
  <si>
    <t>ORLANDO</t>
  </si>
  <si>
    <t>ARCIA</t>
  </si>
  <si>
    <t>SAN JACINTO DEL CAUCA</t>
  </si>
  <si>
    <t>E117</t>
  </si>
  <si>
    <t>Diabetes mellitus no insulinodependiente, con complicaciones multiples</t>
  </si>
  <si>
    <t>14:23:08</t>
  </si>
  <si>
    <t>CARRERA 48 N° 32-102</t>
  </si>
  <si>
    <t>ZAPATA</t>
  </si>
  <si>
    <t>ISRAEL</t>
  </si>
  <si>
    <t>LISCANO</t>
  </si>
  <si>
    <t>C61X</t>
  </si>
  <si>
    <t>Tumor maligno de la prostata</t>
  </si>
  <si>
    <t>08:07:11</t>
  </si>
  <si>
    <t>CALLE 30 FRENTE A LA DEFENSORIA DEL PUEBLO</t>
  </si>
  <si>
    <t>CARABALI</t>
  </si>
  <si>
    <t>MEDICO</t>
  </si>
  <si>
    <t>YOLANDA</t>
  </si>
  <si>
    <t>ALTO BAUDO</t>
  </si>
  <si>
    <t>G360</t>
  </si>
  <si>
    <t>Neuromielitis optica [Devic]</t>
  </si>
  <si>
    <t>I698</t>
  </si>
  <si>
    <t xml:space="preserve">Secuelas de otras enfermedades cerebrovasculares y de las no especificadas </t>
  </si>
  <si>
    <t>16:25:48</t>
  </si>
  <si>
    <t>LACIDES</t>
  </si>
  <si>
    <t>MAZA</t>
  </si>
  <si>
    <t>E668</t>
  </si>
  <si>
    <t>Otros tipos de obesidad</t>
  </si>
  <si>
    <t>17:03:40</t>
  </si>
  <si>
    <t>HAROLD</t>
  </si>
  <si>
    <t>LLANO</t>
  </si>
  <si>
    <t>HORACIO</t>
  </si>
  <si>
    <t>MIELES</t>
  </si>
  <si>
    <t>GUZMAN</t>
  </si>
  <si>
    <t>G588</t>
  </si>
  <si>
    <t>Otras mononeuropatias especificadas</t>
  </si>
  <si>
    <t>18:48:17</t>
  </si>
  <si>
    <t>DAVIN</t>
  </si>
  <si>
    <t>VENERA</t>
  </si>
  <si>
    <t>E617</t>
  </si>
  <si>
    <t>Deficiencia de multiples elementos nutricionales</t>
  </si>
  <si>
    <t>P070</t>
  </si>
  <si>
    <t>Peso extremadamente bajo al nacer</t>
  </si>
  <si>
    <t>16:14:57</t>
  </si>
  <si>
    <t>A090</t>
  </si>
  <si>
    <t>Otras gastroenteritis y colitis de origen infeccioso</t>
  </si>
  <si>
    <t>18:40:14</t>
  </si>
  <si>
    <t>MIREYA</t>
  </si>
  <si>
    <t>E038</t>
  </si>
  <si>
    <t>Otros hipotiroidismos especificados</t>
  </si>
  <si>
    <t>17:43:20</t>
  </si>
  <si>
    <t>REBECA</t>
  </si>
  <si>
    <t>GILMA</t>
  </si>
  <si>
    <t>DE ARIZA</t>
  </si>
  <si>
    <t>17:48:30</t>
  </si>
  <si>
    <t>M796</t>
  </si>
  <si>
    <t>Dolor en miembro</t>
  </si>
  <si>
    <t>17:46:41</t>
  </si>
  <si>
    <t>N302</t>
  </si>
  <si>
    <t>Otras cistitis cronicas</t>
  </si>
  <si>
    <t>09:46:31</t>
  </si>
  <si>
    <t>ORNELLA</t>
  </si>
  <si>
    <t>GIAN</t>
  </si>
  <si>
    <t>13:50:03</t>
  </si>
  <si>
    <t>DANISA</t>
  </si>
  <si>
    <t>DE ALBA</t>
  </si>
  <si>
    <t>07593</t>
  </si>
  <si>
    <t>CAMPILLO</t>
  </si>
  <si>
    <t>PORRETA</t>
  </si>
  <si>
    <t>09:05:40</t>
  </si>
  <si>
    <t>CRA 47 # 04-02</t>
  </si>
  <si>
    <t>GAMERO</t>
  </si>
  <si>
    <t>MARTIN</t>
  </si>
  <si>
    <t>EL LITORAL DEL SAN JUAN</t>
  </si>
  <si>
    <t>B870</t>
  </si>
  <si>
    <t>Miasis cutanea</t>
  </si>
  <si>
    <t>09:48:12</t>
  </si>
  <si>
    <t>DEIVIS</t>
  </si>
  <si>
    <t>RONDON</t>
  </si>
  <si>
    <t>B86X</t>
  </si>
  <si>
    <t>Escabiosis</t>
  </si>
  <si>
    <t>16:13:38</t>
  </si>
  <si>
    <t>SOTO</t>
  </si>
  <si>
    <t>SANTANA</t>
  </si>
  <si>
    <t>13:31:15</t>
  </si>
  <si>
    <t>LACOUTURE</t>
  </si>
  <si>
    <t>DAZA</t>
  </si>
  <si>
    <t>479349-09</t>
  </si>
  <si>
    <t>PEDRO</t>
  </si>
  <si>
    <t>N318</t>
  </si>
  <si>
    <t>Otras disfunciones neuromusculares de la vejiga</t>
  </si>
  <si>
    <t>12:03:24</t>
  </si>
  <si>
    <t>CARRERA 22 No. 14-55</t>
  </si>
  <si>
    <t>LUBIN</t>
  </si>
  <si>
    <t>ADELAIDA</t>
  </si>
  <si>
    <t>SOLANA</t>
  </si>
  <si>
    <t>DE MONTIEL</t>
  </si>
  <si>
    <t>11:23:51</t>
  </si>
  <si>
    <t>YOINER</t>
  </si>
  <si>
    <t>10:48:04</t>
  </si>
  <si>
    <t>EUNICE</t>
  </si>
  <si>
    <t>DUEÑAS</t>
  </si>
  <si>
    <t>12:31:56</t>
  </si>
  <si>
    <t>DORIS</t>
  </si>
  <si>
    <t>BACCA</t>
  </si>
  <si>
    <t>FRANCO</t>
  </si>
  <si>
    <t>11:57:49</t>
  </si>
  <si>
    <t>BARROS</t>
  </si>
  <si>
    <t>J310</t>
  </si>
  <si>
    <t>Rinitis cronica</t>
  </si>
  <si>
    <t>J343</t>
  </si>
  <si>
    <t>Hipertrofia de los cornetes nasales</t>
  </si>
  <si>
    <t>12:01:05</t>
  </si>
  <si>
    <t>13:21:21</t>
  </si>
  <si>
    <t>NATALIA</t>
  </si>
  <si>
    <t>DE LOS ANGELES</t>
  </si>
  <si>
    <t>DE AEDO</t>
  </si>
  <si>
    <t>15:09:50</t>
  </si>
  <si>
    <t>JENIFER</t>
  </si>
  <si>
    <t>PAULY</t>
  </si>
  <si>
    <t>12:48:10</t>
  </si>
  <si>
    <t>NILBA</t>
  </si>
  <si>
    <t>MEJIA</t>
  </si>
  <si>
    <t>10:41:14</t>
  </si>
  <si>
    <t>EMILY</t>
  </si>
  <si>
    <t>BARON</t>
  </si>
  <si>
    <t>09:25:43</t>
  </si>
  <si>
    <t>G249</t>
  </si>
  <si>
    <t>Distonia, no especificada</t>
  </si>
  <si>
    <t>08:11:27</t>
  </si>
  <si>
    <t>12:42:58</t>
  </si>
  <si>
    <t>ADRIANA</t>
  </si>
  <si>
    <t>CORRALES</t>
  </si>
  <si>
    <t>E660</t>
  </si>
  <si>
    <t>Obesidad debida a exceso de calorias</t>
  </si>
  <si>
    <t>09:44:24</t>
  </si>
  <si>
    <t>ABDALA</t>
  </si>
  <si>
    <t>4000/94</t>
  </si>
  <si>
    <t>H405</t>
  </si>
  <si>
    <t>Glaucoma secundario a otros trastornos del ojo</t>
  </si>
  <si>
    <t>09:49:28</t>
  </si>
  <si>
    <t>ALVIS</t>
  </si>
  <si>
    <t>09:50:15</t>
  </si>
  <si>
    <t>EMMA</t>
  </si>
  <si>
    <t>EDALIDES</t>
  </si>
  <si>
    <t>09:51:48</t>
  </si>
  <si>
    <t>OLARTE</t>
  </si>
  <si>
    <t>FRANCINI</t>
  </si>
  <si>
    <t>ARCON</t>
  </si>
  <si>
    <t>N951</t>
  </si>
  <si>
    <t>Estados menopausicos y climatericos femeninos</t>
  </si>
  <si>
    <t>08:17:46</t>
  </si>
  <si>
    <t>YESID</t>
  </si>
  <si>
    <t>ESPERANZA</t>
  </si>
  <si>
    <t>ALFARO</t>
  </si>
  <si>
    <t>A415</t>
  </si>
  <si>
    <t>Sepsis debida a otros organismos gramnegativos</t>
  </si>
  <si>
    <t>14:21:07</t>
  </si>
  <si>
    <t>15:50:49</t>
  </si>
  <si>
    <t>CALLE 28 N 5-41</t>
  </si>
  <si>
    <t>MILTON</t>
  </si>
  <si>
    <t>231249/07</t>
  </si>
  <si>
    <t>PUERTO ESCONDIDO</t>
  </si>
  <si>
    <t>H259</t>
  </si>
  <si>
    <t>Catarata senil, no especificada</t>
  </si>
  <si>
    <t>H545</t>
  </si>
  <si>
    <t>Deficiencia visual severa, monocular</t>
  </si>
  <si>
    <t>15:18:34</t>
  </si>
  <si>
    <t>KELY</t>
  </si>
  <si>
    <t>ORTEGA</t>
  </si>
  <si>
    <t>02521</t>
  </si>
  <si>
    <t>OLIVARES</t>
  </si>
  <si>
    <t>J90X</t>
  </si>
  <si>
    <t>Derrame pleural no clasificado en otra parte</t>
  </si>
  <si>
    <t>09:44:37</t>
  </si>
  <si>
    <t>17:23:06</t>
  </si>
  <si>
    <t>MODESTO</t>
  </si>
  <si>
    <t>GRAZIANO</t>
  </si>
  <si>
    <t>FUENTES</t>
  </si>
  <si>
    <t>09:13:03</t>
  </si>
  <si>
    <t>POSADA</t>
  </si>
  <si>
    <t>H814</t>
  </si>
  <si>
    <t>Vertigo de origen central</t>
  </si>
  <si>
    <t>09:10:54</t>
  </si>
  <si>
    <t>I690</t>
  </si>
  <si>
    <t>Secuelas de hemorragia subaracnoidea</t>
  </si>
  <si>
    <t>09:57:55</t>
  </si>
  <si>
    <t>NOBIELA</t>
  </si>
  <si>
    <t>HENAO</t>
  </si>
  <si>
    <t>17:00:14</t>
  </si>
  <si>
    <t>10:46:24</t>
  </si>
  <si>
    <t>DELFINA</t>
  </si>
  <si>
    <t>DE HERNANDEZ</t>
  </si>
  <si>
    <t>12:34:43</t>
  </si>
  <si>
    <t>08:26:15</t>
  </si>
  <si>
    <t>AHUMADA</t>
  </si>
  <si>
    <t>12:08:21</t>
  </si>
  <si>
    <t>HASBLEIDY</t>
  </si>
  <si>
    <t>PAREDES</t>
  </si>
  <si>
    <t>06:05:21</t>
  </si>
  <si>
    <t>CLARIVEL</t>
  </si>
  <si>
    <t>06:07:00</t>
  </si>
  <si>
    <t>14:22:36</t>
  </si>
  <si>
    <t>16:19:46</t>
  </si>
  <si>
    <t>M175</t>
  </si>
  <si>
    <t>Otras gonartrosis secundarias</t>
  </si>
  <si>
    <t>E755</t>
  </si>
  <si>
    <t>Otros trastornos del almacenamiento de lipidos</t>
  </si>
  <si>
    <t>14:39:50</t>
  </si>
  <si>
    <t>SERGIO</t>
  </si>
  <si>
    <t>H431</t>
  </si>
  <si>
    <t>Hemorragia del vitreo</t>
  </si>
  <si>
    <t>09:25:59</t>
  </si>
  <si>
    <t>CALLE 11 # 03 - 110 P2</t>
  </si>
  <si>
    <t>6877963 - 3012180037 - 3103471826</t>
  </si>
  <si>
    <t>EMELDA</t>
  </si>
  <si>
    <t>16:38:31</t>
  </si>
  <si>
    <t>KR 4a. # 29-47</t>
  </si>
  <si>
    <t>ALDA</t>
  </si>
  <si>
    <t>MATURANA</t>
  </si>
  <si>
    <t>E148</t>
  </si>
  <si>
    <t>Diabetes mellitus no especificada, con complicaciones no especificadas</t>
  </si>
  <si>
    <t>M059</t>
  </si>
  <si>
    <t>Artritis reumatoidea seropositiva, sin otra especificacion</t>
  </si>
  <si>
    <t>09:06:38</t>
  </si>
  <si>
    <t>MARCO</t>
  </si>
  <si>
    <t>AURELIO</t>
  </si>
  <si>
    <t>Z724</t>
  </si>
  <si>
    <t>Problemas relacionados con la dieta y habitos alimentarios inapropiados</t>
  </si>
  <si>
    <t>09:39:09</t>
  </si>
  <si>
    <t>PORRAS</t>
  </si>
  <si>
    <t>70-184/01</t>
  </si>
  <si>
    <t>SINDY</t>
  </si>
  <si>
    <t>VELASQUEZ</t>
  </si>
  <si>
    <t>M321</t>
  </si>
  <si>
    <t>Lupus eritematoso sistemico con compromiso de organos o sistemas</t>
  </si>
  <si>
    <t>10:15:57</t>
  </si>
  <si>
    <t>10:11:00</t>
  </si>
  <si>
    <t>TOMAS</t>
  </si>
  <si>
    <t>ELIAS</t>
  </si>
  <si>
    <t>NEDYS</t>
  </si>
  <si>
    <t>P073</t>
  </si>
  <si>
    <t>Otros recien nacidos pretermino</t>
  </si>
  <si>
    <t>12:11:32</t>
  </si>
  <si>
    <t>HISELA</t>
  </si>
  <si>
    <t>OLIVELLA</t>
  </si>
  <si>
    <t>11:27:28</t>
  </si>
  <si>
    <t>ORIANNA</t>
  </si>
  <si>
    <t>VILLA</t>
  </si>
  <si>
    <t>10:48:57</t>
  </si>
  <si>
    <t>NAPOLEON</t>
  </si>
  <si>
    <t>11:36:39</t>
  </si>
  <si>
    <t>BERTHA</t>
  </si>
  <si>
    <t>VDA DE MAURY</t>
  </si>
  <si>
    <t>07:58:03</t>
  </si>
  <si>
    <t>ARMANDO</t>
  </si>
  <si>
    <t>ANGARITA</t>
  </si>
  <si>
    <t>RUIDIAZ</t>
  </si>
  <si>
    <t>ASTELY</t>
  </si>
  <si>
    <t>DE PEREZ</t>
  </si>
  <si>
    <t>11:27:56</t>
  </si>
  <si>
    <t>KR 14 16B 100</t>
  </si>
  <si>
    <t>SILVA</t>
  </si>
  <si>
    <t>MARQUEZ</t>
  </si>
  <si>
    <t>PINEDA</t>
  </si>
  <si>
    <t>11:24:05</t>
  </si>
  <si>
    <t>F333</t>
  </si>
  <si>
    <t>Trastorno depresivo recurrente, episodio depresivo grave presente, con sintomas psicoticos</t>
  </si>
  <si>
    <t>F250</t>
  </si>
  <si>
    <t>Trastorno esquizoafectivo de tipo maniaco</t>
  </si>
  <si>
    <t>09:09:15</t>
  </si>
  <si>
    <t>CARRERA 11 # 27 34</t>
  </si>
  <si>
    <t>COMAS</t>
  </si>
  <si>
    <t>AIDA</t>
  </si>
  <si>
    <t>LOS CORDOBAS</t>
  </si>
  <si>
    <t>G245</t>
  </si>
  <si>
    <t>Blefarospasmo</t>
  </si>
  <si>
    <t>09:18:26</t>
  </si>
  <si>
    <t>CL 28 #7-34 Edificio Somec</t>
  </si>
  <si>
    <t>JENNIFER</t>
  </si>
  <si>
    <t>NUMA</t>
  </si>
  <si>
    <t>G513</t>
  </si>
  <si>
    <t>Espasmo hemifacial clonico</t>
  </si>
  <si>
    <t>17:08:58</t>
  </si>
  <si>
    <t>MENA</t>
  </si>
  <si>
    <t>RIO QUITO</t>
  </si>
  <si>
    <t>K210</t>
  </si>
  <si>
    <t>Enfermedad del reflujo gastroesofagico con esofagitis</t>
  </si>
  <si>
    <t>16:41:50</t>
  </si>
  <si>
    <t>CALLE 6 No 3-33</t>
  </si>
  <si>
    <t>JUAN BOSCO</t>
  </si>
  <si>
    <t>ROSALES</t>
  </si>
  <si>
    <t>TITO</t>
  </si>
  <si>
    <t>CUETO</t>
  </si>
  <si>
    <t>15:45:36</t>
  </si>
  <si>
    <t>URIEL</t>
  </si>
  <si>
    <t>PALLARES</t>
  </si>
  <si>
    <t>GAMEZ</t>
  </si>
  <si>
    <t>F067</t>
  </si>
  <si>
    <t>Trastorno cognoscitivo leve</t>
  </si>
  <si>
    <t>17:24:36</t>
  </si>
  <si>
    <t>CASTILLEJO</t>
  </si>
  <si>
    <t>EL PASO</t>
  </si>
  <si>
    <t>13:48:00</t>
  </si>
  <si>
    <t>CRA 15 # 14B - 135</t>
  </si>
  <si>
    <t>2023636 EXT 633 - 638 - 608</t>
  </si>
  <si>
    <t>CC11162680</t>
  </si>
  <si>
    <t>C64X</t>
  </si>
  <si>
    <t>Tumor maligno del rinon, excepto de la pelvis renal</t>
  </si>
  <si>
    <t>15:35:17</t>
  </si>
  <si>
    <t>FIGUEROLA</t>
  </si>
  <si>
    <t>JAIRO</t>
  </si>
  <si>
    <t>H186</t>
  </si>
  <si>
    <t>Queratocono</t>
  </si>
  <si>
    <t>11:48:41</t>
  </si>
  <si>
    <t>GEOVANIS</t>
  </si>
  <si>
    <t>ZAMBRANO</t>
  </si>
  <si>
    <t>27-3080-06</t>
  </si>
  <si>
    <t>ETILSA</t>
  </si>
  <si>
    <t>NICOLASA</t>
  </si>
  <si>
    <t>I828</t>
  </si>
  <si>
    <t>Embolia y trombosis de otras venas especificadas</t>
  </si>
  <si>
    <t>09:33:16</t>
  </si>
  <si>
    <t>MADIEDO</t>
  </si>
  <si>
    <t>LIZARAZO</t>
  </si>
  <si>
    <t>FRANCISCA</t>
  </si>
  <si>
    <t>CACERES</t>
  </si>
  <si>
    <t>11:51:49</t>
  </si>
  <si>
    <t>NOREIDA</t>
  </si>
  <si>
    <t>NOYA</t>
  </si>
  <si>
    <t>11:00:20</t>
  </si>
  <si>
    <t>FREDY</t>
  </si>
  <si>
    <t>RIVERO</t>
  </si>
  <si>
    <t>I839</t>
  </si>
  <si>
    <t>Venas varicosas de los miembros inferiores sin ulcera ni inflamacion</t>
  </si>
  <si>
    <t>08:36:31</t>
  </si>
  <si>
    <t>CARRERA 50 Nº 80-54</t>
  </si>
  <si>
    <t>JACLIN</t>
  </si>
  <si>
    <t>VILLARREAL</t>
  </si>
  <si>
    <t>C341</t>
  </si>
  <si>
    <t>Tumor maligno del lobulo superior, bronquio o pulmon</t>
  </si>
  <si>
    <t>J91X</t>
  </si>
  <si>
    <t>Derrame pleural en afecciones clasificadas en otra parte</t>
  </si>
  <si>
    <t>17:22:31</t>
  </si>
  <si>
    <t>17:24:59</t>
  </si>
  <si>
    <t>08:37:15</t>
  </si>
  <si>
    <t>carrera 15 N. 20-60 pabellon 2 barrio alto prado</t>
  </si>
  <si>
    <t>YASSER</t>
  </si>
  <si>
    <t>ABEL</t>
  </si>
  <si>
    <t>MAJAD</t>
  </si>
  <si>
    <t>VUELBA</t>
  </si>
  <si>
    <t>PEDRAZA</t>
  </si>
  <si>
    <t>BOSCONIA</t>
  </si>
  <si>
    <t>G219</t>
  </si>
  <si>
    <t>Parkinsonismo secundario, no especificado</t>
  </si>
  <si>
    <t>L984</t>
  </si>
  <si>
    <t>ulcera cronica de la piel, no clasificada en otra parte</t>
  </si>
  <si>
    <t>08:44:00</t>
  </si>
  <si>
    <t>10:53:15</t>
  </si>
  <si>
    <t>SAYRA</t>
  </si>
  <si>
    <t>YAMILE</t>
  </si>
  <si>
    <t>02580</t>
  </si>
  <si>
    <t>R620</t>
  </si>
  <si>
    <t>Retardo del desarrollo</t>
  </si>
  <si>
    <t>09:32:54</t>
  </si>
  <si>
    <t>SARA</t>
  </si>
  <si>
    <t>ROMANI</t>
  </si>
  <si>
    <t>DE ARAQUE</t>
  </si>
  <si>
    <t>11:44:25</t>
  </si>
  <si>
    <t>11:51:10</t>
  </si>
  <si>
    <t>16:02:33</t>
  </si>
  <si>
    <t>MARLA</t>
  </si>
  <si>
    <t>SAENZ</t>
  </si>
  <si>
    <t>ABELLO</t>
  </si>
  <si>
    <t>C715</t>
  </si>
  <si>
    <t>Tumor maligno del ventriculo cerebral</t>
  </si>
  <si>
    <t>20:55:59</t>
  </si>
  <si>
    <t>carrera 15 # 14-36</t>
  </si>
  <si>
    <t>FERNANDO</t>
  </si>
  <si>
    <t>MORON</t>
  </si>
  <si>
    <t>BARBARITA</t>
  </si>
  <si>
    <t>ROBLES</t>
  </si>
  <si>
    <t>11:35:24</t>
  </si>
  <si>
    <t>RUBIELA</t>
  </si>
  <si>
    <t>15:20:20</t>
  </si>
  <si>
    <t>H360</t>
  </si>
  <si>
    <t>Retinopatia diabetica</t>
  </si>
  <si>
    <t>12:18:11</t>
  </si>
  <si>
    <t>PERALTA</t>
  </si>
  <si>
    <t>11:09:47</t>
  </si>
  <si>
    <t>HEILBRON</t>
  </si>
  <si>
    <t>MOVILLA</t>
  </si>
  <si>
    <t>CC11408264</t>
  </si>
  <si>
    <t>09:05:11</t>
  </si>
  <si>
    <t>14:26:34</t>
  </si>
  <si>
    <t>ENMA</t>
  </si>
  <si>
    <t>09:44:50</t>
  </si>
  <si>
    <t>DE SANCHEZ</t>
  </si>
  <si>
    <t>07:49:16</t>
  </si>
  <si>
    <t>F928</t>
  </si>
  <si>
    <t>Otros trastornos mixtos de la conducta y de las emociones</t>
  </si>
  <si>
    <t>18:49:11</t>
  </si>
  <si>
    <t>EMIRO</t>
  </si>
  <si>
    <t>SOLORZANO</t>
  </si>
  <si>
    <t>243/2000</t>
  </si>
  <si>
    <t>I771</t>
  </si>
  <si>
    <t>Estrechez arterial</t>
  </si>
  <si>
    <t>10:42:37</t>
  </si>
  <si>
    <t>LLANOS</t>
  </si>
  <si>
    <t>LASCAR</t>
  </si>
  <si>
    <t>231404-06</t>
  </si>
  <si>
    <t>06:10:59</t>
  </si>
  <si>
    <t>SAN MARCOS</t>
  </si>
  <si>
    <t>17:59:32</t>
  </si>
  <si>
    <t>OBESO</t>
  </si>
  <si>
    <t>07:49:52</t>
  </si>
  <si>
    <t>15:39:57</t>
  </si>
  <si>
    <t>MIRLYS</t>
  </si>
  <si>
    <t>BELCY</t>
  </si>
  <si>
    <t>TOVAR</t>
  </si>
  <si>
    <t>K219</t>
  </si>
  <si>
    <t>Enfermedad del reflujo gastroesofagico sin esofagitis</t>
  </si>
  <si>
    <t>15:41:10</t>
  </si>
  <si>
    <t>CONZUELO</t>
  </si>
  <si>
    <t>13:23:32</t>
  </si>
  <si>
    <t>CEBALLOS</t>
  </si>
  <si>
    <t>TOLEDO</t>
  </si>
  <si>
    <t>08:32:03</t>
  </si>
  <si>
    <t>THERAN</t>
  </si>
  <si>
    <t>14:04:03</t>
  </si>
  <si>
    <t>OFELIA</t>
  </si>
  <si>
    <t>MARULANDA</t>
  </si>
  <si>
    <t>DE BENAVIDES</t>
  </si>
  <si>
    <t>F019</t>
  </si>
  <si>
    <t>Demencia  vascular, no especificada</t>
  </si>
  <si>
    <t>14:07:03</t>
  </si>
  <si>
    <t>14:11:53</t>
  </si>
  <si>
    <t>SAN FERNANDO</t>
  </si>
  <si>
    <t>14:17:35</t>
  </si>
  <si>
    <t>11:26:40</t>
  </si>
  <si>
    <t>ANATILDE</t>
  </si>
  <si>
    <t>11:37:49</t>
  </si>
  <si>
    <t>18:20:31</t>
  </si>
  <si>
    <t>NORIEGA</t>
  </si>
  <si>
    <t>10:42:49</t>
  </si>
  <si>
    <t>MERY</t>
  </si>
  <si>
    <t>VILLADA</t>
  </si>
  <si>
    <t>DAVILA</t>
  </si>
  <si>
    <t>14:22:59</t>
  </si>
  <si>
    <t>DE LA CRUZ</t>
  </si>
  <si>
    <t>PEINADO</t>
  </si>
  <si>
    <t>BORJA</t>
  </si>
  <si>
    <t>K650</t>
  </si>
  <si>
    <t>Peritonitis aguda</t>
  </si>
  <si>
    <t>12:18:51</t>
  </si>
  <si>
    <t>A419</t>
  </si>
  <si>
    <t>Sepsis, no especificada</t>
  </si>
  <si>
    <t>16:18:42</t>
  </si>
  <si>
    <t>ESTER</t>
  </si>
  <si>
    <t>PARIS</t>
  </si>
  <si>
    <t>10:09:26</t>
  </si>
  <si>
    <t>ZABALETA</t>
  </si>
  <si>
    <t>12:46:18</t>
  </si>
  <si>
    <t>PAJARO</t>
  </si>
  <si>
    <t>O926</t>
  </si>
  <si>
    <t>Galactorrea</t>
  </si>
  <si>
    <t>12:43:19</t>
  </si>
  <si>
    <t>CRA 4 # 29 -64</t>
  </si>
  <si>
    <t>LIBREROS</t>
  </si>
  <si>
    <t>BERTINI</t>
  </si>
  <si>
    <t>KENDY</t>
  </si>
  <si>
    <t>JHOANA</t>
  </si>
  <si>
    <t>BOJAYA</t>
  </si>
  <si>
    <t>10:04:59</t>
  </si>
  <si>
    <t>BALSEIRO</t>
  </si>
  <si>
    <t>10:18:16</t>
  </si>
  <si>
    <t>CRA 6 No. 30-63 piso 1</t>
  </si>
  <si>
    <t>3226530585-3113045431</t>
  </si>
  <si>
    <t>EBER</t>
  </si>
  <si>
    <t>PERSEVERANDA</t>
  </si>
  <si>
    <t>I694</t>
  </si>
  <si>
    <t>Secuelas de accidente vascular encefalico, no especificado como hemorragico o isquemico</t>
  </si>
  <si>
    <t>13:42:31</t>
  </si>
  <si>
    <t>ARGELIA</t>
  </si>
  <si>
    <t>058</t>
  </si>
  <si>
    <t>DEMOSTENES</t>
  </si>
  <si>
    <t>C300</t>
  </si>
  <si>
    <t>Tumor maligno de la fosa nasal</t>
  </si>
  <si>
    <t>R42X</t>
  </si>
  <si>
    <t>Mareo y desvanecimiento</t>
  </si>
  <si>
    <t>13:44:11</t>
  </si>
  <si>
    <t>BURITICA</t>
  </si>
  <si>
    <t>ZULUAGA</t>
  </si>
  <si>
    <t>14:31:21</t>
  </si>
  <si>
    <t>CRISTIAN</t>
  </si>
  <si>
    <t>FONSECA</t>
  </si>
  <si>
    <t>13:57:01</t>
  </si>
  <si>
    <t>GEOVANNY</t>
  </si>
  <si>
    <t>CONTO</t>
  </si>
  <si>
    <t>15:10:29</t>
  </si>
  <si>
    <t>CARRERA 48 # 70-38</t>
  </si>
  <si>
    <t>ARGUELLES</t>
  </si>
  <si>
    <t>SOSA</t>
  </si>
  <si>
    <t>C921</t>
  </si>
  <si>
    <t>Leucemia mieloide cronica [LMC], BCR/ABL-positivo</t>
  </si>
  <si>
    <t>10:58:51</t>
  </si>
  <si>
    <t>MARIANA</t>
  </si>
  <si>
    <t>10:16:20</t>
  </si>
  <si>
    <t>CARRERA 14 B NUMERO 1-45 SUR</t>
  </si>
  <si>
    <t>MARQUEZA</t>
  </si>
  <si>
    <t>WITT</t>
  </si>
  <si>
    <t>OBREGON</t>
  </si>
  <si>
    <t>08:28:24</t>
  </si>
  <si>
    <t>TULIO</t>
  </si>
  <si>
    <t>LAZARO</t>
  </si>
  <si>
    <t>1169-97</t>
  </si>
  <si>
    <t>BENITO</t>
  </si>
  <si>
    <t>GENEZ</t>
  </si>
  <si>
    <t>I289</t>
  </si>
  <si>
    <t>Enfermedad de los vasos pulmonares, no especificada</t>
  </si>
  <si>
    <t>10:09:29</t>
  </si>
  <si>
    <t>PALENCIA</t>
  </si>
  <si>
    <t>09:05:39</t>
  </si>
  <si>
    <t>APONTE</t>
  </si>
  <si>
    <t>PENSO</t>
  </si>
  <si>
    <t>05647</t>
  </si>
  <si>
    <t>UBALDINA</t>
  </si>
  <si>
    <t>PASOS</t>
  </si>
  <si>
    <t>17:52:24</t>
  </si>
  <si>
    <t>YEISMIS</t>
  </si>
  <si>
    <t>DE LA CANDELARIA</t>
  </si>
  <si>
    <t>LAGUNA</t>
  </si>
  <si>
    <t>17:02:02</t>
  </si>
  <si>
    <t>YURI</t>
  </si>
  <si>
    <t>K519</t>
  </si>
  <si>
    <t>Colitis Ulcerativa, sin otra especificacion</t>
  </si>
  <si>
    <t>17:05:47</t>
  </si>
  <si>
    <t>11:36:21</t>
  </si>
  <si>
    <t>DANNA</t>
  </si>
  <si>
    <t>GISSELL</t>
  </si>
  <si>
    <t>Q112</t>
  </si>
  <si>
    <t>Microftalmia</t>
  </si>
  <si>
    <t>H509</t>
  </si>
  <si>
    <t>Estrabismo, no especificado</t>
  </si>
  <si>
    <t>10:26:00</t>
  </si>
  <si>
    <t>MANUELA</t>
  </si>
  <si>
    <t>J451</t>
  </si>
  <si>
    <t>Asma no alergica</t>
  </si>
  <si>
    <t>11:38:57</t>
  </si>
  <si>
    <t>BENILDA</t>
  </si>
  <si>
    <t>12:28:33</t>
  </si>
  <si>
    <t>15:54:45</t>
  </si>
  <si>
    <t>FERNEY</t>
  </si>
  <si>
    <t>VERDOOREN</t>
  </si>
  <si>
    <t>MANATI</t>
  </si>
  <si>
    <t>10:50:59</t>
  </si>
  <si>
    <t>TOBIAS</t>
  </si>
  <si>
    <t>GALVAN</t>
  </si>
  <si>
    <t>I472</t>
  </si>
  <si>
    <t>Taquicardia ventricular</t>
  </si>
  <si>
    <t>12:57:17</t>
  </si>
  <si>
    <t>SIGRID</t>
  </si>
  <si>
    <t>E301</t>
  </si>
  <si>
    <t>Pubertad precoz</t>
  </si>
  <si>
    <t>14:25:41</t>
  </si>
  <si>
    <t>CL 5 NUMERO 30A-56</t>
  </si>
  <si>
    <t>5654854 - 5658522</t>
  </si>
  <si>
    <t>CUADRO</t>
  </si>
  <si>
    <t>948/2003</t>
  </si>
  <si>
    <t>PELAYA</t>
  </si>
  <si>
    <t>11:47:05</t>
  </si>
  <si>
    <t>JHONATHAN</t>
  </si>
  <si>
    <t>SARAVIA</t>
  </si>
  <si>
    <t>F409</t>
  </si>
  <si>
    <t>Trastorno fobico de ansiedad, no especificado</t>
  </si>
  <si>
    <t>09:46:30</t>
  </si>
  <si>
    <t>ELEUTERIO</t>
  </si>
  <si>
    <t>CAMELO</t>
  </si>
  <si>
    <t>16:39:23</t>
  </si>
  <si>
    <t>WILLIAM</t>
  </si>
  <si>
    <t>09:08:28</t>
  </si>
  <si>
    <t>MAYA</t>
  </si>
  <si>
    <t>LISNEY</t>
  </si>
  <si>
    <t>LOREY</t>
  </si>
  <si>
    <t>L80X</t>
  </si>
  <si>
    <t>Vitiligo</t>
  </si>
  <si>
    <t>11:11:57</t>
  </si>
  <si>
    <t>EFRAIN</t>
  </si>
  <si>
    <t>ESCOLAR</t>
  </si>
  <si>
    <t>DE MOYA</t>
  </si>
  <si>
    <t>10:12:09</t>
  </si>
  <si>
    <t>GUILLERMO</t>
  </si>
  <si>
    <t>PARRAO</t>
  </si>
  <si>
    <t>C900</t>
  </si>
  <si>
    <t>Mieloma multiple</t>
  </si>
  <si>
    <t>09:57:10</t>
  </si>
  <si>
    <t>DEYANIRA</t>
  </si>
  <si>
    <t>SERJE</t>
  </si>
  <si>
    <t>F321</t>
  </si>
  <si>
    <t>Episodio depresivo moderado</t>
  </si>
  <si>
    <t>10:40:38</t>
  </si>
  <si>
    <t>08:31:34</t>
  </si>
  <si>
    <t>MASCO</t>
  </si>
  <si>
    <t>DE ORO</t>
  </si>
  <si>
    <t>I481</t>
  </si>
  <si>
    <t>Fibrilación auricular persistente</t>
  </si>
  <si>
    <t>10:27:19</t>
  </si>
  <si>
    <t>AURELIANA</t>
  </si>
  <si>
    <t>PEÑALOSA</t>
  </si>
  <si>
    <t>14:53:14</t>
  </si>
  <si>
    <t>LEONILA</t>
  </si>
  <si>
    <t>BETANCOURT</t>
  </si>
  <si>
    <t>J441</t>
  </si>
  <si>
    <t>Enfermedad pulmonar obstructiva cronica con exacerbacion aguda, no especificada</t>
  </si>
  <si>
    <t>09:07:21</t>
  </si>
  <si>
    <t>CONCEPCION</t>
  </si>
  <si>
    <t>11:20:53</t>
  </si>
  <si>
    <t>CARRERA 42F No.75B-18</t>
  </si>
  <si>
    <t>15:40:11</t>
  </si>
  <si>
    <t>VILLACORTE</t>
  </si>
  <si>
    <t>ZABALA</t>
  </si>
  <si>
    <t>F718</t>
  </si>
  <si>
    <t>Retraso mental moderado, otros deterioros del comportamiento</t>
  </si>
  <si>
    <t>N311</t>
  </si>
  <si>
    <t>Vejiga neuropatica refleja, no clasificada en otra parte</t>
  </si>
  <si>
    <t>10:17:56</t>
  </si>
  <si>
    <t>RUBIANO</t>
  </si>
  <si>
    <t>NOEMI</t>
  </si>
  <si>
    <t>07:37:36</t>
  </si>
  <si>
    <t>GUERRERO</t>
  </si>
  <si>
    <t>F259</t>
  </si>
  <si>
    <t>Trastorno esquizoafectivo, no especificado</t>
  </si>
  <si>
    <t>F412</t>
  </si>
  <si>
    <t>Trastorno mixto de ansiedad y depresion</t>
  </si>
  <si>
    <t>09:57:46</t>
  </si>
  <si>
    <t>DIANA</t>
  </si>
  <si>
    <t>PALACIO</t>
  </si>
  <si>
    <t>OSMA</t>
  </si>
  <si>
    <t>Q249</t>
  </si>
  <si>
    <t>Malformacion congenita del corazon, no especificada</t>
  </si>
  <si>
    <t>07:43:01</t>
  </si>
  <si>
    <t>JACINTO</t>
  </si>
  <si>
    <t>SILVERA</t>
  </si>
  <si>
    <t>DOMINGA</t>
  </si>
  <si>
    <t>AMARIS</t>
  </si>
  <si>
    <t>09:40:11</t>
  </si>
  <si>
    <t>GLEISON</t>
  </si>
  <si>
    <t>JEIDER</t>
  </si>
  <si>
    <t>MINOTA</t>
  </si>
  <si>
    <t>09:35:13</t>
  </si>
  <si>
    <t>08:25:32</t>
  </si>
  <si>
    <t>CALVO</t>
  </si>
  <si>
    <t>H181</t>
  </si>
  <si>
    <t>Queratopatia vesicular</t>
  </si>
  <si>
    <t>11:43:53</t>
  </si>
  <si>
    <t>USMAN</t>
  </si>
  <si>
    <t>PATIÑO</t>
  </si>
  <si>
    <t>14:24:59</t>
  </si>
  <si>
    <t>PALOMINO</t>
  </si>
  <si>
    <t>12:58:44</t>
  </si>
  <si>
    <t>CL 33 No 31 - 65 HOSPITAL REGIONAL DE COROZAL</t>
  </si>
  <si>
    <t>554/01</t>
  </si>
  <si>
    <t>MENESES</t>
  </si>
  <si>
    <t>A085</t>
  </si>
  <si>
    <t>Otras infecciones intestinales especificadas</t>
  </si>
  <si>
    <t>11:47:13</t>
  </si>
  <si>
    <t>LILIBETH</t>
  </si>
  <si>
    <t>REALES</t>
  </si>
  <si>
    <t>5070-03</t>
  </si>
  <si>
    <t>14:33:20</t>
  </si>
  <si>
    <t>E782</t>
  </si>
  <si>
    <t>Hiperlipidemia mixta</t>
  </si>
  <si>
    <t>08:33:01</t>
  </si>
  <si>
    <t>NOHEMI</t>
  </si>
  <si>
    <t>CELY</t>
  </si>
  <si>
    <t>EDELMIRA</t>
  </si>
  <si>
    <t>HUERTAS</t>
  </si>
  <si>
    <t>VEGA</t>
  </si>
  <si>
    <t>08:42:51</t>
  </si>
  <si>
    <t>ENARIS</t>
  </si>
  <si>
    <t>BENITEZ</t>
  </si>
  <si>
    <t>16:10:58</t>
  </si>
  <si>
    <t>VILORIA</t>
  </si>
  <si>
    <t>H524</t>
  </si>
  <si>
    <t>Presbicia</t>
  </si>
  <si>
    <t>12:51:21</t>
  </si>
  <si>
    <t>SABULON</t>
  </si>
  <si>
    <t>PINO</t>
  </si>
  <si>
    <t>ORFELINA</t>
  </si>
  <si>
    <t>E118</t>
  </si>
  <si>
    <t>Diabetes mellitus no insulinodependiente, con complicaciones no especificadas</t>
  </si>
  <si>
    <t>09:41:08</t>
  </si>
  <si>
    <t>11:09:26</t>
  </si>
  <si>
    <t>ASCENETH</t>
  </si>
  <si>
    <t>J849</t>
  </si>
  <si>
    <t>Enfermedad pulmonar intersticial, no especificada</t>
  </si>
  <si>
    <t>15:19:23</t>
  </si>
  <si>
    <t>EDWIN</t>
  </si>
  <si>
    <t>FIGUEROA</t>
  </si>
  <si>
    <t>Z713</t>
  </si>
  <si>
    <t>Consulta para instruccion y vigilancia de la dieta</t>
  </si>
  <si>
    <t>11:14:40</t>
  </si>
  <si>
    <t>KR 22 No. 14 - 45, PISO 3</t>
  </si>
  <si>
    <t>YAIR</t>
  </si>
  <si>
    <t>JUDIT</t>
  </si>
  <si>
    <t>11:28:16</t>
  </si>
  <si>
    <t>13:17:33</t>
  </si>
  <si>
    <t>C819</t>
  </si>
  <si>
    <t>Linfoma de Hodgkin, no especificado</t>
  </si>
  <si>
    <t>11:24:41</t>
  </si>
  <si>
    <t>M45X</t>
  </si>
  <si>
    <t>Espondilitis anquilosante</t>
  </si>
  <si>
    <t>11:35:41</t>
  </si>
  <si>
    <t>ISAAC</t>
  </si>
  <si>
    <t>MESSI</t>
  </si>
  <si>
    <t>F719</t>
  </si>
  <si>
    <t>Retraso mental moderado, deterioro del comportamiento de grado no especificado</t>
  </si>
  <si>
    <t>12:35:28</t>
  </si>
  <si>
    <t>CUDRIS</t>
  </si>
  <si>
    <t>SANTA BARBARA DE PINTO</t>
  </si>
  <si>
    <t>14:29:00</t>
  </si>
  <si>
    <t>CALLE 70 B No 38-152</t>
  </si>
  <si>
    <t>LEOVIGILDO</t>
  </si>
  <si>
    <t>18:07:06</t>
  </si>
  <si>
    <t>Carrera 30 Corredor Universitario Carrera No 1 - 850 local 302 TORRE DIAGNOSTICA - Puerto Colombia</t>
  </si>
  <si>
    <t>LAUREANO</t>
  </si>
  <si>
    <t>CAPARROSO</t>
  </si>
  <si>
    <t>18:12:02</t>
  </si>
  <si>
    <t>08:31:40</t>
  </si>
  <si>
    <t>H270</t>
  </si>
  <si>
    <t>Afaquia</t>
  </si>
  <si>
    <t>08:19:16</t>
  </si>
  <si>
    <t>CARRERA 44 No.72-131</t>
  </si>
  <si>
    <t>08:33:02</t>
  </si>
  <si>
    <t>09:56:51</t>
  </si>
  <si>
    <t>SANTAMARIA</t>
  </si>
  <si>
    <t>ELIANA</t>
  </si>
  <si>
    <t>09:01:41</t>
  </si>
  <si>
    <t>MONTAÑEZ</t>
  </si>
  <si>
    <t>DE SOTO</t>
  </si>
  <si>
    <t>11:07:10</t>
  </si>
  <si>
    <t>DILIA</t>
  </si>
  <si>
    <t>VILLEGAS</t>
  </si>
  <si>
    <t>M329</t>
  </si>
  <si>
    <t>Lupus eritematoso sistemico, sin otra especificacion</t>
  </si>
  <si>
    <t>17:01:50</t>
  </si>
  <si>
    <t>SALAMANCA</t>
  </si>
  <si>
    <t>50116-98</t>
  </si>
  <si>
    <t>NURIS</t>
  </si>
  <si>
    <t>06:47:23</t>
  </si>
  <si>
    <t>EVANGELISTA</t>
  </si>
  <si>
    <t>I513</t>
  </si>
  <si>
    <t>Trombosis intracardiaca, no clasificada en otra parte</t>
  </si>
  <si>
    <t>06:41:00</t>
  </si>
  <si>
    <t>09:43:40</t>
  </si>
  <si>
    <t>ROMAÑA</t>
  </si>
  <si>
    <t>M542</t>
  </si>
  <si>
    <t>Cervicalgia</t>
  </si>
  <si>
    <t>09:23:19</t>
  </si>
  <si>
    <t>CALLE 11 # 6 -34</t>
  </si>
  <si>
    <t>VIVIANA</t>
  </si>
  <si>
    <t>TRINIDAD</t>
  </si>
  <si>
    <t>VALLEJO</t>
  </si>
  <si>
    <t>ARREDONDO</t>
  </si>
  <si>
    <t>11:46:31</t>
  </si>
  <si>
    <t>CABEZA</t>
  </si>
  <si>
    <t>EDGAR</t>
  </si>
  <si>
    <t>BORESOFF</t>
  </si>
  <si>
    <t>12308/90</t>
  </si>
  <si>
    <t>FERMANIA</t>
  </si>
  <si>
    <t>GONGORA</t>
  </si>
  <si>
    <t>GARCES</t>
  </si>
  <si>
    <t>BAJO BAUDO</t>
  </si>
  <si>
    <t>11:03:54</t>
  </si>
  <si>
    <t>REINALDO</t>
  </si>
  <si>
    <t>ARISMENDI</t>
  </si>
  <si>
    <t>EVERGITO</t>
  </si>
  <si>
    <t>PEREA</t>
  </si>
  <si>
    <t>08:00:02</t>
  </si>
  <si>
    <t>CALLE 73F No.12-19</t>
  </si>
  <si>
    <t>BARRAGAN</t>
  </si>
  <si>
    <t>0805816-12</t>
  </si>
  <si>
    <t>14:59:15</t>
  </si>
  <si>
    <t>NEPOMUCENO</t>
  </si>
  <si>
    <t>11:23:38</t>
  </si>
  <si>
    <t>KENETH</t>
  </si>
  <si>
    <t>D508</t>
  </si>
  <si>
    <t>Otras anemias por deficiencia de hierro</t>
  </si>
  <si>
    <t>09:43:45</t>
  </si>
  <si>
    <t>ALIRIO</t>
  </si>
  <si>
    <t>11:48:34</t>
  </si>
  <si>
    <t>04215</t>
  </si>
  <si>
    <t>MACETA</t>
  </si>
  <si>
    <t>VARON</t>
  </si>
  <si>
    <t>12:35:08</t>
  </si>
  <si>
    <t>15:14:58</t>
  </si>
  <si>
    <t>KATY</t>
  </si>
  <si>
    <t>YULIETH</t>
  </si>
  <si>
    <t>HORMECHEA</t>
  </si>
  <si>
    <t>D538</t>
  </si>
  <si>
    <t>Otras anemias nutricionales especificadas</t>
  </si>
  <si>
    <t>10:49:53</t>
  </si>
  <si>
    <t>LAMBRAÑO</t>
  </si>
  <si>
    <t>SAN JUAN NEPOMUCENO</t>
  </si>
  <si>
    <t>F413</t>
  </si>
  <si>
    <t>Otros trastornos de ansiedad mixtos</t>
  </si>
  <si>
    <t>F989</t>
  </si>
  <si>
    <t>Trastornos no especificados, emocionales y del comportamiento, que aparecen habitualmente en la ninez y en la adolescencia</t>
  </si>
  <si>
    <t>09:03:14</t>
  </si>
  <si>
    <t>08634</t>
  </si>
  <si>
    <t>CRA 11 # 9-50</t>
  </si>
  <si>
    <t>DIANYS</t>
  </si>
  <si>
    <t>ANILLO</t>
  </si>
  <si>
    <t>06966</t>
  </si>
  <si>
    <t>SHARON</t>
  </si>
  <si>
    <t>MAITHE</t>
  </si>
  <si>
    <t>SABANAGRANDE</t>
  </si>
  <si>
    <t>13:07:54</t>
  </si>
  <si>
    <t>15:26:53</t>
  </si>
  <si>
    <t>CALLE 78B N° 69-240</t>
  </si>
  <si>
    <t>KAREN</t>
  </si>
  <si>
    <t>QUINTO</t>
  </si>
  <si>
    <t>Y845</t>
  </si>
  <si>
    <t>Insercion de sonda gastrica o duodenal</t>
  </si>
  <si>
    <t>Z031</t>
  </si>
  <si>
    <t>Observacion por sospecha de tumor maligno</t>
  </si>
  <si>
    <t>16:01:16</t>
  </si>
  <si>
    <t>CALEE 8 Nº 11 - 39</t>
  </si>
  <si>
    <t>PRADA</t>
  </si>
  <si>
    <t>0893506</t>
  </si>
  <si>
    <t>SHARITH</t>
  </si>
  <si>
    <t>ZONA BANANERA</t>
  </si>
  <si>
    <t>G800</t>
  </si>
  <si>
    <t>Paralisis cerebral espastica cuadriplejica</t>
  </si>
  <si>
    <t>12:09:21</t>
  </si>
  <si>
    <t>G811</t>
  </si>
  <si>
    <t>Hemiplejia espastica</t>
  </si>
  <si>
    <t>06:19:07</t>
  </si>
  <si>
    <t>PAULINA</t>
  </si>
  <si>
    <t>BERDEJO</t>
  </si>
  <si>
    <t>DE PERTUZ</t>
  </si>
  <si>
    <t>06:17:48</t>
  </si>
  <si>
    <t>11:44:26</t>
  </si>
  <si>
    <t>CARRERA 50 # 80-90</t>
  </si>
  <si>
    <t>GUSTAVO</t>
  </si>
  <si>
    <t>7825/82</t>
  </si>
  <si>
    <t>MARLON</t>
  </si>
  <si>
    <t>12:12:24</t>
  </si>
  <si>
    <t>11:31:25</t>
  </si>
  <si>
    <t>09:33:18</t>
  </si>
  <si>
    <t>DE LOS SANTOS</t>
  </si>
  <si>
    <t>12:44:08</t>
  </si>
  <si>
    <t>ROCIO</t>
  </si>
  <si>
    <t>BETTIN</t>
  </si>
  <si>
    <t>16:27:55</t>
  </si>
  <si>
    <t>EGEA</t>
  </si>
  <si>
    <t>BERMEJO</t>
  </si>
  <si>
    <t>DONAIDA</t>
  </si>
  <si>
    <t>DEL SOCORRO</t>
  </si>
  <si>
    <t>SANTANDER</t>
  </si>
  <si>
    <t>DE RAMOS</t>
  </si>
  <si>
    <t>L298</t>
  </si>
  <si>
    <t>Otros pruritos</t>
  </si>
  <si>
    <t>10:33:31</t>
  </si>
  <si>
    <t>Carrera 47 N°82-236</t>
  </si>
  <si>
    <t>3784432 - 3775471 - 3737027</t>
  </si>
  <si>
    <t>D059</t>
  </si>
  <si>
    <t>Carcinoma in situ de la mama, parte no especificada</t>
  </si>
  <si>
    <t>VALENZUELA</t>
  </si>
  <si>
    <t>04503-94</t>
  </si>
  <si>
    <t>LEYDY</t>
  </si>
  <si>
    <t>GALLEGO</t>
  </si>
  <si>
    <t>O85X</t>
  </si>
  <si>
    <t>Sepsis puerperal</t>
  </si>
  <si>
    <t>09:27:48</t>
  </si>
  <si>
    <t>EVERLIDES</t>
  </si>
  <si>
    <t>16:04:07</t>
  </si>
  <si>
    <t>EFORO</t>
  </si>
  <si>
    <t>09:17:39</t>
  </si>
  <si>
    <t>Carrera 16 No. 14-98 primer piso</t>
  </si>
  <si>
    <t>5808545 - 3157250241 - 3017553599</t>
  </si>
  <si>
    <t>ELIZABETH</t>
  </si>
  <si>
    <t>ASTREA</t>
  </si>
  <si>
    <t>09:14:56</t>
  </si>
  <si>
    <t>MACEA</t>
  </si>
  <si>
    <t>11:28:48</t>
  </si>
  <si>
    <t>G248</t>
  </si>
  <si>
    <t>Otras distonias</t>
  </si>
  <si>
    <t>10:28:41</t>
  </si>
  <si>
    <t>OLIVERA</t>
  </si>
  <si>
    <t>08:26:55</t>
  </si>
  <si>
    <t>CRA. 38 BIS No. 5 B2 - 04</t>
  </si>
  <si>
    <t>6821000 ext. 15620 - 15621</t>
  </si>
  <si>
    <t>ARANGO</t>
  </si>
  <si>
    <t>LIAM</t>
  </si>
  <si>
    <t>DAMIAN</t>
  </si>
  <si>
    <t>OCHOA</t>
  </si>
  <si>
    <t>K710</t>
  </si>
  <si>
    <t>Enfermedad toxica del higado, con colestasis</t>
  </si>
  <si>
    <t>P072</t>
  </si>
  <si>
    <t>Inmaturidad extrema</t>
  </si>
  <si>
    <t>14:02:30</t>
  </si>
  <si>
    <t>ALEGNA</t>
  </si>
  <si>
    <t>SUSEJ</t>
  </si>
  <si>
    <t>09:37:29</t>
  </si>
  <si>
    <t>ELVIA</t>
  </si>
  <si>
    <t>SORACA</t>
  </si>
  <si>
    <t>GARIZADO</t>
  </si>
  <si>
    <t>09:10:09</t>
  </si>
  <si>
    <t>12:08:22</t>
  </si>
  <si>
    <t>kra 24 con calle 7 esquina</t>
  </si>
  <si>
    <t>MEDARDO</t>
  </si>
  <si>
    <t>SAN MARTIN DE LOBA</t>
  </si>
  <si>
    <t>13:16:58</t>
  </si>
  <si>
    <t>05:45:58</t>
  </si>
  <si>
    <t>OSIRIS</t>
  </si>
  <si>
    <t>09:59:14</t>
  </si>
  <si>
    <t>CUELLAR</t>
  </si>
  <si>
    <t>VALLADALES</t>
  </si>
  <si>
    <t>GRANADA</t>
  </si>
  <si>
    <t>Z720</t>
  </si>
  <si>
    <t>Problemas relacionados con el uso del tabaco</t>
  </si>
  <si>
    <t>09:45:23</t>
  </si>
  <si>
    <t>CARRERA 23 # 21-21</t>
  </si>
  <si>
    <t>RENGIFO</t>
  </si>
  <si>
    <t>ARISTIDES</t>
  </si>
  <si>
    <t>11:25:14</t>
  </si>
  <si>
    <t>15:44:05</t>
  </si>
  <si>
    <t>ENILSE</t>
  </si>
  <si>
    <t>ROBIRA</t>
  </si>
  <si>
    <t>08:51:09</t>
  </si>
  <si>
    <t>LEYDIS</t>
  </si>
  <si>
    <t>LUGO</t>
  </si>
  <si>
    <t>ARELLANO</t>
  </si>
  <si>
    <t>004444</t>
  </si>
  <si>
    <t>ORIANA</t>
  </si>
  <si>
    <t>MICHELL</t>
  </si>
  <si>
    <t>AREVALO</t>
  </si>
  <si>
    <t>SEGUAN</t>
  </si>
  <si>
    <t>G809</t>
  </si>
  <si>
    <t>Paralisis cerebral, sin otra especificacion</t>
  </si>
  <si>
    <t>FERIA</t>
  </si>
  <si>
    <t>12:06:20</t>
  </si>
  <si>
    <t>VDA DE SARMIENTO</t>
  </si>
  <si>
    <t>14:37:04</t>
  </si>
  <si>
    <t>CALLE 78 CARRERA 2 SUR</t>
  </si>
  <si>
    <t>MISAEL</t>
  </si>
  <si>
    <t>APARICIO</t>
  </si>
  <si>
    <t>12:31:15</t>
  </si>
  <si>
    <t>16:23:33</t>
  </si>
  <si>
    <t>OÑORO</t>
  </si>
  <si>
    <t>09:30:01</t>
  </si>
  <si>
    <t>CALLE 30 AV. PEDRO DE HEREDIA No. 35-119</t>
  </si>
  <si>
    <t>BELISARIO</t>
  </si>
  <si>
    <t>B589</t>
  </si>
  <si>
    <t>Toxoplasmosis, no especificada</t>
  </si>
  <si>
    <t>Z352</t>
  </si>
  <si>
    <t>Supervision de embarazo con otro riesgo en la historia obstetrica o reproductiva</t>
  </si>
  <si>
    <t>16:43:46</t>
  </si>
  <si>
    <t>SOLENO</t>
  </si>
  <si>
    <t>MOGUEA</t>
  </si>
  <si>
    <t>01458408</t>
  </si>
  <si>
    <t>16:51:15</t>
  </si>
  <si>
    <t>09:55:27</t>
  </si>
  <si>
    <t>ALTAGRACIA</t>
  </si>
  <si>
    <t>RAPALINO</t>
  </si>
  <si>
    <t>08:45:55</t>
  </si>
  <si>
    <t>BARAKAT</t>
  </si>
  <si>
    <t>MARIVIL</t>
  </si>
  <si>
    <t>09:15:32</t>
  </si>
  <si>
    <t>DINORIS</t>
  </si>
  <si>
    <t>10:08:50</t>
  </si>
  <si>
    <t>11:44:55</t>
  </si>
  <si>
    <t>RACEDO</t>
  </si>
  <si>
    <t>10:11:06</t>
  </si>
  <si>
    <t>MARIBEL</t>
  </si>
  <si>
    <t>01:01:19</t>
  </si>
  <si>
    <t>STEFANY</t>
  </si>
  <si>
    <t>RUBIO</t>
  </si>
  <si>
    <t>JOAQUINA</t>
  </si>
  <si>
    <t>S098</t>
  </si>
  <si>
    <t>Otros traumatismos de la cabeza, especificados</t>
  </si>
  <si>
    <t>11:39:17</t>
  </si>
  <si>
    <t>13:43:31</t>
  </si>
  <si>
    <t>MARTHA</t>
  </si>
  <si>
    <t>CUELLO</t>
  </si>
  <si>
    <t>13:26:35</t>
  </si>
  <si>
    <t>11:44:40</t>
  </si>
  <si>
    <t>10:36:48</t>
  </si>
  <si>
    <t>ARTEAGA</t>
  </si>
  <si>
    <t>08:58:14</t>
  </si>
  <si>
    <t>YAVETH</t>
  </si>
  <si>
    <t>TIRADO</t>
  </si>
  <si>
    <t>Q150</t>
  </si>
  <si>
    <t>Glaucoma congenito</t>
  </si>
  <si>
    <t>H541</t>
  </si>
  <si>
    <t>Deficiencia visual severa, binocular</t>
  </si>
  <si>
    <t>16:12:10</t>
  </si>
  <si>
    <t>PERCIALITH</t>
  </si>
  <si>
    <t>R002</t>
  </si>
  <si>
    <t>Palpitaciones</t>
  </si>
  <si>
    <t>12:29:23</t>
  </si>
  <si>
    <t>HEIDY</t>
  </si>
  <si>
    <t>MARSIGLIA</t>
  </si>
  <si>
    <t>ARMELLA</t>
  </si>
  <si>
    <t>ASTRID</t>
  </si>
  <si>
    <t>MANCO</t>
  </si>
  <si>
    <t>SIMITI</t>
  </si>
  <si>
    <t>C910</t>
  </si>
  <si>
    <t>Leucemia linfoblastica aguda [LLA]</t>
  </si>
  <si>
    <t>10:08:21</t>
  </si>
  <si>
    <t>06:05:56</t>
  </si>
  <si>
    <t>DE LOS DOLORES</t>
  </si>
  <si>
    <t>FORASTERO</t>
  </si>
  <si>
    <t>MORROCO</t>
  </si>
  <si>
    <t>J122</t>
  </si>
  <si>
    <t>Neumonia debida a virus parainfluenza</t>
  </si>
  <si>
    <t>B519</t>
  </si>
  <si>
    <t>Paludismo debido a Plasmodium vivax, sin complicaciones</t>
  </si>
  <si>
    <t>09:48:59</t>
  </si>
  <si>
    <t>JHONATAN</t>
  </si>
  <si>
    <t>C919</t>
  </si>
  <si>
    <t>Leucemia linfoide, sin otra especificacion</t>
  </si>
  <si>
    <t>07:52:53</t>
  </si>
  <si>
    <t>A689</t>
  </si>
  <si>
    <t>Fiebre recurrente, no especificada</t>
  </si>
  <si>
    <t>12:40:15</t>
  </si>
  <si>
    <t>17:03:11</t>
  </si>
  <si>
    <t>ANIAM</t>
  </si>
  <si>
    <t>16:39:56</t>
  </si>
  <si>
    <t>SILVESTRE</t>
  </si>
  <si>
    <t>5566/94</t>
  </si>
  <si>
    <t>J188</t>
  </si>
  <si>
    <t>Otras neumonias, de microorganismo no especificado</t>
  </si>
  <si>
    <t>11:20:39</t>
  </si>
  <si>
    <t>BLEYDIS</t>
  </si>
  <si>
    <t>L040</t>
  </si>
  <si>
    <t>Linfadenitis aguda de cara, cabeza y cuello</t>
  </si>
  <si>
    <t>17:12:47</t>
  </si>
  <si>
    <t>00:48:35</t>
  </si>
  <si>
    <t>21:49:46</t>
  </si>
  <si>
    <t>MARIA BERNARDA</t>
  </si>
  <si>
    <t>RIVERA</t>
  </si>
  <si>
    <t>11:36:07</t>
  </si>
  <si>
    <t>16:00:23</t>
  </si>
  <si>
    <t>08:06:57</t>
  </si>
  <si>
    <t>10:09:35</t>
  </si>
  <si>
    <t>BERNARDO</t>
  </si>
  <si>
    <t>GENES</t>
  </si>
  <si>
    <t>ENIT</t>
  </si>
  <si>
    <t>08:51:40</t>
  </si>
  <si>
    <t>08:06:43</t>
  </si>
  <si>
    <t>MARILA</t>
  </si>
  <si>
    <t>TOUS</t>
  </si>
  <si>
    <t>12:25:38</t>
  </si>
  <si>
    <t>13:16:47</t>
  </si>
  <si>
    <t>09:26:14</t>
  </si>
  <si>
    <t>ASDRUBAL</t>
  </si>
  <si>
    <t>FREDDY</t>
  </si>
  <si>
    <t>TURBANA</t>
  </si>
  <si>
    <t>D375</t>
  </si>
  <si>
    <t>Tumor de comportamiento incierto o desconocido del recto</t>
  </si>
  <si>
    <t>PARRA</t>
  </si>
  <si>
    <t>11:31:18</t>
  </si>
  <si>
    <t>NORMANDO</t>
  </si>
  <si>
    <t>MINDIOLA</t>
  </si>
  <si>
    <t>11:00:26</t>
  </si>
  <si>
    <t>07:20:48</t>
  </si>
  <si>
    <t>SILVERIA</t>
  </si>
  <si>
    <t>CONDE</t>
  </si>
  <si>
    <t>DE TORRES</t>
  </si>
  <si>
    <t>16:12:23</t>
  </si>
  <si>
    <t>CORINA</t>
  </si>
  <si>
    <t>DE CERPA</t>
  </si>
  <si>
    <t>09:54:23</t>
  </si>
  <si>
    <t>SORAIDA</t>
  </si>
  <si>
    <t>17:52:27</t>
  </si>
  <si>
    <t>ASCENSION</t>
  </si>
  <si>
    <t>07:31:12</t>
  </si>
  <si>
    <t>AVILEZ</t>
  </si>
  <si>
    <t>11:35:35</t>
  </si>
  <si>
    <t>10:40:44</t>
  </si>
  <si>
    <t>FLORA</t>
  </si>
  <si>
    <t>12:36:12</t>
  </si>
  <si>
    <t>09:46:01</t>
  </si>
  <si>
    <t>ABIANTUN</t>
  </si>
  <si>
    <t>03113</t>
  </si>
  <si>
    <t>12:09:08</t>
  </si>
  <si>
    <t>ABELLA</t>
  </si>
  <si>
    <t>BARBARA</t>
  </si>
  <si>
    <t>OLIVEROS</t>
  </si>
  <si>
    <t>K529</t>
  </si>
  <si>
    <t>Colitis y gastroenteritis no infecciosas, no especificadas</t>
  </si>
  <si>
    <t>14:44:03</t>
  </si>
  <si>
    <t>22:32:11</t>
  </si>
  <si>
    <t>CARRERA 22 No 18-123</t>
  </si>
  <si>
    <t>3157520949-3176999378-28200783-2769072</t>
  </si>
  <si>
    <t>SALEME</t>
  </si>
  <si>
    <t>I822</t>
  </si>
  <si>
    <t>Embolia y trombosis de vena cava</t>
  </si>
  <si>
    <t>18:43:33</t>
  </si>
  <si>
    <t>DE GIACOMETO</t>
  </si>
  <si>
    <t>18:55:00</t>
  </si>
  <si>
    <t>JARAVA</t>
  </si>
  <si>
    <t>BLAS</t>
  </si>
  <si>
    <t>I351</t>
  </si>
  <si>
    <t>Insuficiencia (de la valvula) aortica</t>
  </si>
  <si>
    <t>10:12:11</t>
  </si>
  <si>
    <t>I712</t>
  </si>
  <si>
    <t>Aneurisma de la aorta toracica, sin mencion de ruptura</t>
  </si>
  <si>
    <t>08:41:22</t>
  </si>
  <si>
    <t>GONZALO</t>
  </si>
  <si>
    <t>GIL</t>
  </si>
  <si>
    <t>CHIMICHAGUA</t>
  </si>
  <si>
    <t>I258</t>
  </si>
  <si>
    <t>Otras formas de enfermedad isquemica cronica del corazon</t>
  </si>
  <si>
    <t>10:14:52</t>
  </si>
  <si>
    <t>LIBIA</t>
  </si>
  <si>
    <t>DE SUAREZ</t>
  </si>
  <si>
    <t>10:20:51</t>
  </si>
  <si>
    <t>09:55:53</t>
  </si>
  <si>
    <t>14:53:39</t>
  </si>
  <si>
    <t>11:53:23</t>
  </si>
  <si>
    <t>DE SOSA</t>
  </si>
  <si>
    <t>D391</t>
  </si>
  <si>
    <t>Tumor de comportamiento incierto o desconocido del ovario</t>
  </si>
  <si>
    <t>10:35:24</t>
  </si>
  <si>
    <t>ESCALLONVILLA, CENTRO MEDICO LOS EJECUTIVOS, CONSULTORIO 407</t>
  </si>
  <si>
    <t>OLMOS</t>
  </si>
  <si>
    <t>RETAMOSO</t>
  </si>
  <si>
    <t>VILLERO</t>
  </si>
  <si>
    <t>VILLAR</t>
  </si>
  <si>
    <t>11:06:45</t>
  </si>
  <si>
    <t>70-444</t>
  </si>
  <si>
    <t>VITAL</t>
  </si>
  <si>
    <t>17:33:20</t>
  </si>
  <si>
    <t>DE HOYER</t>
  </si>
  <si>
    <t>08:20:10</t>
  </si>
  <si>
    <t>RM 2866</t>
  </si>
  <si>
    <t>PEREIRA</t>
  </si>
  <si>
    <t>16:42:35</t>
  </si>
  <si>
    <t>DE CERVANTES</t>
  </si>
  <si>
    <t>16:34:04</t>
  </si>
  <si>
    <t>VALERY</t>
  </si>
  <si>
    <t>ANYELIN</t>
  </si>
  <si>
    <t>18:48:01</t>
  </si>
  <si>
    <t>15:58:22</t>
  </si>
  <si>
    <t>CARRERA 2 No. 26-20 B/. ROMA</t>
  </si>
  <si>
    <t>094-6712254 - 094-6719091</t>
  </si>
  <si>
    <t>JONATHAN</t>
  </si>
  <si>
    <t>ARGUELLO</t>
  </si>
  <si>
    <t>MELIZA</t>
  </si>
  <si>
    <t>LLORO</t>
  </si>
  <si>
    <t>B360</t>
  </si>
  <si>
    <t>Pitiriasis versicolor</t>
  </si>
  <si>
    <t>L708</t>
  </si>
  <si>
    <t>Otros acnes</t>
  </si>
  <si>
    <t>12:24:56</t>
  </si>
  <si>
    <t>NEWIN</t>
  </si>
  <si>
    <t>DALEY</t>
  </si>
  <si>
    <t>16:17:29</t>
  </si>
  <si>
    <t>ELSA</t>
  </si>
  <si>
    <t>15:28:22</t>
  </si>
  <si>
    <t>HOLGUIN</t>
  </si>
  <si>
    <t>Z594</t>
  </si>
  <si>
    <t>Problemas relacionados con la falta de alimentos adecuados</t>
  </si>
  <si>
    <t>10:05:18</t>
  </si>
  <si>
    <t>PANTOJA</t>
  </si>
  <si>
    <t>11:33:59</t>
  </si>
  <si>
    <t>CELESTINA</t>
  </si>
  <si>
    <t>MADRID</t>
  </si>
  <si>
    <t>DE ROSARIO</t>
  </si>
  <si>
    <t>15:57:18</t>
  </si>
  <si>
    <t>BEDOYA</t>
  </si>
  <si>
    <t>GRACIELA</t>
  </si>
  <si>
    <t>GRAJALES</t>
  </si>
  <si>
    <t>L088</t>
  </si>
  <si>
    <t>Otras infecciones locales especificadas de la piel y del tejido subcutaneo</t>
  </si>
  <si>
    <t>10:15:43</t>
  </si>
  <si>
    <t>HECTOR</t>
  </si>
  <si>
    <t>I779</t>
  </si>
  <si>
    <t>Trastorno de arterias y arteriolas, no especificado</t>
  </si>
  <si>
    <t>06:31:33</t>
  </si>
  <si>
    <t>DE ANILLO</t>
  </si>
  <si>
    <t>08:36:34</t>
  </si>
  <si>
    <t>M519</t>
  </si>
  <si>
    <t>Trastorno de los discos intervertebrales, no especificado</t>
  </si>
  <si>
    <t>08:42:23</t>
  </si>
  <si>
    <t>E559</t>
  </si>
  <si>
    <t>Deficiencia de vitamina D, no especificada</t>
  </si>
  <si>
    <t>11:18:28</t>
  </si>
  <si>
    <t>PIANETA</t>
  </si>
  <si>
    <t>N179</t>
  </si>
  <si>
    <t>Insuficiencia renal aguda, no especificada</t>
  </si>
  <si>
    <t>16:18:13</t>
  </si>
  <si>
    <t>NAGLES</t>
  </si>
  <si>
    <t>05:51:37</t>
  </si>
  <si>
    <t>21:36:26</t>
  </si>
  <si>
    <t>NEIMAR</t>
  </si>
  <si>
    <t>ISIDRO</t>
  </si>
  <si>
    <t>CHINCHILLA</t>
  </si>
  <si>
    <t>11:14:43</t>
  </si>
  <si>
    <t>DE GUTIERREZ</t>
  </si>
  <si>
    <t>11:23:30</t>
  </si>
  <si>
    <t>EGLEE</t>
  </si>
  <si>
    <t>SEGURA</t>
  </si>
  <si>
    <t>15:28:18</t>
  </si>
  <si>
    <t>NOHORA</t>
  </si>
  <si>
    <t>08:35:38</t>
  </si>
  <si>
    <t>CLARET</t>
  </si>
  <si>
    <t>Cl 1 No 9-85</t>
  </si>
  <si>
    <t>0914320160 Ext.: 2000/2001</t>
  </si>
  <si>
    <t>GAMBOA</t>
  </si>
  <si>
    <t>BLANQUICETH</t>
  </si>
  <si>
    <t>C318</t>
  </si>
  <si>
    <t>Lesion de sitios contiguos de los senos paranasales</t>
  </si>
  <si>
    <t>09:49:10</t>
  </si>
  <si>
    <t>FLOR</t>
  </si>
  <si>
    <t>BAHOS</t>
  </si>
  <si>
    <t>15:38:24</t>
  </si>
  <si>
    <t>BONFANTE</t>
  </si>
  <si>
    <t>13:39:30</t>
  </si>
  <si>
    <t>BUSTAMANTE</t>
  </si>
  <si>
    <t>08:11:02</t>
  </si>
  <si>
    <t>F509</t>
  </si>
  <si>
    <t>Trastorno de la ingestion de alimentos, no especificado</t>
  </si>
  <si>
    <t>10:27:10</t>
  </si>
  <si>
    <t>ROLANDO</t>
  </si>
  <si>
    <t>MASSARD</t>
  </si>
  <si>
    <t>BALLESTAS</t>
  </si>
  <si>
    <t>RM 1149-91</t>
  </si>
  <si>
    <t>MACIAS</t>
  </si>
  <si>
    <t>08:30:09</t>
  </si>
  <si>
    <t>CL 17 16-02</t>
  </si>
  <si>
    <t>NATHALIA</t>
  </si>
  <si>
    <t>PARDO</t>
  </si>
  <si>
    <t>ROYNEL</t>
  </si>
  <si>
    <t>ESPITIA</t>
  </si>
  <si>
    <t>G402</t>
  </si>
  <si>
    <t>Epilepsia y sindromes epilepticos sintomaticos relacionados con localizaciones (focales)(parciales) y con ataques parciales complejos</t>
  </si>
  <si>
    <t>07:18:48</t>
  </si>
  <si>
    <t>COSSIO</t>
  </si>
  <si>
    <t>DE BEJARANO</t>
  </si>
  <si>
    <t>10:48:24</t>
  </si>
  <si>
    <t>ESTEBANA</t>
  </si>
  <si>
    <t>MUENTES</t>
  </si>
  <si>
    <t>16:37:58</t>
  </si>
  <si>
    <t>CHELIA</t>
  </si>
  <si>
    <t>COLL</t>
  </si>
  <si>
    <t>11:26:24</t>
  </si>
  <si>
    <t>CASTELLON</t>
  </si>
  <si>
    <t>FREDERMAN</t>
  </si>
  <si>
    <t>07:55:51</t>
  </si>
  <si>
    <t>QUERAGAMA</t>
  </si>
  <si>
    <t>ARCE</t>
  </si>
  <si>
    <t>EL CARMEN DE ATRATO</t>
  </si>
  <si>
    <t>G808</t>
  </si>
  <si>
    <t xml:space="preserve">Otros tipos de paralisis cerebral </t>
  </si>
  <si>
    <t>11:14:50</t>
  </si>
  <si>
    <t>CARRERA 8 No 20-12</t>
  </si>
  <si>
    <t>PAREJO</t>
  </si>
  <si>
    <t>04945</t>
  </si>
  <si>
    <t>GENIETH</t>
  </si>
  <si>
    <t>AUSTRI</t>
  </si>
  <si>
    <t>I129</t>
  </si>
  <si>
    <t>Enfermedad renal hipertensiva sin insuficiencia renal</t>
  </si>
  <si>
    <t>10:50:42</t>
  </si>
  <si>
    <t>JANETH</t>
  </si>
  <si>
    <t>16:11:05</t>
  </si>
  <si>
    <t>16:39:29</t>
  </si>
  <si>
    <t>08:47:26</t>
  </si>
  <si>
    <t>DE CABRERA</t>
  </si>
  <si>
    <t>08:52:01</t>
  </si>
  <si>
    <t>ELIET</t>
  </si>
  <si>
    <t>E282</t>
  </si>
  <si>
    <t>Sindrome de ovario poliquistico</t>
  </si>
  <si>
    <t>21:49:55</t>
  </si>
  <si>
    <t>SAN MARTIN</t>
  </si>
  <si>
    <t>09:53:46</t>
  </si>
  <si>
    <t>N165</t>
  </si>
  <si>
    <t>Trastornos renales tubulointersticiales en rechazo de trasplante</t>
  </si>
  <si>
    <t>19:05:08</t>
  </si>
  <si>
    <t>CALLE 24 NO 25 -26</t>
  </si>
  <si>
    <t>EUCLIDES</t>
  </si>
  <si>
    <t>10:04:30</t>
  </si>
  <si>
    <t>H46X</t>
  </si>
  <si>
    <t>Neuritis optica</t>
  </si>
  <si>
    <t>09:26:51</t>
  </si>
  <si>
    <t>LEONIDA</t>
  </si>
  <si>
    <t>08:46:08</t>
  </si>
  <si>
    <t>k 58 cll 22-46</t>
  </si>
  <si>
    <t>ARRAUT</t>
  </si>
  <si>
    <t>CAEZ</t>
  </si>
  <si>
    <t>08:53:16</t>
  </si>
  <si>
    <t>DE LOS REYES</t>
  </si>
  <si>
    <t>10:27:20</t>
  </si>
  <si>
    <t>BIUNY</t>
  </si>
  <si>
    <t>16:00:55</t>
  </si>
  <si>
    <t>ESCILDA</t>
  </si>
  <si>
    <t>COGOLLO</t>
  </si>
  <si>
    <t>HERAZO</t>
  </si>
  <si>
    <t>08:53:37</t>
  </si>
  <si>
    <t>BOBADILLA</t>
  </si>
  <si>
    <t>16:29:53</t>
  </si>
  <si>
    <t>DANGOND</t>
  </si>
  <si>
    <t>HINOJOZA</t>
  </si>
  <si>
    <t>09:40:57</t>
  </si>
  <si>
    <t>13:14:45</t>
  </si>
  <si>
    <t>VIASUS</t>
  </si>
  <si>
    <t>01156</t>
  </si>
  <si>
    <t>10:10:58</t>
  </si>
  <si>
    <t>14:32:41</t>
  </si>
  <si>
    <t>DAJUD</t>
  </si>
  <si>
    <t>17:19:07</t>
  </si>
  <si>
    <t>FARID</t>
  </si>
  <si>
    <t>PONTON</t>
  </si>
  <si>
    <t>RM 34899-0</t>
  </si>
  <si>
    <t>16:16:24</t>
  </si>
  <si>
    <t>09:13:28</t>
  </si>
  <si>
    <t>CERVANTES</t>
  </si>
  <si>
    <t>DE MUÑOZ</t>
  </si>
  <si>
    <t>10:51:41</t>
  </si>
  <si>
    <t>ALI</t>
  </si>
  <si>
    <t>CURE</t>
  </si>
  <si>
    <t>I738</t>
  </si>
  <si>
    <t>Otras enfermedades vasculares perifericas especificadas</t>
  </si>
  <si>
    <t>16:33:43</t>
  </si>
  <si>
    <t>09:59:05</t>
  </si>
  <si>
    <t>10:08:12</t>
  </si>
  <si>
    <t>08:25:29</t>
  </si>
  <si>
    <t>OVIEDO</t>
  </si>
  <si>
    <t>12:28:40</t>
  </si>
  <si>
    <t>DEAL</t>
  </si>
  <si>
    <t>AVILA</t>
  </si>
  <si>
    <t>G458</t>
  </si>
  <si>
    <t>Otras isquemias cerebrales transitorias y sindromes afines</t>
  </si>
  <si>
    <t>10:01:27</t>
  </si>
  <si>
    <t>ESCUDERO</t>
  </si>
  <si>
    <t>MUNZON</t>
  </si>
  <si>
    <t>09:10:52</t>
  </si>
  <si>
    <t>08:18:55</t>
  </si>
  <si>
    <t>CARABALLO</t>
  </si>
  <si>
    <t>0143/1972</t>
  </si>
  <si>
    <t>YENIS</t>
  </si>
  <si>
    <t>C73X</t>
  </si>
  <si>
    <t>Tumor maligno de la glandula tiroides</t>
  </si>
  <si>
    <t>12:44:06</t>
  </si>
  <si>
    <t>MARCHENA</t>
  </si>
  <si>
    <t>10:28:40</t>
  </si>
  <si>
    <t>BARVO</t>
  </si>
  <si>
    <t>DE ALBARRACIN</t>
  </si>
  <si>
    <t>16:54:50</t>
  </si>
  <si>
    <t>AMIRA</t>
  </si>
  <si>
    <t>09:55:21</t>
  </si>
  <si>
    <t>PURIFICACION</t>
  </si>
  <si>
    <t>SANTA CATALINA</t>
  </si>
  <si>
    <t>10:10:53</t>
  </si>
  <si>
    <t>AZAEL</t>
  </si>
  <si>
    <t>GREGORIA</t>
  </si>
  <si>
    <t>J47X</t>
  </si>
  <si>
    <t>Bronquiectasia</t>
  </si>
  <si>
    <t>15:52:54</t>
  </si>
  <si>
    <t>14:39:32</t>
  </si>
  <si>
    <t>GUARDIA</t>
  </si>
  <si>
    <t>10:58:03</t>
  </si>
  <si>
    <t>SUNILDA</t>
  </si>
  <si>
    <t>VICTORIA</t>
  </si>
  <si>
    <t>11:06:21</t>
  </si>
  <si>
    <t>11:22:29</t>
  </si>
  <si>
    <t>12:12:58</t>
  </si>
  <si>
    <t>SIXTO</t>
  </si>
  <si>
    <t>PAZO</t>
  </si>
  <si>
    <t>M501</t>
  </si>
  <si>
    <t>Trastorno de disco cervical con radiculopatia</t>
  </si>
  <si>
    <t>11:04:09</t>
  </si>
  <si>
    <t>MAYRA</t>
  </si>
  <si>
    <t>14:46:47</t>
  </si>
  <si>
    <t>08:22:52</t>
  </si>
  <si>
    <t>YURANIS</t>
  </si>
  <si>
    <t>NIEBLES</t>
  </si>
  <si>
    <t>07:29:10</t>
  </si>
  <si>
    <t>ALBERTINA</t>
  </si>
  <si>
    <t>I480</t>
  </si>
  <si>
    <t>Fibrilación auricular paroxística</t>
  </si>
  <si>
    <t>12:46:45</t>
  </si>
  <si>
    <t>VALERIA</t>
  </si>
  <si>
    <t>L010</t>
  </si>
  <si>
    <t>Impetigo [cualquier sitio anatomico] [cualquier organismo]</t>
  </si>
  <si>
    <t>10:32:47</t>
  </si>
  <si>
    <t>MACHADO</t>
  </si>
  <si>
    <t>FAUSTO</t>
  </si>
  <si>
    <t>TENORIO</t>
  </si>
  <si>
    <t>GABINO</t>
  </si>
  <si>
    <t>SANTA ROSA</t>
  </si>
  <si>
    <t>22:47:19</t>
  </si>
  <si>
    <t>DE MARIA</t>
  </si>
  <si>
    <t>12:53:54</t>
  </si>
  <si>
    <t>MILADYS</t>
  </si>
  <si>
    <t>17:53:20</t>
  </si>
  <si>
    <t>CELIA</t>
  </si>
  <si>
    <t>11:40:53</t>
  </si>
  <si>
    <t>11:03:33</t>
  </si>
  <si>
    <t>DE PATIÑO</t>
  </si>
  <si>
    <t>10:02:14</t>
  </si>
  <si>
    <t>08148306</t>
  </si>
  <si>
    <t>COLORADO</t>
  </si>
  <si>
    <t>F205</t>
  </si>
  <si>
    <t>Esquizofrenia residual</t>
  </si>
  <si>
    <t>09:42:25</t>
  </si>
  <si>
    <t>SOCORRO</t>
  </si>
  <si>
    <t>IRENE</t>
  </si>
  <si>
    <t>DAIRON</t>
  </si>
  <si>
    <t>X959</t>
  </si>
  <si>
    <t>Agresion con disparo de otras armas de fuego, y las no especificadas, lugar no especificado</t>
  </si>
  <si>
    <t>11:12:04</t>
  </si>
  <si>
    <t>YIYOLIS</t>
  </si>
  <si>
    <t>JIMENO</t>
  </si>
  <si>
    <t>VILLAFAÑE</t>
  </si>
  <si>
    <t>15:48:01</t>
  </si>
  <si>
    <t>FRANKLIN</t>
  </si>
  <si>
    <t>MURIEL</t>
  </si>
  <si>
    <t>11:24:19</t>
  </si>
  <si>
    <t>FARIDES</t>
  </si>
  <si>
    <t>TEJADA</t>
  </si>
  <si>
    <t>14:59:41</t>
  </si>
  <si>
    <t>ROSAURA</t>
  </si>
  <si>
    <t>LEMUS</t>
  </si>
  <si>
    <t>08:17:30</t>
  </si>
  <si>
    <t>EDER</t>
  </si>
  <si>
    <t>11:19:56</t>
  </si>
  <si>
    <t>KR 51 B # 69-13</t>
  </si>
  <si>
    <t>FAIVER</t>
  </si>
  <si>
    <t>BRIÑEZ</t>
  </si>
  <si>
    <t>EL CANTON DEL SAN PABLO</t>
  </si>
  <si>
    <t>M863</t>
  </si>
  <si>
    <t>Osteomielitis multifocal cronica</t>
  </si>
  <si>
    <t>14:44:41</t>
  </si>
  <si>
    <t>09:30:35</t>
  </si>
  <si>
    <t>YANIXA</t>
  </si>
  <si>
    <t>16:54:20</t>
  </si>
  <si>
    <t>ALZATE</t>
  </si>
  <si>
    <t>PULGARIN</t>
  </si>
  <si>
    <t>12:05:17</t>
  </si>
  <si>
    <t>06:47:05</t>
  </si>
  <si>
    <t>ROLDAN</t>
  </si>
  <si>
    <t>12:39:42</t>
  </si>
  <si>
    <t>J152</t>
  </si>
  <si>
    <t>Neumonia debida a estafilococos</t>
  </si>
  <si>
    <t>14:21:10</t>
  </si>
  <si>
    <t>BERLEDY</t>
  </si>
  <si>
    <t>11:11:56</t>
  </si>
  <si>
    <t>YASELIS</t>
  </si>
  <si>
    <t>D251</t>
  </si>
  <si>
    <t>Leiomioma intramural del utero</t>
  </si>
  <si>
    <t>N972</t>
  </si>
  <si>
    <t>Infertilidad femenina de origen uterino</t>
  </si>
  <si>
    <t>15:05:23</t>
  </si>
  <si>
    <t>HARRPPIM</t>
  </si>
  <si>
    <t>MATHIAS</t>
  </si>
  <si>
    <t>L209</t>
  </si>
  <si>
    <t>Dermatitis atopica, no especificada</t>
  </si>
  <si>
    <t>11:48:07</t>
  </si>
  <si>
    <t>14:19:23</t>
  </si>
  <si>
    <t>13:50:19</t>
  </si>
  <si>
    <t>ANDRADES</t>
  </si>
  <si>
    <t>G590</t>
  </si>
  <si>
    <t>Mononeuropatia diabetica</t>
  </si>
  <si>
    <t>13:47:26</t>
  </si>
  <si>
    <t>G628</t>
  </si>
  <si>
    <t>Otras polineuropatias especificadas</t>
  </si>
  <si>
    <t>10:59:14</t>
  </si>
  <si>
    <t>CORTINA</t>
  </si>
  <si>
    <t>21:57:09</t>
  </si>
  <si>
    <t>FARIDE</t>
  </si>
  <si>
    <t>11:59:08</t>
  </si>
  <si>
    <t>LASTRE</t>
  </si>
  <si>
    <t>09:42:53</t>
  </si>
  <si>
    <t>LEDYS</t>
  </si>
  <si>
    <t>SARIEGO</t>
  </si>
  <si>
    <t>SAN BENITO ABAD</t>
  </si>
  <si>
    <t>13:01:25</t>
  </si>
  <si>
    <t>RODRIGO</t>
  </si>
  <si>
    <t>13:11:03</t>
  </si>
  <si>
    <t>YAJAIRA</t>
  </si>
  <si>
    <t>POVEA</t>
  </si>
  <si>
    <t>14:20:19</t>
  </si>
  <si>
    <t>10:29:50</t>
  </si>
  <si>
    <t>CALLE 8 # 5-09</t>
  </si>
  <si>
    <t>ESTEFANIA</t>
  </si>
  <si>
    <t>POSSO</t>
  </si>
  <si>
    <t>C169</t>
  </si>
  <si>
    <t>Tumor maligno del estomago, parte no especificada</t>
  </si>
  <si>
    <t>09:44:13</t>
  </si>
  <si>
    <t>YARILIS</t>
  </si>
  <si>
    <t>SANTACRUZ</t>
  </si>
  <si>
    <t>L238</t>
  </si>
  <si>
    <t>Dermatitis alergica de contacto debida a otros agentes</t>
  </si>
  <si>
    <t>L508</t>
  </si>
  <si>
    <t>Otras urticarias</t>
  </si>
  <si>
    <t>18:16:05</t>
  </si>
  <si>
    <t>18:14:41</t>
  </si>
  <si>
    <t>09:37:54</t>
  </si>
  <si>
    <t>GRACIA</t>
  </si>
  <si>
    <t>16:04:51</t>
  </si>
  <si>
    <t>07:37:37</t>
  </si>
  <si>
    <t>10:10:47</t>
  </si>
  <si>
    <t>16:01:24</t>
  </si>
  <si>
    <t>NOLASCO</t>
  </si>
  <si>
    <t>19:38:37</t>
  </si>
  <si>
    <t>REDONDO</t>
  </si>
  <si>
    <t>10:48:38</t>
  </si>
  <si>
    <t>ROMIR</t>
  </si>
  <si>
    <t>NOVOA</t>
  </si>
  <si>
    <t>14:41:42</t>
  </si>
  <si>
    <t>LIGIA</t>
  </si>
  <si>
    <t>22:44:06</t>
  </si>
  <si>
    <t>CALLE 5 # 80-00</t>
  </si>
  <si>
    <t>CALLE 7 No. 17-05</t>
  </si>
  <si>
    <t>0518</t>
  </si>
  <si>
    <t>E103</t>
  </si>
  <si>
    <t>Diabetes mellitus insulinodependiente, con complicaciones oftalmicas</t>
  </si>
  <si>
    <t>10:56:20</t>
  </si>
  <si>
    <t>12:57:06</t>
  </si>
  <si>
    <t>CRA. 9 No. 25-25 CONSULTORIO 523 -524-525-526</t>
  </si>
  <si>
    <t>CADAVID</t>
  </si>
  <si>
    <t>YANET</t>
  </si>
  <si>
    <t>R103</t>
  </si>
  <si>
    <t>Dolor localizado en otras partes inferiores del abdomen</t>
  </si>
  <si>
    <t>11:52:07</t>
  </si>
  <si>
    <t>ALAIN</t>
  </si>
  <si>
    <t>11:34:40</t>
  </si>
  <si>
    <t>10:39:45</t>
  </si>
  <si>
    <t>HEREIRA</t>
  </si>
  <si>
    <t>11:34:54</t>
  </si>
  <si>
    <t>11:39:08</t>
  </si>
  <si>
    <t>11:44:02</t>
  </si>
  <si>
    <t>18:50:07</t>
  </si>
  <si>
    <t>CANDIDO</t>
  </si>
  <si>
    <t>18:51:32</t>
  </si>
  <si>
    <t>15:07:14</t>
  </si>
  <si>
    <t>BARBERI</t>
  </si>
  <si>
    <t>12:21:16</t>
  </si>
  <si>
    <t>15:47:04</t>
  </si>
  <si>
    <t>ELISABETH</t>
  </si>
  <si>
    <t>K861</t>
  </si>
  <si>
    <t>Otras pancreatitis cronicas</t>
  </si>
  <si>
    <t>10:35:11</t>
  </si>
  <si>
    <t>ELVIRA</t>
  </si>
  <si>
    <t>15:15:55</t>
  </si>
  <si>
    <t>BENITES</t>
  </si>
  <si>
    <t>11:48:31</t>
  </si>
  <si>
    <t>CALLE 27 CRA 39</t>
  </si>
  <si>
    <t>2317333 - 3162815315</t>
  </si>
  <si>
    <t>DE BUENO</t>
  </si>
  <si>
    <t>J22X</t>
  </si>
  <si>
    <t>Infeccion aguda no especificada de las vias respiratorias inferiores</t>
  </si>
  <si>
    <t>08:54:21</t>
  </si>
  <si>
    <t>ENCISO</t>
  </si>
  <si>
    <t>11:48:19</t>
  </si>
  <si>
    <t>EUSSE</t>
  </si>
  <si>
    <t>14:05:05</t>
  </si>
  <si>
    <t>DE ANGEL</t>
  </si>
  <si>
    <t>11:02:52</t>
  </si>
  <si>
    <t>DE ARRIETA</t>
  </si>
  <si>
    <t>22:25:21</t>
  </si>
  <si>
    <t>11:01:11</t>
  </si>
  <si>
    <t>09:08:17</t>
  </si>
  <si>
    <t>PONCE</t>
  </si>
  <si>
    <t>JARQUIN</t>
  </si>
  <si>
    <t>ALVEIRO</t>
  </si>
  <si>
    <t>D613</t>
  </si>
  <si>
    <t>Anemia aplastica idiopatica</t>
  </si>
  <si>
    <t>08:44:46</t>
  </si>
  <si>
    <t>12:51:23</t>
  </si>
  <si>
    <t>EBERTO</t>
  </si>
  <si>
    <t>09:39:59</t>
  </si>
  <si>
    <t>BETTY</t>
  </si>
  <si>
    <t>BONILLA</t>
  </si>
  <si>
    <t>15:35:33</t>
  </si>
  <si>
    <t>ERIKA</t>
  </si>
  <si>
    <t>YOHANA</t>
  </si>
  <si>
    <t>ALARCON</t>
  </si>
  <si>
    <t>15:08:12</t>
  </si>
  <si>
    <t>DEL ROSARIO</t>
  </si>
  <si>
    <t>BASTO</t>
  </si>
  <si>
    <t>N185</t>
  </si>
  <si>
    <t>Enfermedad renal crónica, etapa 5</t>
  </si>
  <si>
    <t>08:19:56</t>
  </si>
  <si>
    <t>07:36:04</t>
  </si>
  <si>
    <t>CAICEDO</t>
  </si>
  <si>
    <t>10:07:33</t>
  </si>
  <si>
    <t>Calle 21 # 19-73</t>
  </si>
  <si>
    <t>AMADA</t>
  </si>
  <si>
    <t>FANDIÑO</t>
  </si>
  <si>
    <t>10:11:15</t>
  </si>
  <si>
    <t>10:56:41</t>
  </si>
  <si>
    <t>16:28:24</t>
  </si>
  <si>
    <t>DE PAULA</t>
  </si>
  <si>
    <t>SIMANCA</t>
  </si>
  <si>
    <t>16:35:32</t>
  </si>
  <si>
    <t>09:58:11</t>
  </si>
  <si>
    <t>BYRON</t>
  </si>
  <si>
    <t>11:45:21</t>
  </si>
  <si>
    <t>JEIFER</t>
  </si>
  <si>
    <t>DAVIS</t>
  </si>
  <si>
    <t>CASTELLANOS</t>
  </si>
  <si>
    <t>14:44:15</t>
  </si>
  <si>
    <t>BARANDICA</t>
  </si>
  <si>
    <t>10:14:01</t>
  </si>
  <si>
    <t>09:17:19</t>
  </si>
  <si>
    <t>11:27:23</t>
  </si>
  <si>
    <t>12:18:06</t>
  </si>
  <si>
    <t>DARINEL</t>
  </si>
  <si>
    <t>REQUENA</t>
  </si>
  <si>
    <t>FUSNIELES</t>
  </si>
  <si>
    <t>I151</t>
  </si>
  <si>
    <t>Hipertension secundaria a otros trastornos renales</t>
  </si>
  <si>
    <t>09:02:38</t>
  </si>
  <si>
    <t>RUTH</t>
  </si>
  <si>
    <t>GLENN</t>
  </si>
  <si>
    <t>09:25:17</t>
  </si>
  <si>
    <t>DIVA</t>
  </si>
  <si>
    <t>0215194</t>
  </si>
  <si>
    <t>YENIFER</t>
  </si>
  <si>
    <t>10:29:55</t>
  </si>
  <si>
    <t>14:37:26</t>
  </si>
  <si>
    <t>EMILSE</t>
  </si>
  <si>
    <t>16:10:09</t>
  </si>
  <si>
    <t>11:48:14</t>
  </si>
  <si>
    <t>07:59:44</t>
  </si>
  <si>
    <t>BETSI</t>
  </si>
  <si>
    <t>N609</t>
  </si>
  <si>
    <t>Displasia mamaria benigna, sin otra especificacion</t>
  </si>
  <si>
    <t>12:32:14</t>
  </si>
  <si>
    <t>VDA DE PALACIOS</t>
  </si>
  <si>
    <t>I716</t>
  </si>
  <si>
    <t>Aneurisma de la aorta toracoabdominal, sin mencion de ruptura</t>
  </si>
  <si>
    <t>08:52:22</t>
  </si>
  <si>
    <t>EMILCE</t>
  </si>
  <si>
    <t>11:04:37</t>
  </si>
  <si>
    <t>07:57:12</t>
  </si>
  <si>
    <t>WILHEN</t>
  </si>
  <si>
    <t>4761-86</t>
  </si>
  <si>
    <t>15:06:09</t>
  </si>
  <si>
    <t>SILVIO</t>
  </si>
  <si>
    <t>12:00:39</t>
  </si>
  <si>
    <t>ALDEMAR</t>
  </si>
  <si>
    <t>12:55:46</t>
  </si>
  <si>
    <t>FORERO</t>
  </si>
  <si>
    <t>OLIVERO</t>
  </si>
  <si>
    <t>C56X</t>
  </si>
  <si>
    <t>Tumor maligno del ovario</t>
  </si>
  <si>
    <t>10:16:55</t>
  </si>
  <si>
    <t>09:48:30</t>
  </si>
  <si>
    <t>ANTONIO DE JESUS</t>
  </si>
  <si>
    <t>SUAZA</t>
  </si>
  <si>
    <t>17:05:25</t>
  </si>
  <si>
    <t>MAIRO</t>
  </si>
  <si>
    <t>08:50:39</t>
  </si>
  <si>
    <t>VILLAMIL</t>
  </si>
  <si>
    <t>15:25:29</t>
  </si>
  <si>
    <t>18:11:36</t>
  </si>
  <si>
    <t>CALLE 20 CARRERA 20 Y 22</t>
  </si>
  <si>
    <t>0512304</t>
  </si>
  <si>
    <t>DORA</t>
  </si>
  <si>
    <t>COTERA</t>
  </si>
  <si>
    <t>E110</t>
  </si>
  <si>
    <t>Diabetes mellitus no insulinodependiente, con coma</t>
  </si>
  <si>
    <t>08:54:22</t>
  </si>
  <si>
    <t>MONCADA</t>
  </si>
  <si>
    <t>12:05:44</t>
  </si>
  <si>
    <t>MARIANGEL</t>
  </si>
  <si>
    <t>09:15:48</t>
  </si>
  <si>
    <t>08:36:45</t>
  </si>
  <si>
    <t>12:25:26</t>
  </si>
  <si>
    <t>09:07:20</t>
  </si>
  <si>
    <t>JACKSON</t>
  </si>
  <si>
    <t>UNION PANAMERICANA</t>
  </si>
  <si>
    <t>08:58:17</t>
  </si>
  <si>
    <t>16:31:20</t>
  </si>
  <si>
    <t>13:02:25</t>
  </si>
  <si>
    <t>OPHNI</t>
  </si>
  <si>
    <t>PREM</t>
  </si>
  <si>
    <t>5088-81</t>
  </si>
  <si>
    <t>NOHEMY</t>
  </si>
  <si>
    <t>15:30:31</t>
  </si>
  <si>
    <t>BOLAÑO</t>
  </si>
  <si>
    <t>DE NAVARRO</t>
  </si>
  <si>
    <t>11:45:11</t>
  </si>
  <si>
    <t>PALACIN</t>
  </si>
  <si>
    <t>M233</t>
  </si>
  <si>
    <t>Otros trastornos de los meniscos</t>
  </si>
  <si>
    <t>M790</t>
  </si>
  <si>
    <t>Reumatismo, no especificado</t>
  </si>
  <si>
    <t>11:12:35</t>
  </si>
  <si>
    <t>carrera 7° No 25- 82</t>
  </si>
  <si>
    <t>JAIMES</t>
  </si>
  <si>
    <t>PEÑARANDA</t>
  </si>
  <si>
    <t>01678</t>
  </si>
  <si>
    <t>FLORIA</t>
  </si>
  <si>
    <t>G301</t>
  </si>
  <si>
    <t>Enfermedad de Alzheimer de comienzo tardio</t>
  </si>
  <si>
    <t>14:51:25</t>
  </si>
  <si>
    <t>CARRERA 52 N 74- 137</t>
  </si>
  <si>
    <t>3165299804 -3177110</t>
  </si>
  <si>
    <t>DORYS</t>
  </si>
  <si>
    <t>MILADIS</t>
  </si>
  <si>
    <t>MABEL</t>
  </si>
  <si>
    <t>10:59:38</t>
  </si>
  <si>
    <t>DEBBIE</t>
  </si>
  <si>
    <t>PAEZ</t>
  </si>
  <si>
    <t>792-2002</t>
  </si>
  <si>
    <t>DEIVI</t>
  </si>
  <si>
    <t>14:42:38</t>
  </si>
  <si>
    <t>22:14:51</t>
  </si>
  <si>
    <t>11:41:22</t>
  </si>
  <si>
    <t>OSWALDO</t>
  </si>
  <si>
    <t>BELEÑO</t>
  </si>
  <si>
    <t>16:41:52</t>
  </si>
  <si>
    <t>ABID</t>
  </si>
  <si>
    <t>GUETTE</t>
  </si>
  <si>
    <t>CHARRIZ</t>
  </si>
  <si>
    <t>18:40:06</t>
  </si>
  <si>
    <t>VERGEL</t>
  </si>
  <si>
    <t>18:58:55</t>
  </si>
  <si>
    <t>CALLE 16 No 14-90</t>
  </si>
  <si>
    <t>5802081-5702120-5748650</t>
  </si>
  <si>
    <t>I674</t>
  </si>
  <si>
    <t>Encefalopatia hipertensiva</t>
  </si>
  <si>
    <t>12:28:29</t>
  </si>
  <si>
    <t>ONEL</t>
  </si>
  <si>
    <t>H349</t>
  </si>
  <si>
    <t>Oclusion vascular retiniana, sin otra especificacion</t>
  </si>
  <si>
    <t>H404</t>
  </si>
  <si>
    <t>Glaucoma secundario a inflamacion ocular</t>
  </si>
  <si>
    <t>11:13:58</t>
  </si>
  <si>
    <t>DE RANGEL</t>
  </si>
  <si>
    <t>13:16:06</t>
  </si>
  <si>
    <t>MATUTE</t>
  </si>
  <si>
    <t>11:59:04</t>
  </si>
  <si>
    <t>ORTENCIA</t>
  </si>
  <si>
    <t>MARTELO</t>
  </si>
  <si>
    <t>L700</t>
  </si>
  <si>
    <t>Acne vulgar</t>
  </si>
  <si>
    <t>17:36:51</t>
  </si>
  <si>
    <t>CARMELA</t>
  </si>
  <si>
    <t>13:42:32</t>
  </si>
  <si>
    <t>ETANISLA</t>
  </si>
  <si>
    <t>DE GOMEZ</t>
  </si>
  <si>
    <t>D472</t>
  </si>
  <si>
    <t>Gammopatia monoclonal de significado incierto [GMSI]</t>
  </si>
  <si>
    <t>14:32:14</t>
  </si>
  <si>
    <t>Avenida Carrera 14 No 1-65</t>
  </si>
  <si>
    <t>3811970 EXT 227</t>
  </si>
  <si>
    <t>JHONIER</t>
  </si>
  <si>
    <t>10:09:58</t>
  </si>
  <si>
    <t>JULIA</t>
  </si>
  <si>
    <t>10:50:54</t>
  </si>
  <si>
    <t>08296</t>
  </si>
  <si>
    <t>CL 12 KR 16 ESQ</t>
  </si>
  <si>
    <t>VDA DE DE LA CRUZ</t>
  </si>
  <si>
    <t>17:03:00</t>
  </si>
  <si>
    <t>ASCENCION</t>
  </si>
  <si>
    <t>URREGO</t>
  </si>
  <si>
    <t>015789</t>
  </si>
  <si>
    <t>CERTEGUI</t>
  </si>
  <si>
    <t>C780</t>
  </si>
  <si>
    <t>Tumor maligno secundario del pulmon</t>
  </si>
  <si>
    <t>C794</t>
  </si>
  <si>
    <t>Tumor maligno secundario de otras partes del sistema nervioso y de las no especificadas</t>
  </si>
  <si>
    <t>08:43:30</t>
  </si>
  <si>
    <t>AMINTA</t>
  </si>
  <si>
    <t>08:14:06</t>
  </si>
  <si>
    <t>YGLESIAS</t>
  </si>
  <si>
    <t>13:06:24</t>
  </si>
  <si>
    <t>C348</t>
  </si>
  <si>
    <t>Lesion de sitios contiguos de los bronquios y del pulmon</t>
  </si>
  <si>
    <t>07:18:56</t>
  </si>
  <si>
    <t>MILEIDIS</t>
  </si>
  <si>
    <t>RIOS</t>
  </si>
  <si>
    <t>08:38:11</t>
  </si>
  <si>
    <t>LUCIANA</t>
  </si>
  <si>
    <t>H011</t>
  </si>
  <si>
    <t>Dermatosis no infecciosa del parpado</t>
  </si>
  <si>
    <t>11:58:26</t>
  </si>
  <si>
    <t>ARAUJO</t>
  </si>
  <si>
    <t>16:39:19</t>
  </si>
  <si>
    <t>BERACAZA</t>
  </si>
  <si>
    <t>ECHEVERRIA</t>
  </si>
  <si>
    <t>08131108</t>
  </si>
  <si>
    <t>ARROYO</t>
  </si>
  <si>
    <t>11:51:52</t>
  </si>
  <si>
    <t>ASIS</t>
  </si>
  <si>
    <t>ELJAIEK</t>
  </si>
  <si>
    <t>NARVAEZ</t>
  </si>
  <si>
    <t>11:00:25</t>
  </si>
  <si>
    <t>CHIMA</t>
  </si>
  <si>
    <t>B977</t>
  </si>
  <si>
    <t>Papilomavirus como causa de enfermedades clasificadas en otros capitulos</t>
  </si>
  <si>
    <t>10:24:53</t>
  </si>
  <si>
    <t>MARRIAGA</t>
  </si>
  <si>
    <t>MACHACON</t>
  </si>
  <si>
    <t>08:03:58</t>
  </si>
  <si>
    <t>11:17:15</t>
  </si>
  <si>
    <t>16:11:17</t>
  </si>
  <si>
    <t>CONCHA</t>
  </si>
  <si>
    <t>08156202</t>
  </si>
  <si>
    <t>YUNEISY</t>
  </si>
  <si>
    <t>BANDERA</t>
  </si>
  <si>
    <t>07:43:05</t>
  </si>
  <si>
    <t>SOLIS</t>
  </si>
  <si>
    <t>08:55:01</t>
  </si>
  <si>
    <t>H250</t>
  </si>
  <si>
    <t>Catarata senil incipiente</t>
  </si>
  <si>
    <t>08:52:26</t>
  </si>
  <si>
    <t>NILSON</t>
  </si>
  <si>
    <t>F798</t>
  </si>
  <si>
    <t>Retraso mental, no especificado, otros deterioros del comportamiento</t>
  </si>
  <si>
    <t>09:09:09</t>
  </si>
  <si>
    <t>DE PARRA</t>
  </si>
  <si>
    <t>14:27:35</t>
  </si>
  <si>
    <t>ABIGAIL</t>
  </si>
  <si>
    <t>ALMENARES</t>
  </si>
  <si>
    <t>15:15:05</t>
  </si>
  <si>
    <t>12:31:32</t>
  </si>
  <si>
    <t>11:09:20</t>
  </si>
  <si>
    <t>CARVAJALINO</t>
  </si>
  <si>
    <t>14:52:25</t>
  </si>
  <si>
    <t>BLANQUISETH</t>
  </si>
  <si>
    <t>11:30:42</t>
  </si>
  <si>
    <t>16:03:38</t>
  </si>
  <si>
    <t>GUALDRON</t>
  </si>
  <si>
    <t>09:00:14</t>
  </si>
  <si>
    <t>MAXIMILIANO</t>
  </si>
  <si>
    <t>IBAÑEZ</t>
  </si>
  <si>
    <t>11:46:05</t>
  </si>
  <si>
    <t>RUBY</t>
  </si>
  <si>
    <t>GRAZZIANI</t>
  </si>
  <si>
    <t>09:02:02</t>
  </si>
  <si>
    <t>CEPEDA</t>
  </si>
  <si>
    <t>09:34:12</t>
  </si>
  <si>
    <t>04451</t>
  </si>
  <si>
    <t>E640</t>
  </si>
  <si>
    <t>Secuelas de la desnutricion proteicocalorica</t>
  </si>
  <si>
    <t>09:28:33</t>
  </si>
  <si>
    <t>LILA</t>
  </si>
  <si>
    <t>OSSIA</t>
  </si>
  <si>
    <t>13:10:23</t>
  </si>
  <si>
    <t>ANTONIA</t>
  </si>
  <si>
    <t>ROCHA</t>
  </si>
  <si>
    <t>17:45:37</t>
  </si>
  <si>
    <t>YAMILES</t>
  </si>
  <si>
    <t>G400</t>
  </si>
  <si>
    <t>Epilepsia y sindromes epilepticos idiopaticos relacionados con localizaciones (focales)(parciales) y con ataques de inicio localizado</t>
  </si>
  <si>
    <t>17:42:06</t>
  </si>
  <si>
    <t>GUEVARA</t>
  </si>
  <si>
    <t>14:04:10</t>
  </si>
  <si>
    <t>14:35:30</t>
  </si>
  <si>
    <t>ANGELINE</t>
  </si>
  <si>
    <t>20218/2007</t>
  </si>
  <si>
    <t>ROQUE</t>
  </si>
  <si>
    <t>SOCARRAS</t>
  </si>
  <si>
    <t>11:29:12</t>
  </si>
  <si>
    <t>MILAGROS</t>
  </si>
  <si>
    <t>SULMAY</t>
  </si>
  <si>
    <t>12:06:54</t>
  </si>
  <si>
    <t>DE BETTER</t>
  </si>
  <si>
    <t>CHAVES</t>
  </si>
  <si>
    <t>15:15:54</t>
  </si>
  <si>
    <t>09:45:00</t>
  </si>
  <si>
    <t>ELEIDA</t>
  </si>
  <si>
    <t>ARNEDO</t>
  </si>
  <si>
    <t>C55X</t>
  </si>
  <si>
    <t>Tumor maligno del utero, parte no especificada</t>
  </si>
  <si>
    <t>10:39:17</t>
  </si>
  <si>
    <t>T931</t>
  </si>
  <si>
    <t>Secuelas de fractura del femur</t>
  </si>
  <si>
    <t>09:46:50</t>
  </si>
  <si>
    <t>Q431</t>
  </si>
  <si>
    <t>Enfermedad de Hirschsprung</t>
  </si>
  <si>
    <t>10:51:35</t>
  </si>
  <si>
    <t>ARRIAGADA</t>
  </si>
  <si>
    <t>13:09:50</t>
  </si>
  <si>
    <t>NELLYS</t>
  </si>
  <si>
    <t>CORONELL</t>
  </si>
  <si>
    <t>13:04:17</t>
  </si>
  <si>
    <t>16:48:26</t>
  </si>
  <si>
    <t>FANNY</t>
  </si>
  <si>
    <t>00:00:00</t>
  </si>
  <si>
    <t>Contingencia - Dificultades técnicas</t>
  </si>
  <si>
    <t>08:14:07</t>
  </si>
  <si>
    <t>LUCAS</t>
  </si>
  <si>
    <t>TADO</t>
  </si>
  <si>
    <t>E106</t>
  </si>
  <si>
    <t>Diabetes mellitus insulinodependiente, con otras complicaciones especificadas</t>
  </si>
  <si>
    <t>09:07:13</t>
  </si>
  <si>
    <t>LUCRECIA</t>
  </si>
  <si>
    <t>M819</t>
  </si>
  <si>
    <t>Osteoporosis no especificada, sin fractura patologica</t>
  </si>
  <si>
    <t>16:34:11</t>
  </si>
  <si>
    <t>ROSARIO</t>
  </si>
  <si>
    <t>BERNARDA</t>
  </si>
  <si>
    <t>REBOLLO</t>
  </si>
  <si>
    <t>L570</t>
  </si>
  <si>
    <t>Queratosis actinica</t>
  </si>
  <si>
    <t>09:15:10</t>
  </si>
  <si>
    <t>BRIAN</t>
  </si>
  <si>
    <t>BECHECHE</t>
  </si>
  <si>
    <t>10:03:19</t>
  </si>
  <si>
    <t>carrera 16 # 16b - 257</t>
  </si>
  <si>
    <t>NV</t>
  </si>
  <si>
    <t>ANDREINA</t>
  </si>
  <si>
    <t>20:29:21</t>
  </si>
  <si>
    <t>YENEILE</t>
  </si>
  <si>
    <t>LISBETH</t>
  </si>
  <si>
    <t>HUETIO</t>
  </si>
  <si>
    <t>REINA</t>
  </si>
  <si>
    <t>Q255</t>
  </si>
  <si>
    <t>Atresia de la arteria pulmonar</t>
  </si>
  <si>
    <t>10:40:27</t>
  </si>
  <si>
    <t>GALLON</t>
  </si>
  <si>
    <t>Q250</t>
  </si>
  <si>
    <t>Conducto arterioso persistente</t>
  </si>
  <si>
    <t>17:07:36</t>
  </si>
  <si>
    <t>CL 7 # 17-05</t>
  </si>
  <si>
    <t>FABIO CAMILO</t>
  </si>
  <si>
    <t>COBO</t>
  </si>
  <si>
    <t>LIZBETH</t>
  </si>
  <si>
    <t>P284</t>
  </si>
  <si>
    <t>Otras apneas del recien nacido</t>
  </si>
  <si>
    <t>23/01/2020</t>
  </si>
  <si>
    <t>CAYON</t>
  </si>
  <si>
    <t>MS</t>
  </si>
  <si>
    <t>HIJO DE JALLELY</t>
  </si>
  <si>
    <t>P071</t>
  </si>
  <si>
    <t>Otro peso bajo al nacer</t>
  </si>
  <si>
    <t>Contingencia - Inconsistencia en afiliación o identificación</t>
  </si>
  <si>
    <t>DIBETH</t>
  </si>
  <si>
    <t>15:53:24</t>
  </si>
  <si>
    <t>ELIANIS</t>
  </si>
  <si>
    <t>SEGUANES</t>
  </si>
  <si>
    <t>12:46:01</t>
  </si>
  <si>
    <t>12:55:43</t>
  </si>
  <si>
    <t>LEMOS</t>
  </si>
  <si>
    <t>CALLE</t>
  </si>
  <si>
    <t>R190</t>
  </si>
  <si>
    <t>Tumefaccion, masa o prominencia intraabdominal y pelvica</t>
  </si>
  <si>
    <t>09:28:36</t>
  </si>
  <si>
    <t>KINDRY</t>
  </si>
  <si>
    <t>MALENA</t>
  </si>
  <si>
    <t>FORTICH</t>
  </si>
  <si>
    <t>10:56:29</t>
  </si>
  <si>
    <t>NIEVES</t>
  </si>
  <si>
    <t>0272844</t>
  </si>
  <si>
    <t>ENOEMITH</t>
  </si>
  <si>
    <t>P059</t>
  </si>
  <si>
    <t>Retardo del crecimiento fetal, no especificado</t>
  </si>
  <si>
    <t>VERANIA</t>
  </si>
  <si>
    <t>H351</t>
  </si>
  <si>
    <t>Retinopatia de la prematuridad</t>
  </si>
  <si>
    <t>Contingencia - No hay conectividad</t>
  </si>
  <si>
    <t>08:49:04</t>
  </si>
  <si>
    <t>EULALIA</t>
  </si>
  <si>
    <t>TAMAYO</t>
  </si>
  <si>
    <t>P220</t>
  </si>
  <si>
    <t>Sindrome de dificultad respiratoria del recien nacido</t>
  </si>
  <si>
    <t>P011</t>
  </si>
  <si>
    <t>Feto y recien nacido afectados por ruptura prematura de las membranas</t>
  </si>
  <si>
    <t>16:46:15</t>
  </si>
  <si>
    <t>Cra. 40 Diagonal 26 C 43</t>
  </si>
  <si>
    <t>ORTA</t>
  </si>
  <si>
    <t>PAZ</t>
  </si>
  <si>
    <t>18:10:50</t>
  </si>
  <si>
    <t>CARBONO</t>
  </si>
  <si>
    <t>PAULA</t>
  </si>
  <si>
    <t>REHENALS</t>
  </si>
  <si>
    <t>09:52:42</t>
  </si>
  <si>
    <t>ROSYBELL</t>
  </si>
  <si>
    <t>BELLO</t>
  </si>
  <si>
    <t>MAIRA</t>
  </si>
  <si>
    <t>09:56:13</t>
  </si>
  <si>
    <t>09:59:01</t>
  </si>
  <si>
    <t>10:38:46</t>
  </si>
  <si>
    <t>MUSCO</t>
  </si>
  <si>
    <t>ID_MEDI</t>
  </si>
  <si>
    <t>CONORDEN</t>
  </si>
  <si>
    <t>TIPOMED</t>
  </si>
  <si>
    <t>DESC_TIPOMED</t>
  </si>
  <si>
    <t>TIPOPREST</t>
  </si>
  <si>
    <t>CAUSAS1</t>
  </si>
  <si>
    <t>DESC_CAUSAS1</t>
  </si>
  <si>
    <t>CAUSAS2</t>
  </si>
  <si>
    <t>DESC_CAUSAS2</t>
  </si>
  <si>
    <t>CAUSAS3</t>
  </si>
  <si>
    <t>DESC_CAUSAS3</t>
  </si>
  <si>
    <t>MEDPBSUTILIZADO</t>
  </si>
  <si>
    <t>RZNCAUSAS31</t>
  </si>
  <si>
    <t>DESC_RZNCAUSAS31</t>
  </si>
  <si>
    <t>DESCRZN31</t>
  </si>
  <si>
    <t>RZNCAUSAS32</t>
  </si>
  <si>
    <t>DESC_RZNCAUSAS32</t>
  </si>
  <si>
    <t>DESCRZN32</t>
  </si>
  <si>
    <t>CAUSAS4</t>
  </si>
  <si>
    <t>DESC_CAUSAS4</t>
  </si>
  <si>
    <t>MEDPBSDESCARTADO</t>
  </si>
  <si>
    <t>RZNCAUSAS41</t>
  </si>
  <si>
    <t>DESC_RZNCAUSAS41</t>
  </si>
  <si>
    <t>DESCRZN41</t>
  </si>
  <si>
    <t>RZNCAUSAS42</t>
  </si>
  <si>
    <t>DESC_RZNCAUSAS42</t>
  </si>
  <si>
    <t>DESCRZN42</t>
  </si>
  <si>
    <t>RZNCAUSAS43</t>
  </si>
  <si>
    <t>DESC_RZNCAUSAS43</t>
  </si>
  <si>
    <t>DESCRZN43</t>
  </si>
  <si>
    <t>RZNCAUSAS44</t>
  </si>
  <si>
    <t>DESC_RZNCAUSAS44</t>
  </si>
  <si>
    <t>DESCRZN44</t>
  </si>
  <si>
    <t>CAUSAS5</t>
  </si>
  <si>
    <t>DESC_CAUSAS5</t>
  </si>
  <si>
    <t>RZNCAUSAS5</t>
  </si>
  <si>
    <t>DESC_RZNCAUSAS5</t>
  </si>
  <si>
    <t>CAUSAS6</t>
  </si>
  <si>
    <t>DESC_CAUSAS6</t>
  </si>
  <si>
    <t>DESCMEDPRINACT</t>
  </si>
  <si>
    <t>CODFF</t>
  </si>
  <si>
    <t>DESC_CODFF</t>
  </si>
  <si>
    <t>CODVA</t>
  </si>
  <si>
    <t>DESC_CODVA</t>
  </si>
  <si>
    <t>JUSTNOPBS</t>
  </si>
  <si>
    <t>DOSISUM</t>
  </si>
  <si>
    <t>DESC_DOSISUM</t>
  </si>
  <si>
    <t>DESC_DOSISUM2</t>
  </si>
  <si>
    <t>NOFADMON</t>
  </si>
  <si>
    <t>CODFREADMON</t>
  </si>
  <si>
    <t>DESC_CODFREADMON</t>
  </si>
  <si>
    <t>INDESP</t>
  </si>
  <si>
    <t>DESC_INDESP</t>
  </si>
  <si>
    <t>CANTRAT</t>
  </si>
  <si>
    <t>DURTRAT</t>
  </si>
  <si>
    <t>DESC_DURTRAT</t>
  </si>
  <si>
    <t>CANTTOTALF</t>
  </si>
  <si>
    <t>UFCANTTOTAL</t>
  </si>
  <si>
    <t>DESC_UFCANTTOTAL</t>
  </si>
  <si>
    <t>INDREC</t>
  </si>
  <si>
    <t>ESTJM</t>
  </si>
  <si>
    <t>DESC_ESTJM</t>
  </si>
  <si>
    <t>Medicamento</t>
  </si>
  <si>
    <t>N.A.</t>
  </si>
  <si>
    <t>[CONDROITINA SULFATO SODICA] 1,8mg/1ml ; [HIALURONATO DE SODIO] 1mg/1ml</t>
  </si>
  <si>
    <t>COLFF004</t>
  </si>
  <si>
    <t>OTRAS SOLUCIONES</t>
  </si>
  <si>
    <t>047</t>
  </si>
  <si>
    <t>OFTALMICA</t>
  </si>
  <si>
    <t>PACIENTE QUE REQUIERE LUBRICACIÃN Y HUMECTACIÃN POR PRESENTAR ENFERMEDAD DE OJO SECO. ADEMAS DISMINUYE EL TRAUMA DEL PARPADEO, LO QUE PERMITE UNA MEJOR ADHERENCIA Y CICATRIZACIÃN EPITELIAL PROPORCIONANDO A SU VEZ ALIVIO DE LOS SÃNTOMAS. PROMUEVE LA PROLIFERACIÃN CELULAR Y LA MIGRACIÃN EPITELIAL CORNEAL\n</t>
  </si>
  <si>
    <t>0046</t>
  </si>
  <si>
    <t>gota(s)</t>
  </si>
  <si>
    <t>Gtt</t>
  </si>
  <si>
    <t>Hora(s)</t>
  </si>
  <si>
    <t>Sin indicación especial</t>
  </si>
  <si>
    <t>Mes(es)</t>
  </si>
  <si>
    <t>FRASCO</t>
  </si>
  <si>
    <t>Solucion Oftalmica Frasco x 15 mL, 1  GOTA cada 6  Hora(s) en Ambos ojos por 4 Mes(es)  Suministar: 4 Frasco(s)</t>
  </si>
  <si>
    <t>No requiere junta de profesionales</t>
  </si>
  <si>
    <t>[ALPROSTADIL] 0,5mg/1ml</t>
  </si>
  <si>
    <t>042</t>
  </si>
  <si>
    <t>INTRAVENOSA</t>
  </si>
  <si>
    <t>EstÃ¡ indicado como terapia paliativa, no definitiva, para mantener temporalmente la permeabilidad de los ductos arteriales hasta que la cirugÃ­a correctiva o paliativa puede ser llevada a cabo en los reciÃ©n nacidos que tienen defectos cardÃ­acos congÃ©nitos y que dependen de la permeabilidad de sus ductos para sobrevivir.\t\t\t\t\t\t\t\t\t\t\t\t\t\t\t\t\t\t\t\n\t\t\t\t\t\t\t\t\t\t\t\t\t\t\t\t\t\t\t\n\t\t\t\t\t\t\t\t\t\t\t\t\t\t\t\t\t\t\t\n</t>
  </si>
  <si>
    <t>0137</t>
  </si>
  <si>
    <t>microgramo(s)</t>
  </si>
  <si>
    <t>µg</t>
  </si>
  <si>
    <t>Infusión continua</t>
  </si>
  <si>
    <t>Día(s)</t>
  </si>
  <si>
    <t>01</t>
  </si>
  <si>
    <t>AMPOLLA</t>
  </si>
  <si>
    <t>Hipersensibilidad a alprostadil. Convulsiones; bradicardia, hipotensión, taquicardia; apnea;\t\t\t\t\t\t\t\t\t\t\t\t\t\t\t\t\t\t\t\t\t\t\t\t\t\n\t\t\t\t\t\t\t\t\t\t\t\t\t\t\t\t\t\t\t\t\t\t\t\t\t\n</t>
  </si>
  <si>
    <t>SALBUTAMOL</t>
  </si>
  <si>
    <t>inadecuado control de sintomas</t>
  </si>
  <si>
    <t>[BUDESONIDA] 160Âµg/1Dosis ; [FORMOTEROL FUMARATO DIHIDRATO] 4,5Âµg/1Dosis</t>
  </si>
  <si>
    <t>COLFF002</t>
  </si>
  <si>
    <t>POLVOS PARA NO RECONSTITUIR</t>
  </si>
  <si>
    <t>055</t>
  </si>
  <si>
    <t>INHALATORIA</t>
  </si>
  <si>
    <t>paciente con asma no controlada requiere manejo con laba esteroide basado en guias gina</t>
  </si>
  <si>
    <t>UNIDADES</t>
  </si>
  <si>
    <t>1 inhalacion cada 12 horas</t>
  </si>
  <si>
    <t>[CARBOXIMETILCELULOSA SODICA] 5mg/1ml ; [GLICEROL] 9mg/1ml</t>
  </si>
  <si>
    <t>068</t>
  </si>
  <si>
    <t>CONJUNTIVAL</t>
  </si>
  <si>
    <t>DOLOR OCULAR DERECHO POR LO CUAL CONSULTA  paciente operado de catarata se le ordena medicamento para alivio temporal de la irritaciÃ³n, picazÃ³n, ardor y molestias que se presentan en el sÃ­ndrome de resequedad ocular, sea este moderado o severo, de cualquier etiologÃ­a, incluyendo la irritaciÃ³n ocular causada por el viento y exposiciÃ³n al sol.</t>
  </si>
  <si>
    <t>0062</t>
  </si>
  <si>
    <t>gramo(s)</t>
  </si>
  <si>
    <t>g</t>
  </si>
  <si>
    <t xml:space="preserve">paciente requiere medicamento x 10 ml </t>
  </si>
  <si>
    <t>[NEPAFENACO] 1mg/1ml</t>
  </si>
  <si>
    <t>C42994</t>
  </si>
  <si>
    <t>SUSPENSION</t>
  </si>
  <si>
    <t>paciente requiere medicamento Para prevenir y aliviar el dolor ocular y la inflamaciÃ³n despuÃ©s de una operaciÃ³n de catarata en el ojo. Para reducir el riesgo de edema macular (hinchazÃ³n en la parte posterior del ojo) despuÃ©s de una operaciÃ³n de catarata en el ojo en pacientes diabÃ©ticos.\n\n</t>
  </si>
  <si>
    <t xml:space="preserve">paciente requiere medicamento por 5 ml </t>
  </si>
  <si>
    <t>[DIOSMINA] 450mg/1U ; [HESPERIDINA] 50mg/1U</t>
  </si>
  <si>
    <t>COLFF006</t>
  </si>
  <si>
    <t>CAPSULAS DE LIBERACION NO MODIFICADA</t>
  </si>
  <si>
    <t>048</t>
  </si>
  <si>
    <t>ORAL</t>
  </si>
  <si>
    <t xml:space="preserve">PACIENTE  FEMENINA  DE 83 AÃOS CON CUADRO CLINCO DE INSUFICIENCIE ARTERIAL Y VENOSA DE MIIS, CON QUIEN SE CONSIDERA AMERITA CONTINUAR CON IGUAL TTO MEDICO INSTAURADO , SE LE  ORDENA MEDICAMENTO CON EL FIN DE AUMENTAR EL TONO VENOSO, Y POR LO TANTO PUEDE REDUCIR LA CAPACITANCIA VENOSA, LA DISTENSIBILIDAD Y LA EXTASIS, ESTO AUMENTA EL RETORNO VENOSO Y REDUCE LA PRESIÃN VENOSA. </t>
  </si>
  <si>
    <t>0168</t>
  </si>
  <si>
    <t>miligramo(s)</t>
  </si>
  <si>
    <t>mg</t>
  </si>
  <si>
    <t>CÁPSULA</t>
  </si>
  <si>
    <t>HIPERSENSIBILIDAD A ALGUNOS DE SUS COMPONENTES</t>
  </si>
  <si>
    <t>[CARBOXIMETILCELULOSA SODICA] 5mg/1ml</t>
  </si>
  <si>
    <t xml:space="preserve">PACIENTE REQUIERE DEL MEDICAMENTO PAR CONTROLAR OJO SECO, ARDOR OCULAR, SENSACIÃN DE  CUERPO EXTRAÃO Y ASI EVITAR DAÃOS EN LA CORNEA </t>
  </si>
  <si>
    <t>APLICAR EN AMBOS OJOS</t>
  </si>
  <si>
    <t>[AFLIBERCEPT] 40mg/1ml</t>
  </si>
  <si>
    <t>031</t>
  </si>
  <si>
    <t>INTRAOCULAR</t>
  </si>
  <si>
    <t xml:space="preserve">PCTE CON ANT DE DESPRENDIMIENTO DE RETINA ANTIGUO OD, ASISTE A SU PRIMER DIA DE POP VITRECTOMIA ANTERIOR + FACOEXTRACCION DE CATARATA+ LIO SUTURADO + ENDOLASER OD BIO: REFIERE SENTIRSE BIEN CORNEA CLARA, CAMARA FORMADA, PLAN: 1- ASPIRACION DIAGNOSTICA DEL VITREO CON INYECCION DE MEDICAMENTO CON AFLIBERCET INTRAVITREO EN OD 1 DOSIS. TTO INDICADO PARA TRATAR LAS ALTERACIONES QUE AFECTAN A LA PARTE CENTRAL DE LA RETINA, ultima aplicaciÃ³n de 3 </t>
  </si>
  <si>
    <t>Dosis</t>
  </si>
  <si>
    <t>PARA APLICAR INTRAVITREA EN OJO DERECHO, EN QUIROFANO X ESPECIALISTA. 1 AMPOLLA, EL MEDICAMENTO DEBE SER MANIPULADO BAJO CADENA DE FRIO</t>
  </si>
  <si>
    <t>[ENZALUTAMIDA] 40mg/1U</t>
  </si>
  <si>
    <t>PACIENTE CON CA DE PROSTATA METASTASICO ORQUIECTOMIZADO, NECESITA BLOQUEO HORMONAL COMPLETO CON ENZALUTAMIDA PARA MEJOR CONTROL DE SU PATOLOGIA</t>
  </si>
  <si>
    <t>TOMAR 4 CAPSULAS DIARIAS</t>
  </si>
  <si>
    <t>[LEFLUNOMIDA] 20mg/1U</t>
  </si>
  <si>
    <t>COLFF001</t>
  </si>
  <si>
    <t>TABLETAS DE LIBERACION NO MODIFICADA</t>
  </si>
  <si>
    <t>ENFERMEDAD PULMONAR INTERSTICIAL ASOCIADA A AR,  TACAR TORAX  07.2019 CON PATRON DE NEUMONIA INTERSTICIAL USUAL ( FIBROSIS PULMONAR),  CON SINDROME DE HRB, ESPIROMETRIA NORMAL Y DLCO BAJA COMO EXPRESION DE EPID, SIN SINTOMAS B, MEJORIA CON RESPECTO A CONTROL PREVIO,  GASES ARTERIALES DESCARTAN HIPOXEMIA  SEVERA, CONTINUA SAMA A NECESIDAD,  VACUNAS,   ESTUDIOS,  VALORACION POR REUMATOLOGIA.</t>
  </si>
  <si>
    <t>TABLETA</t>
  </si>
  <si>
    <t xml:space="preserve"> TOMAR VIA ORAL 1 TABLETA DIA </t>
  </si>
  <si>
    <t>[CILOSTAZOL] 100mg/1U</t>
  </si>
  <si>
    <t>INHIBIDOR DE LA ENZIMA FOSFODIESTERAZA III, COADYUVANTE EN LA PATOLOGIA ARTERIAL OBSTRUCTIVA CRONICA, MEJORA LA CLINICA Y LA CLAUDICACION, SU NO ADMINISTRACIOMN PUEDE CONLLEVAR A DETERIORO CLINICO E INCLUSO LA AMPUTACION.\n</t>
  </si>
  <si>
    <t>1 CADA 12 HORAS POR 90 DIAS VIA ORAL.</t>
  </si>
  <si>
    <t>[TIGECICLINA] 50mg/1U</t>
  </si>
  <si>
    <t>COLFF003</t>
  </si>
  <si>
    <t>POLVOS PARA RECONSTITUIR</t>
  </si>
  <si>
    <t>Osteomielitis cronica por germen xdr.  resistente a todas las opciones de tratamieto del pbs</t>
  </si>
  <si>
    <t>OSTEOMIELITIS CRONICA POR GERMEN XDR.  RESISTENTE A TODAS LAS OPCIONES DE TRATAMIETO DEL PBS</t>
  </si>
  <si>
    <t>[CILOSTAZOL] 50mg/1U</t>
  </si>
  <si>
    <t>METFORMINA</t>
  </si>
  <si>
    <t xml:space="preserve">no se lograron metas </t>
  </si>
  <si>
    <t>[METFORMINA CLORHIDRATO] 850mg/1U ; [VILDAGLIPTINA] 50mg/1U</t>
  </si>
  <si>
    <t>PACIENTE CON ALTO RCV CON MAL CONTROL METABOLICO EN CUANTO A SU DIABETES, HIPERCOLESTEROLEMIA , CON CIFRAS TENSIONALES EN METAS PLAN: 1. SUSPENDER GLIBENCLAMIDA 2. INICIAR METFORMINA + VILDAGLIPTINA 850/50 MG TAB TOMAR 1 TAB DIARIA DESPUES DE ALMUERZO.....90 TAB 3. ENALAPRIL 20 MG TAB TOMAR 1 TAB CADA 12 HORAS.... 180 TAB SE REMITE A OFTALMOLOGIA. CITA MEDICINA INTERNA EN 3 MESES CON PARACLINICOS \n</t>
  </si>
  <si>
    <t xml:space="preserve">SUSPENDER EN CASO DE ALERGIA </t>
  </si>
  <si>
    <t>HB GLICOSILADA 8,5 GLICEMIA PRE 139POSPRANDIAL 347, CONSINTOMATOLOGIA</t>
  </si>
  <si>
    <t>[METFORMINA CLORHIDRATO] 850mg/1U ; [SITAGLIPTINA] 50mg/1U</t>
  </si>
  <si>
    <t>PACIENTE DIABETICA NO CONTROLADA CON CIFRAS GLICEMIA ELEVADAS Y HB GLICOSILIADA 8.5</t>
  </si>
  <si>
    <t>UN A TAB DESPUÉS DE L DESAYUNO Y UNA DESPUÉS DE LA SENA</t>
  </si>
  <si>
    <t>[RIVAROXABAN] 20mg/1U</t>
  </si>
  <si>
    <t>evitar formacion de trombos en paciente con antecedentes de cardiopatia dilatada y fibrilacion auricular con puntuacion de chads elevada</t>
  </si>
  <si>
    <t>tomar una tableta por dia via oral</t>
  </si>
  <si>
    <t>[FLUTICASONA PROPIONATO] 500Âµg/1Dosis ; [SALMETEROL] 50Âµg/1Dosis</t>
  </si>
  <si>
    <t>PACIENTE  CON BRONQUIECTASIAS DE PROBABLE ORIGEN  CICATRICIAL,  CON SM DE HTB SECUNDARIO QUE SE COMPORTA COMO ASMA Y EPOC,  COMPROMISO FUNCIONAL, HTP SECUNDARIA,  SIN DATOS DE HIPOXEMIA, CARDIOPATIA ISQUEMICA VALOLARA POR CARDIOLOGIA CONSIDERANDO MANEJO MEDICO,  TAC TORAX  10.2019 TRACTOS FIBROATELECTASICOS DE  LOBULOS SUPERIORES CON BRONQUIECTASIAS CILINDRICAS DE ASPECTO CICATRICIAL. AUMENTO DE LOS VOLUMENES PULMONARES, SIN DATOS CLINICOS NI TOMOGRAFICOS QUE SUGIERAN ACTIVIDAD INFECCIOSA.</t>
  </si>
  <si>
    <t>DISCO</t>
  </si>
  <si>
    <t>USO DIARIO,HACER  1 INHALACIÓN BUCAL CADA 12 HORAS, ENJUAGAR BOCA Y GARGANTA DESPUÉS  DE SU USO</t>
  </si>
  <si>
    <t>[DORZOLAMIDA] 20mg/1ml ; [TIMOLOL] 5mg/1ml</t>
  </si>
  <si>
    <t>paciente con diagnostico de glaucoma quien requiere tratamiento</t>
  </si>
  <si>
    <t>aplicar una gota 12 horas</t>
  </si>
  <si>
    <t>[DEXAMETASONA] 0,1g/100g ; [TOBRAMICINA] 0,3g/100g</t>
  </si>
  <si>
    <t>C42966</t>
  </si>
  <si>
    <t>UNGUENTO</t>
  </si>
  <si>
    <t>PACIENTE CON CHALAZION EN OJO derecho , SE FORMULA ANTIBIÃTICO  COMBINADO . NO HAY ALTERNATIVA EN EL PBS QUE REEMPLACE O SUSTITUYA LA FORMULACIÃN\n</t>
  </si>
  <si>
    <t>TUBO</t>
  </si>
  <si>
    <t>APLICAR UNA GOTA CADA 8 HORAS EN OJO derecho\n</t>
  </si>
  <si>
    <t>[CICLOSPORINA] 1mg/1ml</t>
  </si>
  <si>
    <t>PACIENTE QUE PRESENTA PTERIGION RECIDIVANTE POR LO CUAL REQUIERE MANEJO CON SUSTANCIA ANTIMETABOLITO PARA DISMINUIR EL CRECIMIENTO CELULAR INDESEADO Y REDUCIR RIESGO DE RECIDIVA.\n</t>
  </si>
  <si>
    <t>Solucion Oftalmica Frasco x 5 mL, 1 GOTA  cada 12 Hora(s) en Ojo Derecho por 3 Mes(es)  Suministar: 2 Frasco(s)</t>
  </si>
  <si>
    <t>[HIALURONATO DE SODIO] 4mg/1ml</t>
  </si>
  <si>
    <t>Solucion Oftalmica. Ampolletas x 0.5 mL c/u, 1 DOSIS  cada 6 Hora(s) en Ojo Derecho por 3  Mes(es)  Suministar: 45 Ampolla(s)</t>
  </si>
  <si>
    <t xml:space="preserve">PACIENTE DE 59 AÃOS CON ANTECEDENTE DE OBESIDAD. HTA.  TABAQUISMO PPA 30 HASTA HACE 15 AÃOS. CA GASTRICO EN MADRE. CONOCIDA DESDE HACE MAS DE 3 AÃOS EN ESTUDIO DE MASA PULMONAR COMO HALLAZGO INCIDENTAL EN RNM DE TORAX DE 2015 (EN ESTUDIO DE DOLOR  TORACICO),  EN SEGUIMIENTO  TOMOGRAFICO HASTA 2016 DE MASA EN  LSI,  DE DEBE DESCARTAR  LESION TUMORAL,  SEGUIMIENTO  CLINICO E  IMAGENOLOGICO  IRREGULAR, SOLO HASTA MARZO 2018 PASADO BIOPSIA PERCUTANEA LA   CUAL NO FUE DIAGNOSTICA, . </t>
  </si>
  <si>
    <t>INHALADOR</t>
  </si>
  <si>
    <t>USO DIARIO,HACER 1 INHALACIÓN BUCAL  CADA 12 HORAS,</t>
  </si>
  <si>
    <t>FLAVONOIDE QUE SE INDICA EN INSUFICIENCIA VENOSA CRONICA DE MMII COMO COADYUVANTE DE LA SINTOMATOLIGIA, SU NO ADMINISTRACION PUEDE CONLLEVAR A DETERIOPRO CLINICO.\n</t>
  </si>
  <si>
    <t>[ITRACONAZOL] 100mg/1U</t>
  </si>
  <si>
    <t xml:space="preserve">paciente que requiere trtamiento porhistoplasmoosis diseminada por un aÃ±o </t>
  </si>
  <si>
    <t>0053</t>
  </si>
  <si>
    <t>gigabecquerel(ios)</t>
  </si>
  <si>
    <t>GBq</t>
  </si>
  <si>
    <t>[ERTAPENEM] 1g/1U</t>
  </si>
  <si>
    <t xml:space="preserve">PACIENTE CON UROCULTIVO QUE EVIDENCIA E. COLI BLEE +. MULTIRRESISTENTE, REQUIERE POR ANTIBIOGRAMA MANEJO CON ANTIMICROBIANO DE AMPLIO ESPECTRO ERTAPENEM. // INDICADO POR MEDICINA INTERNA. </t>
  </si>
  <si>
    <t>VIAL</t>
  </si>
  <si>
    <t xml:space="preserve">APLICAR 1 GRAMO EV DE ERTAPENEM CADA DIA POR 5 DIAS, INDICADO POR MEDICINA INTERNA. </t>
  </si>
  <si>
    <t>BROMOCRIPTINA</t>
  </si>
  <si>
    <t>NO CONTROL HORMONAL</t>
  </si>
  <si>
    <t>[CABERGOLINA] 0,5mg/1U</t>
  </si>
  <si>
    <t>Paciente refiere en contexto de congestion y galactorrea realizan prolactina con valores elevados, refiere lactancia hasta 2018 persistiendo con galactorrea, AL EXAMEN FISIOC ESTA ABUNDATE ADEMAS CEFALEA. Se inicia cabergolina 0.5 mgr semanal, se solicita rnm de hipofisis con y sin cte. control con resultados.</t>
  </si>
  <si>
    <t xml:space="preserve">1 POR SEMANA VIA ORAL POR LA NOCHE. </t>
  </si>
  <si>
    <t>[ABIRATERONA ACETATO] 500mg/1U</t>
  </si>
  <si>
    <t>83 AÃOS, CA DE PROSTATA GLLEASON 3+3 IPSA 31 CT3N0MO, RESISTENTE A LA CASTRACIÃN METASTASICO, ORQUIDECTOMIA RADICAL EN 2014, RTUP DESOBSTRUCTIVA, ASINTOMATICO URINARIO. ABIRATERONA CON ABIRATERONA ADECUADO CONTROL BIOQUIMICO, GAMAGRAFIA SIN METASTASIS. CONTINUA ABRITERONA 500MG, 2 TABLETAS CADA + PREDNISONA 10MG AL DIA POR 6 MESES PARA CONTROL DE CA DE PROSTATA Y EVITAR QUE LA ENFERMEDA AVANCE..\nCITA EN 6 MESES CON PSA, IONOGRAMA, FUNCIÃN HEPATICA.</t>
  </si>
  <si>
    <t>0247</t>
  </si>
  <si>
    <t>unidades</t>
  </si>
  <si>
    <t>U</t>
  </si>
  <si>
    <t>tomar 2 tabletas cada dia por 6 meses, sin suspender</t>
  </si>
  <si>
    <t>LOSARTAN</t>
  </si>
  <si>
    <t>POCO EFECTO TERAPEUTICO</t>
  </si>
  <si>
    <t>[HIDROCLOROTIAZIDA] 12,5mg/1U ; [IRBESARTAN] 300mg/1U</t>
  </si>
  <si>
    <t xml:space="preserve">PCTE FEMENINA CON APP DE HTA REFRACTARIA A ANTIHIPERTENSIVOS USUALES QUE REQUIRE DE LA ADMINISTRACION DE ARA II PARA MEJOR CONTROL DE PATOLOGIA Y EVITAR COMPLICACIONES </t>
  </si>
  <si>
    <t>TOMAR 1 TAB DIA VO POR 6 MESES</t>
  </si>
  <si>
    <t>[TADALAFILO] 5mg/1U</t>
  </si>
  <si>
    <t>paciente con sintomas urinarios obstructivos bajos mas disfuncion erectil que afecta calidad de viad</t>
  </si>
  <si>
    <t>1 table vo cda dia por 6 meses</t>
  </si>
  <si>
    <t>PACIENTE QUE ASISTE A CONSULTA POR PRESENTAR TRAUMA OCULAR OD,CON ALAMBRE HACE 10 DIAS, MALA VISION OD (MANCHA NEGRA,) AL EXAMEN OD: VITREITIS,  FONDO DE OJO PJO DERECHO: HEMORRAGIA VITREA, PLAN: APLICACIÃN DE TERAPIA INTRAVITREA ANTIANGIOGENICA CON AFLIBERCEPT EN OJO DERECHO CON MEDICAMENTO AFLIBERCEPT, SE NECESITA LA APLICACION DEL ANTIANGIONGENICO INTRAVITREO PARA DETENER EL PROGRESO DE LA HEMORRAGIA VITREA Y PREVENIR LA PERDIDA DE LA VISION .</t>
  </si>
  <si>
    <t>PARA APLICAR INTRAVITREA EN OJO DERECHO, EN QUIROFANO POR ESPECIALISTA</t>
  </si>
  <si>
    <t>[SIMETICONA] 120mg/1U ; [TRIMEBUTINA MALEATO] 200mg/1U</t>
  </si>
  <si>
    <t>TRAE BP GASTRICA POLIPO HIPERPLASICO .ACTUALMENTE EPIGASTRALGIAS GASES  DOLORES TIPO COLICO EN REGION ABDOMINAL  DEPOSICIONES DIARIAS CON MOCO TTO TRIMEBUTINA + SIMETICONA es un fÃ¡rmaco antiespasmÃ³dico, que se utiliza por vÃ­a oral, vÃ­a intravenosa, intramuscular o rectal en el tratamiento del dolor abdominal y otros trastornos abdominales incluyendo el sÃ­ndrome del colon irritable</t>
  </si>
  <si>
    <t>TOMAR 1 CADA 12 HORAS DURANTE 1 MES</t>
  </si>
  <si>
    <t>[UMECLIDINIO] 55Âµg/1Dosis ; [VILANTEROL] 22Âµg/1Dosis</t>
  </si>
  <si>
    <t xml:space="preserve">PACIENTE CON DIAGNOSTICO DE EPOC GOLD 2, GRUPO B,  BRONQUITICA CRONICA DISNEA MMRC 2,  CON INDICE  DE BODE DE 2,   ESPIROMETRIA (02.2019)    ALTERACION VENTILATORIA OBSTRUCTIVA LEVE   SIN RPTA AL BD,  CON RX TORAX 07.2019 CON SIGNOS DE ATRAPAMIENTO,  TABAQUISMO ACTIVO, SIN HISTORIA DE CRISIS.  CON HIPOXEMIA LIMITROFE,  INICIO TERAPIA DUAL, SE  INSISTE EN DEJAR DE FUMAR,  ESTUDIOS COMPLEMENTARIOS </t>
  </si>
  <si>
    <t>USO DIARIO, HACER 1 INHALACION BUCAL CADA DIA</t>
  </si>
  <si>
    <t>[OLOPATADINA] 2mg/1ml</t>
  </si>
  <si>
    <t>PACIENTE CON ARDOR OCULAR EN AMBOS OJOS, EL CUAL SE SOLICITA TRATAMIENTO CON LUBRICANTE OCULAR PARA UNA MEJORÃA VISUAL A LA PATOLOGÃA, CONJUNTIVA ROSADA, CÃMARA FORMADA, CORNEA ALTERACIÃN DEL FILM LAGRIMAL, PUPILA REACTIVA ALA LUZ,   CRISTALINO CLARO\n\n\n\n\n</t>
  </si>
  <si>
    <t>APLICAR UNA GOTA CADA 12 HORAS EN AMBOS OJOS UN FRASCO MENSUAL</t>
  </si>
  <si>
    <t>HIDOCODONA</t>
  </si>
  <si>
    <t>[ACETAMINOFEN] 325mg/1U ; [HIDROCODONA BITARTRATO] 5mg/1U</t>
  </si>
  <si>
    <t>PCTE CON DISCOPATIA DE COLUMNA LUMBAR  RADICILOPATIA EN MISS  SE  LE ORDEN CONTINYUAR ESTE MEDICAMENTO PARA MEJORIA DEL DOLOR</t>
  </si>
  <si>
    <t>TPMAR UNA TABL  CADA  12 HORAS  TTO POR  90 DIAS</t>
  </si>
  <si>
    <t>NO CONTROL HOMRONAL</t>
  </si>
  <si>
    <t>Paciente con antecedente de hiperprolactinemia,  sÃ­ntomas neurolÃ³gicos. menstruaciones IRregulares. AMENORREA 21RIA SE INICIA AGONSITA DOPAMINERGICO PARA CONTROL SINTOMATICO</t>
  </si>
  <si>
    <t xml:space="preserve">1 TABLETA POR SEMANA, EN LA NOCHE, VIA ORAL </t>
  </si>
  <si>
    <t>PACIENTE A PESAR DE ESTAR RECIBIENDO SALBUTAMOL INHALADOR PERSISTE CON DISNEA FRECUENTE, TOS RECURRENTE POR TAL MOTIVO MALA CALIDAD \nDE VIDA.</t>
  </si>
  <si>
    <t>[FLUTICASONA PROPIONATO] 50Âµg/1Dosis</t>
  </si>
  <si>
    <t>C42887</t>
  </si>
  <si>
    <t>AEROSOL</t>
  </si>
  <si>
    <t>INHALATORIA BUCAL</t>
  </si>
  <si>
    <t>SE TRATA DE PACIENTE CON DIAGNOSTICO DE ASMA BRONQUIAL. NO CONTROLADO CON IPATROPIO BECLOMETASONA SALBUTAMOL. \nREQUIERE INICIAR TERAPIA ICS ORDENADO EN LA ACTUAL GUIA GINA 2019 PARA EL MANEJO DEL ASMA BRONQUIAL NO CONTROLADA. SE TRATA \nDE PACIENTE CON MALA CALIDAD DE VIDA, CON INTOLERANCIA AL EJERCICIO Y CON CRISIS DE DISNEA RECURRENTE A PESAR DEL TRATAMIENTO.\nSE BUSCA MEJORAR SU CALIDAD DE VIDA, MEJORAR SU CAPACIDAD PARA EL EJERCICIO Y EVITAR INGRESOS HOSPITALARIOS.</t>
  </si>
  <si>
    <t>APLICAR 3 PUFF CADA 12 HORAS CON INHALOCAMARA PEDIATRICA POR 1 MES.</t>
  </si>
  <si>
    <t>ACIDO ACETIL SALICILICO</t>
  </si>
  <si>
    <t xml:space="preserve">no hay mejoria del dolor en ms is </t>
  </si>
  <si>
    <t xml:space="preserve">paciente de 67 aÃ±os de edad con antecedente de ecv  con secuelas.  actualmente dolor en miembros inferiores tanto en reposo como al deambular., por aterosclerosis en ms is.   en tratamiento con cilostazol 100mg cada 12 horas.requiere este medicamento para mejoria de su sintomatologia  y evitar  complicaciones en organos blanco. </t>
  </si>
  <si>
    <t>por 3 meses</t>
  </si>
  <si>
    <t>NO EXISTE OTRO PROTECTOR CUTANEO</t>
  </si>
  <si>
    <t>[OXIDO DE ZINC] 40g/100g</t>
  </si>
  <si>
    <t>C28944</t>
  </si>
  <si>
    <t>CREMA</t>
  </si>
  <si>
    <t>061</t>
  </si>
  <si>
    <t>TOPICA</t>
  </si>
  <si>
    <t>PACIENTE USUARIO DE PAÃAL, PREVENCION DE ESCARAS POR PRESION U OTRAS LESIONES DE LA PIEL</t>
  </si>
  <si>
    <t>APLICAR CADA RECAMBIO DE PAÑAL</t>
  </si>
  <si>
    <t>sin respuesta clinica</t>
  </si>
  <si>
    <t>[METFORMINA CLORHIDRATO] 1000mg/1U ; [SITAGLIPTINA] 50mg/1U</t>
  </si>
  <si>
    <t>COLFF008</t>
  </si>
  <si>
    <t>TABLETAS DE LIBERACION MODIFICADA</t>
  </si>
  <si>
    <t>controla el metabolismo de glucogeno disminuyendo el riesgo cardiovascular</t>
  </si>
  <si>
    <t>tomar una tableta antes del almuerzo y antes de la cena, tratamiento por 6 meses</t>
  </si>
  <si>
    <t>[TEMOZOLOMIDA] 100mg/1U</t>
  </si>
  <si>
    <t>PACIENTE FEMENINA DE 9 AÃOS CON ANTECEDENTE DE MEDULOBLASTOMA GRADO IV REALIZO MANEJO CON CIRUGIA RADIOTERAPIA Y QUIMIOTERAPIA. ACTUALMENTE CON TEMOZOLAMIDA DE MANTENIMIENTO PARA CONTROL DE ENFERMEDAD</t>
  </si>
  <si>
    <t>DAR 1 CAPSULA DE 100 MG VIA ORAL CADA 24 HORAS POR 5 DIAS. REPETIR CADA 30 DIAS ESTE TRATAMIENTO  SE FORMULA MEDICACION POR 30 DIAS</t>
  </si>
  <si>
    <t>[TEMOZOLOMIDA] 20mg/1U</t>
  </si>
  <si>
    <t>DAR 1 CAPSULA DE 20 MILIGRAMOS VIA ORAL CADA 12 HORAS POR 5 DIAS REPETIR CADA 30 DIAS ESTE TRATAMIENTO. SE FORMULA MEDICACION POR 90 DIAS</t>
  </si>
  <si>
    <t>[GLICOPIRRONIO] 50Âµg/1U ; [INDACATEROL] 110Âµg/1U</t>
  </si>
  <si>
    <t>PACIENTE  CONOCIDO CON DIAGNOSTICO DE EPOC MUY  GRAVE, GOLD 4 GRUPO D. ESTE  AÃO DOS CRISIS CO FALLA RESPIRATORIA,  HIPOXEMICO SEVERO,  ADEMAS SOSPECHA DE  HTP Y FALLA CARDIACA ASOCIADA,   HEMOGRAMA SIN EOSINOFILIA,  CON INDICACION DE TERAPIA  DUAL, SIN ICS, O2 PERMANENTE,  ADEMAS TERAPIA DE RHP, ESTUDIOS COMPLEMENTARIOS DIAGNOSTICOS Y DE ESTRATIFICACION PULMONAR. CONTROL CON EXAMENES.</t>
  </si>
  <si>
    <t>USO DIARIO, HACER 1 INHALACIÓN BUCAL CADA MAÑANA</t>
  </si>
  <si>
    <t>[LINAGLIPTINA] 2,5mg/1U ; [METFORMINA CLORHIDRATO] 500mg/1U</t>
  </si>
  <si>
    <t>PACIENTE FEMENINA CON DIAGNOSTICO DE DIABETES MELLITUS TIPO 2 INSULINODEPENDIENTE CON MAL CONTROL METABOLICO POR HBA1C EN 11.5 Y ALTO RIESGO DE HIPOGLICEMIA POR ENFERMEDAD NEUROLOGICA DEGENERATIVA, POR LO QUE SE DETERMINA MODIFICAR TERAPIA PARA DIABETES MELLITUS A HIPOGLICEMIANTE ORAL TIPO INHIBIDOR DE DPP4 Y METFORMINA. CONDUCTA MEDICA AVALADA SEGUN GUIAS DE LA ADA 2020 PARA DIABETES MELLITUS TIPO 2.</t>
  </si>
  <si>
    <t>TOMAR 1 TABLETA VO CADA 12 HORAS.</t>
  </si>
  <si>
    <t>[RIVAROXABAN] 15mg/1U</t>
  </si>
  <si>
    <t>paciente con secuela de acv secundario a vasculitis primaria la cual amerita abticoagulante para bajar incidencia de nuevo evento</t>
  </si>
  <si>
    <t>tomar una tableta diaria via oral, tratamiento por 3 meses</t>
  </si>
  <si>
    <t>TROPICAMIDA</t>
  </si>
  <si>
    <t>Midriático y ciclopléjiico de corta duración. La aplicación tópica oftalmológica puede originar dermatitis de contacto, hipersensibilidad, aumento de la presión</t>
  </si>
  <si>
    <t>[FENILEFRINA CLORHIDRATO] 50mg/1ml ; [TROPICAMIDA] 8mg/1ml</t>
  </si>
  <si>
    <t>COMBINA DOS AGENTES MIDRIÃTICOS SINTÃTICOS (FENILEFRINA, ALFA-SIMPATICOMIMÃTICO, Y TROPICAMIDA, ANTICOLINÃRGICO) PARA CONSEGUIR UNA MIDRIASIS PREOPERATORIA O DE USO DIAGNOSTICO.</t>
  </si>
  <si>
    <t>Minuto(s)</t>
  </si>
  <si>
    <t>tener en cuenta los efectos secundarios HIPERSENSIBILIDAD A LA SUSTANCIA ACTIVA O ALGUNO DE SUS EXCIPIENTES. PICOR, VISIÓN BORROSA, INCOMODIDAD VISUAL.</t>
  </si>
  <si>
    <t>[PREGABALINA] 75mg/1U</t>
  </si>
  <si>
    <t>NEUROPATIA MODERADA A SEVERA NERVIO CIATICO IZQUIERDO - NEGATIVO RADICULOPATIA. NO TRAJO NIGUN ESTDUIOS. RX CADERA: REACCION BLASTOICA DIFUSA EBN REGION SACRA E ILIACA IZQUIERDA RX LUMBAR : LESION INFILTRATIVA EN ART. SACROILIACA IZQUIERDA-. + DISCMICUION ESPACION DISCAL L4-L5, L5-S1. GAMAGRAFIA OSEA: METS POSITIVA EN DIVERSOS LUGARES. A: DOLOR CRONICO ONCOLOGICO - NO CONTRAOLAOD , ENF. AVANZADA - IK: 60% - ECOG: 2. DOLOR NEUROPATICO DOLOR CRONICO ONCOLOGICO.CONTROLADO DOLOR ONCOLICO</t>
  </si>
  <si>
    <t>DAR 1 CAPSULA DE 75 MILIGRAMOS VIA ORAL CADA 12 HORAS POR 45 DIAS DE TRATAMIENTO</t>
  </si>
  <si>
    <t>PACIENTE EN SUP POSTPARTO POR OBITO FETAL CON FETO TRISOMIA 18, ADEMAS UAMENTA RIESGO DE DEPRESION POSTPARTO, Y DE HIPERTTENSION ARTERIAL EN APCIENTE CON TRASTO</t>
  </si>
  <si>
    <t xml:space="preserve">PACIENTE DE 43 AÃOS CON DIAGNOSTICO: 1. POSPARTO VAGINAL DE OBITO FETAL CON TRISOMIA 18 * 23/01/2020 11+45 **2. TRASTORNO HIPERTENSIVO DEL EMBARAZO A CLASIFUICAR *3. PUERPERIO INMEDIATO. 4. ABDOMEN CONGELADO, QUIEN SE ORDENA INHIBIDORM DE LACTANCIA MATERNA CON CABERGOPLINA PARA PREVENIR AUMENTO DE CIFRAS TENAIONLES Y DEPRESION POSTPARTO. </t>
  </si>
  <si>
    <t>TOMAR 1 TAB DE 0.5 DOSIS UNICA</t>
  </si>
  <si>
    <t>ATORVASTATINA</t>
  </si>
  <si>
    <t>SIN CONTROL DEL LDL</t>
  </si>
  <si>
    <t>[EZETIMIBA] 10mg/1U ; [ROSUVASTATINA] 40mg/1U</t>
  </si>
  <si>
    <t xml:space="preserve">MAYOR CONTROL DEL LDL </t>
  </si>
  <si>
    <t>1 TABLETA A LAS 6 PM</t>
  </si>
  <si>
    <t>WARFARINA</t>
  </si>
  <si>
    <t>MAYOR RIESGO DE SANGRADO</t>
  </si>
  <si>
    <t>SIMILAR CONTROL DEL RIESGO CARDIOEMBOLICO, CON MENOR RIESGO DE SANGRADO</t>
  </si>
  <si>
    <t xml:space="preserve">1 TABLETA CON LA CENA </t>
  </si>
  <si>
    <t>NAPROXENO</t>
  </si>
  <si>
    <t>NO MEJORA</t>
  </si>
  <si>
    <t>[ACETAMINOFEN] 325mg/1U ; [CODEINA FOSFATO] 8mg/1U</t>
  </si>
  <si>
    <t>DOLOR ARTICULAR CRÃNICO GLOBAL  QUE NO MEJORA A LOS AINES, CON AGREGADO COLE CISTITIS POR CALCULO INTRAHEPÃTICO.</t>
  </si>
  <si>
    <t xml:space="preserve">PACIENTE QUE DEBE TOMAR LAS DOSIS DE 325 MG DE ACETAMINOFEN CON 8 MG DE CODEINA CADA 12 HORAS POR UN MES Y SE FORMULA PARA 2 MESES </t>
  </si>
  <si>
    <t>PACIENTE CON DIAGNOSTICO DE FIBRILACION AURICULAR PERSISTENTE QUE REQUIERE RIVAROXABAN PARA PREVENCION DE EVENTOS CEREBROVASCULARES TROMBOTICOS</t>
  </si>
  <si>
    <t>DAR 1 TABLETA VO AL DIA POR 30 DIAS</t>
  </si>
  <si>
    <t>HALOPERIDOL</t>
  </si>
  <si>
    <t>NO RESPUESTA AL TRATAMIENTO</t>
  </si>
  <si>
    <t>[RISPERIDONA] 2mg/1U</t>
  </si>
  <si>
    <t>risperidona es un medicamento con evidencia cientÃ­fica en el manejo de control de impulsos en niÃ±os con agresividad marcada que pone en riesgo la seguridad de las demÃ¡s personas.</t>
  </si>
  <si>
    <t>DAR MEDIA TABLETA EN LAS MAÑANAS,DAR MEDIA TABLETA EN LAS NOCHES POR 2 MESES.</t>
  </si>
  <si>
    <t>FLUOXETINA</t>
  </si>
  <si>
    <t>DOLOR DE ESTOMAGO</t>
  </si>
  <si>
    <t>[QUETIAPINA] 25mg/1U</t>
  </si>
  <si>
    <t>estÃ¡ indicada para el tratamiento de la esquizofrenia, en cuyo caso se utilizan altas dosis del medicamento, asÃ­ como para el tratamiento de episodios maniacos agudos asociados con el trastorno bipolar tipo I y como monoterapia</t>
  </si>
  <si>
    <t>PACIENTE CON DIAGNOSTICO ANOTADO EN TRATAMIENTO CON [QUETIAPINA] 25mg/1U CON BUEN CONTROL DE SU PATOLOGIA</t>
  </si>
  <si>
    <t xml:space="preserve">NO SE LOGRO  CONTROL Y ALIVIO DE LOS  ENFERMEDAD </t>
  </si>
  <si>
    <t>[BUDESONIDA] 200Âµg/1Dosis ; [FORMOTEROL FUMARATO] 6Âµg/1U</t>
  </si>
  <si>
    <t>002</t>
  </si>
  <si>
    <t>BUCAL</t>
  </si>
  <si>
    <t xml:space="preserve">CONTROL    \nIDX1) HTA CRONICA\n2)  EPOC DEL GRUPO  B \n3) DE CATETERISMO CARDIACO IZQUIERDO 26/03/18 SIN ENF CORONARIA OBSTRUCTIVA SIGNIFICATIVA PUENTE MUSCULAR EN TERCIO MEDIO DE LA ADA SIN COLAPSO SISTOLICO SGNIFICATIVO. \nACUDE A CONTROL Y SEGUIMIENTO DE  SU PATOLOGIA DE  BASE,  NIEGA  HOSPITALIZACION RECIENTE, NIEGA  INGRECUIENTO DE LA  DISNEA  Y/ 0  DEL ESPUTO , SE  HA  LOGRADO CONTROL  Y ALIVIO DE LOS  SINTOMAS  CON   BETA 2 DE ACCION  LARGA  CORTICOIDES DE MAYOR  POTENCIA </t>
  </si>
  <si>
    <t xml:space="preserve">SE HACE   HINCAPIE  EN LA  FRECUENCIA   Y  REGULARIDAD  DEL  TRATAMIENTO . </t>
  </si>
  <si>
    <t>[BRIMONIDINA TARTRATO] 2mg/1ml ; [DORZOLAMIDA] 20mg/1ml ; [TIMOLOL] 5mg/1ml</t>
  </si>
  <si>
    <t>PACIENTE CON GLAUCOMA PRIMARIO DE ANGULO ABIERTO  ,EN TRATAMIENTO. NO HAY EN EL PBS MEDICAMENTO QUE REEMPLACE O SUSTITUYA LA FORMULACION. NO DEBE SUSPENDER MEDICAMENTO POR RIESGO DE PERDIDA VISUAL\n</t>
  </si>
  <si>
    <t>APLICAR 1 GOTA CADA 12 HORAS AMBOS OJOS</t>
  </si>
  <si>
    <t>[CARBOXIMETILCELULOSA SODICA VISCOSIDAD MEDIA 3,25mg&amp;CARBOXIMETILCELULOSA SODICA VISCOSIDAD ALTA 1,75mg] 5mg/1ml ; [GLICEROL] 9mg/1ml</t>
  </si>
  <si>
    <t>PACIENTE CON OJO SECO QUE REQUIERE LUBRICANTE OCULAR. NO HAY ALTERNATIVA EN EL PBS QUE REEMPLACE O SUSTITUYA LA FORMULACIÃN\n</t>
  </si>
  <si>
    <t>APLICAR 1 GOTA CADA 8 HORAS AMBOS OJOS</t>
  </si>
  <si>
    <t>[TIROTROPINA ALFA] 1,1mg/1U</t>
  </si>
  <si>
    <t>030</t>
  </si>
  <si>
    <t>INTRAMUSCULAR</t>
  </si>
  <si>
    <t xml:space="preserve">paciente postirectomizada con diagnostico de ca papilar de tiroides bien diferenciado que requiere estimulacion de tirotropina alfa parta realizacion de rastreo corporal con i131 no se requiere suspender terapia de remplazo hormonal debido a la elevada morbimortalidad que ocasionaria un hipotiroidismo. </t>
  </si>
  <si>
    <t>Administración en dosis única</t>
  </si>
  <si>
    <t>no suspender levotiroxina.</t>
  </si>
  <si>
    <t>[ACIDO URSODEOXICOLICO] 300mg/1U</t>
  </si>
  <si>
    <t>paciente con colestasis neonatal de origen multifactorial, quien persiste con elevacion de bilirrubina directa amerita coleretico, usaremos dosis de 80 mg dia por lo que se hara prepracion intestinal</t>
  </si>
  <si>
    <t>preparar la tableta en 10 ml de agua y administrar 2,5 ml vo cada dia</t>
  </si>
  <si>
    <t>mayor riesgo de sangrado con dificultad mayor en alcanzar metas de anticoagulacion en nuestro medio por necesidad de seguimiento medico estricto que no se cumpl</t>
  </si>
  <si>
    <t xml:space="preserve">paciente con fibrilacion auricular no valvular con alto riesgo de embolismos  con falla cardiaca asociada y enfermedad coronaria. </t>
  </si>
  <si>
    <t xml:space="preserve">tomar 1 tableta al dia con el almuerzo por 3 meses </t>
  </si>
  <si>
    <t>no control de sintomas</t>
  </si>
  <si>
    <t>paciente con asma con buen control de sintomas con budenosinda formoterol por lo que se continua medicameno</t>
  </si>
  <si>
    <t xml:space="preserve">1 capsula inhalada cada 12 horas por 180 dias </t>
  </si>
  <si>
    <t>[TIBOLONA] 2,5mg/1U</t>
  </si>
  <si>
    <t>paciente menopausica histerectomizada con sintomas de atrofia urogenital</t>
  </si>
  <si>
    <t>tomar 1 tableta diaria con un vaso de agua</t>
  </si>
  <si>
    <t>[TRIMEBUTINA MALEATO] 200mg/1U</t>
  </si>
  <si>
    <t xml:space="preserve">desde hace 1 semana con deposiciones diarreica promedio 4 veces al dia despierta consistencia, postosa cantidad variable moco sin sangre </t>
  </si>
  <si>
    <t>tomar 1 tableta 30 minutos antes del desayuno y cena por 1 mesdx sii</t>
  </si>
  <si>
    <t>PREDNISONA|CICLOSPORINA</t>
  </si>
  <si>
    <t>fracaso terapeutico</t>
  </si>
  <si>
    <t>[INMUNOGLOBULINA ANTITIMOCITICA CONEJO] 5mg/1ml</t>
  </si>
  <si>
    <t xml:space="preserve">paciente con aplasia medular severa, con requirimiento transfusional constante. </t>
  </si>
  <si>
    <t>Perfusión</t>
  </si>
  <si>
    <t>inmunoglobulina antitimocito de conejo 200 mg en 500 ml de soluciòn salina iv a pasar en 12 horas cada 24 horas por 5 dias</t>
  </si>
  <si>
    <t>PACIENTE ASISTE A CONSULTA POR ARDOR , LAGRIMEO EN AMBOS OJOS . DISCONFORT CON LOS LENTES EN USO. AL EXAMEN CLINICO CORNEA CLARA CA FORMADA  BUT CORTO, PLAN:   CARBOXIMETILCELULOSA 0.5% 1 GOTA CADA 8 HE N AMBOS OJOS .  SU PRINCIPIO ACTIVO,  OFRECE ALIVIO REFRESCANTE Y CONFORT DE LARGA DURACIÃN PARA  LA SENSACIÃN DE SEQUEDAD Y PRURITO ASOCIADA CON LA IRRITACIÃN DE OJO SECO, BRINDANDOLE CONFORT Y PREVINIENDO DAÃOS EN LA PELICULA LAGRIMAL QUE PERMITAN LA EVAPORACION DE LA LAGRIMA</t>
  </si>
  <si>
    <t>APLICAR EN AMBOS OJOS CADA 8 HORAS, USAR OPORTUNAMENTE</t>
  </si>
  <si>
    <t>BROMURO DE IPRATROPIO</t>
  </si>
  <si>
    <t>SIN RESPUESTA</t>
  </si>
  <si>
    <t>[BROMURO DE TIOTROPIO] 2,5Âµg/1Dosis ; [OLODATEROL] 2,5Âµg/1Dosis</t>
  </si>
  <si>
    <t xml:space="preserve">PACIENTE DE  HIPOXEMICO SEVERO   CON  COMORBILIDAD   CRDIOMATIA   ISQUEMICA  SEVERA   CONN FEVI  COSERVADA IMPLANTE   DE STENT  CON AGINA  DE PECHO   QUE CONTRAINDICA    CONTINUAR TEPAPIA   RHP   CP  HASTA NUEVA  VALORACIONPOR  CARDILOGIA   CON INDICACION DE TERAPIA   DUAL   POR NEUMOLOGIA  </t>
  </si>
  <si>
    <t xml:space="preserve">USO   DIARIO  2  INHALACIONES  CADA MAÑANA    NOTA:    1 DOSIS  EQUIVALE  A  2 PUFF  BUCAL    </t>
  </si>
  <si>
    <t>ESTE MEDICAMENTO ES PARA REEMPLAZO HORMONAL DE LA PACIENTE</t>
  </si>
  <si>
    <t>TOMAR UNA TABLETA DIARIA EN FORMA PERMANENTE</t>
  </si>
  <si>
    <t>AZATIOPRINA</t>
  </si>
  <si>
    <t>PROTEINURIA MASIVA PERSISTENTE EN PACTE CON LES</t>
  </si>
  <si>
    <t>[MICOFENOLATO DE MOFETILO] 500mg/1U</t>
  </si>
  <si>
    <t>TOMAR 2 TABLETAS DE 500MG CADA 12 HORAS</t>
  </si>
  <si>
    <t>PACIENTE DE 63 AÃOS PROBABLE EPOC GRUPO D,  CON CRISIS RECURRENTES, SEVERO COMPROMISO EN SU CF,  CON MALISIMO APOYO SOCIAL,  SIN TTO OPTIMO NEUMOESPECIFICO, SOSPECHA DE HIPOXEMIA SEVERA, ADEMAS SINTOMAS B QUE DEBEN SER ESTUDIADOS, BRADICARDIA Y DESCARTAR BRADUCARRTIMIA, INICIO TERAPIA DUAL,  OXIGENO 15 H DIA, ESTUDIOS DIAGNOSTICOS PRIORITARIOS,  VALORACION POR MEDICINA INTERNA, APOYO SOCIAL Y FAMILIAR, CONTROL CON RESULTADOS DE EXAMENES.</t>
  </si>
  <si>
    <t>USO DIARIO, HACER 1 INHALACIÓN  BUCAL CADA MAÑANA</t>
  </si>
  <si>
    <t>PACIENTE DE 71 AÃOS, CON DX DE SINDROME DEMENCIAL A ESTUDIO, HIDROCEFALIA COMUNICANTE REPORTADA EN TAC, PARAPLEJIA DE MIEMBROS INFERIORES, TRASTORNO DE MEMORIA POR RATOS Y FRECUENTES, DEPENDENCIA TOTAL PARA TODAS LAS FUNCIONES, ADEMAS CON OSTEOPOROSIS, PROLAPSO GENITAL TOTAL, INCONTINENCIA URINARIA Y FECAL</t>
  </si>
  <si>
    <t xml:space="preserve">APLICAR EN AREA DE PRESION 2 VECES AL DIS </t>
  </si>
  <si>
    <t>HIERRO</t>
  </si>
  <si>
    <t>SE NECESITA DE UN MEDICAMENTO DE ACCIÓN RÁPIDA Y MUY EFECTIVO</t>
  </si>
  <si>
    <t>[ACIDO ASCORBICO] 100mg/1ml ; [ACIDO PANTOTENICO] 5mg/1ml ; [CALCIO] 20mg/1ml ; [CIANOCOBALAMINA] 0,006mg/1ml ; [HIERRO] 5mg/1ml ; [NICOTINAMIDA] 20mg/1ml ; [PIRIDOXINA CLORHIDRATO] 1,5mg/1ml ; [RETINOL] 8500UI/1ml ; [RIBOFLAVINA] 2,5mg/1ml ; [TIAMINA CLORHIDRATO] 3mg/1ml ; [VITAMINA D] 1700UI/1ml</t>
  </si>
  <si>
    <t>Indicaciones Suplemento vitamÃ­nico con minerales para prevenir o tratar estados carenciales de vitaminas y minerales.Tipo Suplemento vitamÃ­nico con minerales. PEDIAVIT</t>
  </si>
  <si>
    <t>Contraindicaciones: Hipersensibilidad a los componentes.</t>
  </si>
  <si>
    <t>ANTIMONIATO DE MEGLUMINA</t>
  </si>
  <si>
    <t>no hay suficiente DISMINUCIÓN de la PRESIÓN intraocular</t>
  </si>
  <si>
    <t>PACIENTE CON GLAUCOMA PRIMARIO DE ANGULO ABIERTO, LO CUAL ESTUVO EN TRATAMIENTO CON MEDICAMENTO POS (TIMOLOL) PERO NO HUBO SUFICIENTE DISMINUCIÃN DE LA PIO. PACIENTE VIENE EN TRATAMIENTO CON MEDICAMENTO COMERCIALES, NO PUEDE USAR MEDICAMENTO GENÃRICO YA  QUE CON ESTE NO HAY SUFICIENTE DISMINUCIÃN DE LA PRESIÃN INTRA OCULAR, SE RECETA TRATAMIENTO CON                    PARA UNA MAYOR DISMINUCIÃN DE LA PIO SIN RIESGO A UNA PERDIDA VISUAL IRREVERSIBLE.\n\n\n\n\n\n\n\n\n\n</t>
  </si>
  <si>
    <t xml:space="preserve">APLICAR UNA GOTA DE COSOPT, CADA 12 HORAS UN FRASCO MENSUAL DURANTE 4 MESES </t>
  </si>
  <si>
    <t>Solucion Oftalmica Frasco x 15 mL, 1 GOTA  cada 6  Hora(s) en Ambos ojos por 2 Mes(es)  Suministar: 2 Frasco(s)</t>
  </si>
  <si>
    <t>NIMODIPINO</t>
  </si>
  <si>
    <t xml:space="preserve">SIN MEJORIA </t>
  </si>
  <si>
    <t>[BETAHISTINA DICLORHIDRATO] 24mg/1U</t>
  </si>
  <si>
    <t>PACIENTE CON CUADRO CLINICO DE LARGO PERIODO DE EVOLUCION CARACTERIZADO POR VERTIGOS     PERIFERICOS   CON CAMBISO POSTURALES ASOCIADO A SINTOMAS   NEUROVEGETATIVOS      CON TINNITUS EN TRATAMIENTO SIN MEJORIA     POR LO   QUE SOLICITO    BETAHISTINA VERUM    ANTIVERTIGINOSA PARA MEJORAR    PROCESO LABERINTICO</t>
  </si>
  <si>
    <t xml:space="preserve">RECOMENDACION GENERAL ENTREGAR VERUM </t>
  </si>
  <si>
    <t>CLOTRIMAZOL</t>
  </si>
  <si>
    <t xml:space="preserve">SIN MEJORIA CLINICA DE LA LESION </t>
  </si>
  <si>
    <t>[DEXAMETASONA] 0,04g/100g ; [GENTAMICINA] 0,1g/100g ; [KETOCONAZOL] 2g/100g</t>
  </si>
  <si>
    <t xml:space="preserve">LA PACIENTE NO TIENE MEJORIA CLINICA </t>
  </si>
  <si>
    <t xml:space="preserve">APLICAR EN ZONA AFECTADA 2 VECES AL DIA </t>
  </si>
  <si>
    <t>AMOXICILINA</t>
  </si>
  <si>
    <t>NO CONTROL DE INFECCIONES RESPIRATORIAS.</t>
  </si>
  <si>
    <t>[POLISACARIDO NEUMOCOCCICO SEROTIPO 9V CONJUGADO CON PROTEÃNA D PROTEÃNA PORTADORA 1Âµg&amp;POLISACARIDO NEUMOCOCCICO SEROTIPO 19F CONJUGADO CON PROTEÃNA PORTADORA DE TOXOIDE DIFTÃRICO 3Âµg&amp;POLISACARIDO NEUMOCOCCICO SEROTIPO 23F CONJUGADO CON PROTEÃNA D PROTEÃNA PORTADORA 1Âµg&amp;POLISACARIDO NEUMOCOCCICO SEROTIPO 1 CONJUGADO CON PROTEÃNA D PROTEÃNA PORTADORA 1Âµg&amp;POLISACARIDO NEUMOCOCCICO SEROTIPO 18C CONJUGADO CON PROTEÃNA PORTADORA DE TOXOIDE TETÃNICO 3Âµg&amp;POLISACARIDO NEUMOCOCCICO SEROTIPO 5 CONJUGADO CON PROTEÃNA D PROTEÃNA PORTADORA 1Âµg&amp;POLISACARIDO NEUMOCOCCICO SEROTIPO 7F CONJUGADO CON PROTEÃNA D PROTEÃNA PORTADORA 1Âµg&amp;POLISACARIDO NEUMOCOCCICO SEROTIPO 14 CONJUGADO CON PROTEÃNA D PROTEÃNA PORTADORA 1Âµg&amp;POLISACARIDO NEUMOCOCCICO SEROTIPO 4 CONJUGADO CON PROTEÃNA D PROTEÃNA PORTADORA 3Âµg&amp;POLISACARIDO NEUMOCOCCICO SEROTIPO 6B CONJUGADO CON PROTEÃNA D PROTEÃNA PORTADORA 1Âµg] 1Dosis/0,5ml</t>
  </si>
  <si>
    <t>AUMENTA ANTICUERPOS CONTRA EL NEUMOCOCO, PRINCIPAL AGENTE BACTERIANO CAUSANTE DE INFECCIONES RESPIRATORIAS Y DESCOMPENSACIÃN DE EPOC, PARA DISMINUIR SU APARICIÃN, DISMINUIR EXACERBACIONES, HOSPITALIZACIONES Y DAR MEJOR CALIDAD DE VIDA.</t>
  </si>
  <si>
    <t>0176</t>
  </si>
  <si>
    <t>mililitro(s)</t>
  </si>
  <si>
    <t>ml</t>
  </si>
  <si>
    <t>Año</t>
  </si>
  <si>
    <t xml:space="preserve">APLICAR, INTRAMUSCULAR. DOSIS ÚNICA. </t>
  </si>
  <si>
    <t>NOREPINEFRINA</t>
  </si>
  <si>
    <t>hipotension refractaria en pop cardiovascular</t>
  </si>
  <si>
    <t>[VASOPRESINA] 20UI/1ml</t>
  </si>
  <si>
    <t>hipotension refractaria en poperatorio de reemplazo de aorta ascendente con reemplzo valvular aortico</t>
  </si>
  <si>
    <t>diluir 2 ampollas de vasopresina en 100 de SSN 0.9 Administrar 5 unidades hora en infusion cotninua , titular dosis respuesta</t>
  </si>
  <si>
    <t>LEVODOPA</t>
  </si>
  <si>
    <t>NO CONTROLO PARKISNON</t>
  </si>
  <si>
    <t>[PRAMIPEXOL DIHIDROCLORURO MONOHIDRATO] 0,375mg/1U</t>
  </si>
  <si>
    <t xml:space="preserve">PACIENTE DE 47 AÃOS DE EDAD QUE ASISTE A CONTROL CON NEUROLOGIA CLINICA, QUIEN PRESENTA ENFERMEDAD DE PARKINSON, REQUIERE TRATAMIENTO CON PRAMIPEXOL ER POR 0,375 MG, PRESENTANDO BUENA ADHERENCIA AL TRATAMIENTO </t>
  </si>
  <si>
    <t xml:space="preserve">TOMAR UNA TABLETA A LAS 8 AM POR DIEZ DIAS VIA ORAL </t>
  </si>
  <si>
    <t>NO CONTROLO PARKINSON</t>
  </si>
  <si>
    <t>[PRAMIPEXOL DIHIDROCLORURO MONOHIDRATO] 0,75mg/1U</t>
  </si>
  <si>
    <t xml:space="preserve">PACIENTE DE 47 AÃOS DE EDAD QUE ASISTE A CONTROL CON NEUROLOGIA CLINICA, QUIEN PRESENTA ENFERMEDAD DE PARKINSON, REQUIERE TRATAMIENTO CON PRAMIPEXOL ER POR 0,75 MG, PRESENTANDO BUENA ADHERENCIA AL TRATAMIENTO </t>
  </si>
  <si>
    <t>[PRAMIPEXOL DIHIDROCLORURO MONOHIDRATO] 1,5mg/1U</t>
  </si>
  <si>
    <t xml:space="preserve">PACIENTE DE 47 AÃOS DE EDAD QUE ASISTE A CONTROL CON NEUROLOGIA CLINICA, QUIEN PRESENTA ENFERMEDAD DE PARKINSON, REQUIERE TRATAMIENTO CON PRAMIPEXOL ER POR 1,5 MG, PRESENTANDO BUENA ADHERENCIA AL TRATAMIENTO </t>
  </si>
  <si>
    <t xml:space="preserve">TOMAR UNA TABLETA A LAS 8 AM POR TRES MESES VIA ORAL </t>
  </si>
  <si>
    <t>luus eritematosio sistemico. uclera perimaleoialr por insuficiencia venosa posterior a trombosis superficial. venostasico linfotrofico en el control de complicaci</t>
  </si>
  <si>
    <t xml:space="preserve">tomar 500 mg cada 1 2hroas x 120 dias. </t>
  </si>
  <si>
    <t>GLIBENCLAMIDA</t>
  </si>
  <si>
    <t>mala respuesta clinica</t>
  </si>
  <si>
    <t>[METFORMINA CLORHIDRATO] 500mg/1U ; [VILDAGLIPTINA] 50mg/1U</t>
  </si>
  <si>
    <t>control METABÃLICO de las glucosamina disminuyendo el riesgo cardiovascular</t>
  </si>
  <si>
    <t>tomar antes del almuerzo y antes de la cena, tratamiento para 6 meses</t>
  </si>
  <si>
    <t>BECLOMETASONA|SALBUTAMOL</t>
  </si>
  <si>
    <t xml:space="preserve">mal control de sintomas </t>
  </si>
  <si>
    <t>[BECLOMETASONA DIPROPIONATO] 100Âµg/1Dosis ; [FORMOTEROL FUMARATO DIHIDRATO] 6Âµg/1Dosis</t>
  </si>
  <si>
    <t xml:space="preserve">control de sintomas y mejoria de la calidad de vida. </t>
  </si>
  <si>
    <t>ATOMIZADOR (SPRAY)</t>
  </si>
  <si>
    <t>uso: hacer dos aspiraciones via oral retener por 10 segundos , dejar salir por la nariz cada 12 horas por tres meses</t>
  </si>
  <si>
    <t>paciente con diagnostico de glaucoma quien requiere tratamiento para preservar la presion ocular</t>
  </si>
  <si>
    <t>APLICAR una cada 12 horas</t>
  </si>
  <si>
    <t>sangrado , inr labil</t>
  </si>
  <si>
    <t xml:space="preserve">FIBRILACIÃN  AURICULAR CHA2DS2VASC DE 3 HASBLED DE 1  / HTA / DIABETES MELLITUS TIPO 2/ ENFERMEDAD ÃCIDO PÃPTICA,  EN EL MOMENTO ASINTOMÃTICA CARDIO VASCULAR, NO DISNEA, NO SIGNOS DE BAJO GASTO, NO SANGRADO, CON FRECUENCIA CARDÃACA Y  PRESIÃN ARTERIAL EN METAS, </t>
  </si>
  <si>
    <t xml:space="preserve">ante la presencia  de sangrado o perdidta del estado de conciencia </t>
  </si>
  <si>
    <t xml:space="preserve">hiperglicemia </t>
  </si>
  <si>
    <t>[DAPAGLIFLOZINA] 5mg/1U ; [METFORMINA CLORHIDRATO] 1000mg/1U</t>
  </si>
  <si>
    <t xml:space="preserve">paciemnte con falla cardica estadio c, fevi intermedia, con  dm tiopo 2 no controlada </t>
  </si>
  <si>
    <t xml:space="preserve">ante la prsencia ce hipotebnsion o perdida del estado de conciencia o persitencia de hiperglicemia cudir a urgencia </t>
  </si>
  <si>
    <t>BETAMETASONA</t>
  </si>
  <si>
    <t>no mejoria</t>
  </si>
  <si>
    <t>[CLOBETASOL PROPIONATO] 0,05g/100g</t>
  </si>
  <si>
    <t>paciente con vitiligo generalizado que requiere esteroide de alta potencia por tiempo prologado con menos efectos secundarios</t>
  </si>
  <si>
    <t>aplicar una vez al dia</t>
  </si>
  <si>
    <t>[TACROLIMUS] 0,1g/100g</t>
  </si>
  <si>
    <t>PACIENTE CON VITILIGO GENERALIZADO QUE REQUIERE tratamiento  POR TIEMPO PROLOGADO CON MENOS EFECTOS SECUNDARIOS</t>
  </si>
  <si>
    <t>aplicar en las noches</t>
  </si>
  <si>
    <t>Solucion Oftalmica Frasco x 15 mL, 1 GOTA  cada 6  Hora(s) en Ambos ojos por 4 Mes(es)  Suministar: 4 Frasco(s)</t>
  </si>
  <si>
    <t>[ADALIMUMAB] 100mg/1ml</t>
  </si>
  <si>
    <t>SUBCUTANEA</t>
  </si>
  <si>
    <t xml:space="preserve">PLACAS ERITEMATODESCAMATIVAS PRUITO OCACIONAL EN CUERO CABELLUDO , TRONCO , PIERNA S, BRAZOS COMPROMISO DEL 80 % DE LA SUPERFICIE CORPORAL EN TRATAMIENTO CON ADALIMUMAB HACE 3 AÃOS SE CONTINUA IGUAL TRATAMIENTO </t>
  </si>
  <si>
    <t xml:space="preserve">NO APLICAR EN CASO DE INFECCIONES </t>
  </si>
  <si>
    <t>[TOXINA BOTULINICA] 200U/1U</t>
  </si>
  <si>
    <t>PARA MANEJO PROFILACTICO DE MIGRAÃA CRONICA</t>
  </si>
  <si>
    <t>APLICACION POR NEUROLOGO CLINICO EN MUSCULOS PERICRANEALES 195 UNIDADES</t>
  </si>
  <si>
    <t>[BRIMONIDINA TARTRATO] 2mg/1ml ; [TIMOLOL] 5mg/1ml</t>
  </si>
  <si>
    <t>Paciente que presenta presion intraocular elevada que requiere de tratamiento para controlar presion.\n</t>
  </si>
  <si>
    <t>Solucion Oftalmica Frasco X 5 mL, 1 GOTA  cada 12 Hora(s)  en Ambos ojos por 3 Mes(es)  Suministar: 4 Frasco(s)</t>
  </si>
  <si>
    <t>[POLIETILENGLICOL] 4mg/1ml ; [PROPILENGLICOL] 3mg/1ml</t>
  </si>
  <si>
    <t>PACIENTE QUE REQUIERE LUBRICACIÃN Y HUMECTACIÃN POR PRESENTAR ENFERMEDAD DE OJO SECO. ADEMAS DISMINUYE EL TRAUMA DEL PARPADEO, LO QUE PERMITE UNA MEJOR ADHERENCIA Y CICATRIZACIÃN EPITELIAL PROPORCIONANDO A SU VEZ ALIVIO DE LOS SÃNTOMAS. PROMUEVE LA PROLIFERACIÃN CELULAR Y LA MIGRACIÃN EPITELIAL CORNEAL\n\n</t>
  </si>
  <si>
    <t>Solucion Oftalmica Frasco x 10 mL, 1 GOTA  cada 6 Hora(s) en Ambos ojos  por 3 Mes(es)  Suministar: 4 Frasco(s)</t>
  </si>
  <si>
    <t>SE NECESITA DE UN MEDICAMENTO DE ACCIÓN RÁPIDA Y MAS EFECTIVO</t>
  </si>
  <si>
    <t>[ACIDO ASCORBICO] 100mg/100ml ; [COLECALCIFEROL] 1700UI/100ml ; [HIERRO] 5mg/100ml ; [NICOTINAMIDA] 20mg/100ml ; [PANTENOL] 4,9mg/100ml ; [RIBOFLAVINA] 2,5mg/100ml ; [TIAMINA CLORHIDRATO] 3mg/100ml ; [VITAMINA A] 8500UI/100ml ; [VITAMINA B12] 0,006mg/100ml ; [VITAMINA B6] 1,5mg/100ml ; [ZINC] 11,25mg/100ml</t>
  </si>
  <si>
    <t>Indicaciones Suplemento vitamÃ­nico con minerales para prevenir o tratar estados carenciales de vitaminas y minerales. Tipo Suplemento vitamÃ­nico con minerales. PEDIAVIT ZINC.</t>
  </si>
  <si>
    <t>Contraindicaciones: Hipersensibilidad a los componentes.\n\n</t>
  </si>
  <si>
    <t>[ACIDO POLIACRILICO] 250mg/100g</t>
  </si>
  <si>
    <t>C42948</t>
  </si>
  <si>
    <t>GELES y JALEAS</t>
  </si>
  <si>
    <t>Gel Oftalmico 0.25g/100g Frasco x 10 g, 1 GOTA  cada 6 Hora(s) en Ambos ojos  por 3 Mes(es)  Suministar: 5 Frasco(s)</t>
  </si>
  <si>
    <t>[BIMATOPROST] 0,1mg/1ml ; [BRIMONIDINA TARTRATO] 1,5mg/1ml ; [TIMOLOL] 5mg/1ml</t>
  </si>
  <si>
    <t>Solucion  Oftalmica Frasco x 5 mL, 1  GOTA cada 12 Hora(s) en Ambos ojos por 3 Mes(es)  Suministar: 4 Frasco(s)</t>
  </si>
  <si>
    <t>PACIENTE CON ARDOR OCULAR EN AMBOS OJOS, EL CUAL SE SOLICITA TRATAMIENTO CON LUBRICANTE OCULAR PARA UNA MEJORÃA VISUAL A LA PATOLOGÃA, CONJUNTIVA ROSADA, CÃMARA FORMADA, CORNEA ALTERACIÃN DEL FILM LAGRIMAL, PUPILA REACTIVA ALA LUZ,   CRISTALINO CLARO.\n\n\n\n\n</t>
  </si>
  <si>
    <t>aplicar 1 gota cada 8 horas en ambos ojos de systane  ultra</t>
  </si>
  <si>
    <t xml:space="preserve">no   control se  stroke  </t>
  </si>
  <si>
    <t>PTE DE 84  AÃOS CON\n DX 1 ) HTA  ESTADIO   I\n 2 ) DM TIPO  2    HACE  10 AÃOS   \n3 )  POP    HERNIA  DISCAL .\n4 CATETERISMO CARDICO   HACE  2  AÃOS  CON  CORONARIAS  LIMPIAS  \n5  FA  DE   RESPUESTA  VENTRICULAR    MEDIA RIESGO DE STROKE  4  PUNTO   \nACUDE  POR   EPISODIOS  DE    HIPOTENSION    +   VERTIGOS ,  DIAFORESIS PIEL   FRIA. PROMEDIO 170/ 100   DE   LARDA  DATA ,  PROMEDIO  EN  ENERO 2020  122/75  paciente  con alto riesgo de  cardioembolismo cerebral  amerita  anticuagulante segun guia</t>
  </si>
  <si>
    <t xml:space="preserve">se hace  hincapie en la   frecuencia y regularidad  del tto </t>
  </si>
  <si>
    <t>no se observo mejoria con el medicamento</t>
  </si>
  <si>
    <t>[CLOPIDOGREL] 75mg/1U</t>
  </si>
  <si>
    <t xml:space="preserve">se administra para prevenir la formaciÃ³n de coÃ¡gulos sanguÃ­neos (trombos) en vasos sanguÃ­neos (arterias) endurecidos, un proceso conocido como aterotrombosis, que puede provocar efectos aterotrombÃ³ticos. </t>
  </si>
  <si>
    <t>administrar segun prescripcion medica</t>
  </si>
  <si>
    <t>CEFALOTINA</t>
  </si>
  <si>
    <t xml:space="preserve">PACIENTE PUERPERA CON CUADRO FEBRIL SINTOMAS URINARIOS SIRS , EN MANEJO INICIAL CON CEFALOTINA POR SIRS FIEBRE, TAQUICARDIA; LEUCOCITOSIS: 14900; NEUTROFILIA : 10.77; FALLA RENAL DADO POR CREATININA: 1.1 HOY SE APLICO PRIMERA DOSIS DE CEFALOTINA; PERO DADO PROGRESION DE LOS SIGNOS DE SEPSIS SE COMENTA EN UNIDAD DE CUIDADO CRITICO OBSSTETRICA CON GINECOLOGA DE TURNO DRA GORDILLO QUIEN REFIERE NO CONTAR CON CAMAS DISPONIBLES Y RECOMIENDA ESCALONAR ANTIBIOTICO A ERTAPENEM. </t>
  </si>
  <si>
    <t xml:space="preserve"> PUERPERA TARDIA CON CUADRO FEBRIL SINTOMAS URINARIOS  , EN MANEJO INICIAL CON CEFALOTINA POR SIRS FIEBRE, TAQUICARDIA; LEUCOCITOSIS: 14900; NEUTROFILIA : </t>
  </si>
  <si>
    <t>[NITROFURAZONA] 0,2g/100g</t>
  </si>
  <si>
    <t>paciente con lesion ulcerada en miembro inferior que requeire curaciones con nitrofurazona por orden de internista</t>
  </si>
  <si>
    <t>Semana(s)</t>
  </si>
  <si>
    <t xml:space="preserve">curaciones dos veces al dia </t>
  </si>
  <si>
    <t>AMLODIPINO|LOSARTAN</t>
  </si>
  <si>
    <t xml:space="preserve">NO CONTROL DE CIFRAS TENSIONALES. </t>
  </si>
  <si>
    <t>[LABETALOL CLORHIDRATO] 5mg/1ml</t>
  </si>
  <si>
    <t xml:space="preserve">PACIENTE CON EMERGENCIA HIPERTENSIVA COMO ORGANO BLANCO CEREBRO. NO MEJORIA CON ANTIHTA ORALES. </t>
  </si>
  <si>
    <t>Según respuesta al tratamiento</t>
  </si>
  <si>
    <t>Administrar en Bolo</t>
  </si>
  <si>
    <t xml:space="preserve">SE INDICA MANEJO CON BOLO DE LABETALOL, Y SEGUN RESPUESTA SE DEINIRA MANEJO CON GOTEO. NO CONTROL CON ANTIHTA ORALES </t>
  </si>
  <si>
    <t xml:space="preserve">NO CONTROL DE CIFRAS TENSIONALES CON ANTIHTA ORALES </t>
  </si>
  <si>
    <t xml:space="preserve">PACIENTE CON EMERGENCIA HIPERTENSIVA CON ORGANO BLANCO CEREBRO, NO MEJORA CON ANTIHTA ORALES, SE INICIA MANEJO CON LABETAOLO.. </t>
  </si>
  <si>
    <t>PACIENTE CON EMERGENCIA HIPERTENSIVA CON ORGANO BLANCO CEREBRO, NO MEJORA CON ANTIHTA ORALES, SE INICIA MANEJO CON LABETALOL</t>
  </si>
  <si>
    <t>PERSISTENCIA DEL ESTADO DEL CHOQUE</t>
  </si>
  <si>
    <t>PACIENTE EN ESTADO CRITICO CON EVOLUCION TORPIDA, GRAN INESTABILIDAD Y LABILIDAD HEMODINAMICA, PERSISTIENDO CON TENSIONES ARTERIALES MEDIAS POR DEBAJO DE METAS PARA PERFUSION TISULAR OPTIMA, A PESAR DE SOPORTE VASOPRESOR TIPO NOREPINEFRINA A 0,4MCG/KG/MIN,  POR LO QUE SE DECIDE INICIAR SEGUNDO VASOPRESOR TIPO VASOPRESINA EN INFUSION TITULABLE DE 1-5UI/HORA PARA OPTIMIZAR CONTROL HEMODINAMICO Y ASI MEJORAR PERFUSION TISULAR.</t>
  </si>
  <si>
    <t>0072</t>
  </si>
  <si>
    <t>unidad(es) internacional(es)</t>
  </si>
  <si>
    <t>UI</t>
  </si>
  <si>
    <t>SOL. SALINA 0,9% 100CC + VASOPRESINA 20UI, INFUSION CONTINUA, TITULAR 1-5UI/HORA</t>
  </si>
  <si>
    <t>[ACIDO FUSIDICO] 2g/100g</t>
  </si>
  <si>
    <t>PACIENTE CON LESIONES IMPETIGINOSAS GENERALIZADAS LAS CUALES REQUIEREN MANEJO ANTIMICROBIANO TOPICO</t>
  </si>
  <si>
    <t>APLICAR EN SITIO DE LESIONES CADA 12 HORAS POR 5 DIAS.</t>
  </si>
  <si>
    <t>AMIKACINA</t>
  </si>
  <si>
    <t>DAÑO RENAL</t>
  </si>
  <si>
    <t>PACIENTE DERIVADO DE URGENCIAS, CON ANTECEDENTES DE HPB,  CARDIOPATIA ISQUEMICA CON REVASCULARIZACION MIOCARDICA + BYPASS X AP. HOSPITALIZADO EN CONTEXTO DE INFECCIÃN DE VÃAS URINARIAS, HEMODINAMICAMENTE ESTABLE, CIFRAS TENSIONALES DENTRO DE RANGOS DE NORMALIDAD, SE REALIZA ROTACION DE ANTIBIOTICOTERAPIA POR FUNCION RENAL, SE ANEXA MANEJO POR PATOLOGIA DE BASE.</t>
  </si>
  <si>
    <t>SEGUIR PRESCRIPCIONES</t>
  </si>
  <si>
    <t>PACIENTE CON DOLOR NEUROPATICO SECUNDARIO A SECUELAS DE ACCIDENTE CEREBROVASCULAR QUE NO MEJORA CON EL USO DE ANALGESICOS TIPOS AINES Y OPIOIDES</t>
  </si>
  <si>
    <t>DAR 1 TABLETA AL DIA VO POR 90 DIAS</t>
  </si>
  <si>
    <t>[FOSFOMICINA] 3g/1U</t>
  </si>
  <si>
    <t>C42938</t>
  </si>
  <si>
    <t>GRANULOS CONVENCIONALES</t>
  </si>
  <si>
    <t>PACIENTE FEMENINA CON DIAGNOSTICO DE INFECCION DE VIAS URINARIAS RCURRENTES, CON UROCULTIVO POSITIVO CON GERMEN SENSIBLE A FOSFOMICINA, POR LO QUE SE INDICA MANEJO</t>
  </si>
  <si>
    <t>SOBRE</t>
  </si>
  <si>
    <t>DISOLVER 1 SOBRE EN 190 ML DE AGUA Y DAR VO DOSIS UNICA</t>
  </si>
  <si>
    <t>[ACETAMINOFEN] 325mg/1U ; [TRAMADOL CLORHIDRATO] 37,5mg/1U</t>
  </si>
  <si>
    <t>PACIENTE CON DOLOR ARTRICULAR QUE NO MEJORA CON EL USO DE OTROA ANALGESICOS TIPO AINES</t>
  </si>
  <si>
    <t>DAR 1 TABLETA VO CADA 12 HORAS POR 90 DIAS</t>
  </si>
  <si>
    <t>hipoglicemias</t>
  </si>
  <si>
    <t>[METFORMINA CLORHIDRATO] 1000mg/1U ; [VILDAGLIPTINA] 50mg/1U</t>
  </si>
  <si>
    <t>optimo control metabÃ³lico</t>
  </si>
  <si>
    <t>control de cumplimiento horario estricto</t>
  </si>
  <si>
    <t>no logro de control metabólico</t>
  </si>
  <si>
    <t>adecuado control metabÃ³lico</t>
  </si>
  <si>
    <t>TIRA</t>
  </si>
  <si>
    <t>control estricto en la administración del medicamento</t>
  </si>
  <si>
    <t>alto riesgo de hipoglicemias</t>
  </si>
  <si>
    <t>no se logra control metabólico</t>
  </si>
  <si>
    <t>control estricto metabólico</t>
  </si>
  <si>
    <t>[MONTELUKAST] 10mg/1U</t>
  </si>
  <si>
    <t xml:space="preserve"> REFORMULAR MONTELUKAST QUE RECIBE DE BASE POR RINITIS</t>
  </si>
  <si>
    <t>ninguna</t>
  </si>
  <si>
    <t>adecuado control metabólico</t>
  </si>
  <si>
    <t>BECLOMETASONA|SALBUTAMOL|BROMURO DE IPRATROPIO</t>
  </si>
  <si>
    <t>pcte no responde a ttos pos anteriormente ordenados</t>
  </si>
  <si>
    <t>[FLUTICASONA PROPIONATO] 250Âµg/1Dosis ; [SALMETEROL] 50Âµg/1Dosis</t>
  </si>
  <si>
    <t>PCTE MASCULINO DE 85 AÃOS DE EDAD QUIEN VIENE CON DX: EPOC POR ANTECEDENTES DE TABAQUISMO Y ERGE, ACTUALMENTE PIROSIS, TOS SECA OCASIONAL, DISNEA DE ESFUERZOS HTA, NO DM. caminata de los 6 minutos: sin anotaciÃ³n de distancia recorrida. AL EXAMEN FISICO: NO CRÃPITOS, NO SIBILANTES, DATOS DE ATRAPAMIENTO AÃREO, RONCOS EN BASES, CORAZÃN RITMICO, NO EDEMA EN MIEMBROS INFERIORES, ORL: HIPERTROFIA DE CORNETES.CONTINUA IGUAL TTO CON SERETIDE Y SPIRIVA.</t>
  </si>
  <si>
    <t>hacerse 1 inhalación cada 12 hrs durante 4 meses</t>
  </si>
  <si>
    <t>[GUSELKUMAB] 100mg/1ml</t>
  </si>
  <si>
    <t xml:space="preserve"> :: : PLACAS ERITEMATODESCAMATIVAS PRURIGINOSAS ESCAMA YESOSA EN TRONCO , PIERNAS BRAZOS 14 \nMESES DE EVOLUCION asociada a dolores articulares , compromiso del 80 de al superficei corporal no mejoria a tto con emtotrexato y retinoides se decide enviar tartamiento con guselkumab </t>
  </si>
  <si>
    <t>JERINGA</t>
  </si>
  <si>
    <t xml:space="preserve">aplicar 1 amp sc semana cero , 1 amp sc semana 4 y luego1 amp sc cada 8 semanas </t>
  </si>
  <si>
    <t>FALLO</t>
  </si>
  <si>
    <t>[ACETAMINOFEN] 325mg/1U ; [CODEINA FOSFATO] 30mg/1U</t>
  </si>
  <si>
    <t>DOLOR CRONICO, TIENE INSUFICIENCIA RENAL</t>
  </si>
  <si>
    <t xml:space="preserve">TOMAR 1 DIARIA </t>
  </si>
  <si>
    <t>PARACETAMOL</t>
  </si>
  <si>
    <t>FALLA TERAPEUTICA</t>
  </si>
  <si>
    <t xml:space="preserve">PACIENTE QUE VIENE CON DOLOR EN RODILLA IZQUIERDA MAS DOLOR MUSCULAR GENERALIZADA DE VARIOS MESES DE EVOLUCIÃN TRATADO CON MEDICAMENTOS DEL POS SIN PRESENTAR MEJORÃA </t>
  </si>
  <si>
    <t>TOMAR 1 TABLETA CADA 12 HORAS</t>
  </si>
  <si>
    <t>PACIENTE CON DIAGNOSTICO: CONJUNTIVITIS ALÃRGICA EL CUAL AMERITA TRATAMIENTO CON MEDICAMENTO ANTIALERGICO DE MAYOR CONCENTRACIÃN DEBIDO A QUE NO SE LOGRA CONTROLAR CON MEDICAMENTO P.O.S</t>
  </si>
  <si>
    <t>MEDICAMENTO DE USO PERMANENTE NO SUSPENDA SIN AUTORIZACIÓN DE OFTALMOLÓGICA. USAR EN EL HORARIO INDICADO.</t>
  </si>
  <si>
    <t>SULFADIAZINA</t>
  </si>
  <si>
    <t>POBRE RESULTADOS</t>
  </si>
  <si>
    <t>[COLAGENASA] 120UI/100g</t>
  </si>
  <si>
    <t>COLFF005</t>
  </si>
  <si>
    <t>OTRAS EMULSIONES</t>
  </si>
  <si>
    <t>SE UTILIZA como cicatrizante, generalmente en Ãºlceras, escaras, quemaduras y lesiones. La colagenasa se utiliza para eliminar los restos celulares y extracelulares del tejido necrosado. Contribuye en la formaciÃ³n del nuevo tejido y reepitelizaciÃ³n de las Ãºlceras y escaras dÃ©rmicas.</t>
  </si>
  <si>
    <t>APLICAR 5 GRAMOS DE COLAGENASA UNA VEZ AL DIA CADA 24 HORAS DURANTE 20 DIAS</t>
  </si>
  <si>
    <t xml:space="preserve">PACIENTE CON DIAGNOSTICO DE GLAUCOMA QUIEN REQUIERE TRATAMIENTO </t>
  </si>
  <si>
    <t>APLICAR UNA GOTA CADA 12 HORAS</t>
  </si>
  <si>
    <t>[AZITROMICINA] 500mg/1U</t>
  </si>
  <si>
    <t xml:space="preserve">paciente con VIH estadio SIDA con CD4 menor de 50 con riesgo de MAC por lo cual requiere profilaxis antibiotica. </t>
  </si>
  <si>
    <t>1200 mg semanal durante 1 mes</t>
  </si>
  <si>
    <t>[TOXINA BOTULINICA] 500U/1U</t>
  </si>
  <si>
    <t>OMBRE DE 64 AÃOS CON SECUELAS DE INFARTO CEREBRAL DE ACM IZQUIERDA+HEMIPLEJIA ESPASTICA DERECHA POR EL GRADO DE DISCAPACIDAD. PPOR ESPASTICIDAD SE DEBE APLICAR TOXINA BOTULINICA TIPO A 1000 UNIDADES CON GUIA ELECTROMIGRAFICA.</t>
  </si>
  <si>
    <t>TOXINA BOTULINICA TIPO A 1000 UNIDADES CON GUIA ELECTROMIGRAFICA.</t>
  </si>
  <si>
    <t>no control de lipidos c</t>
  </si>
  <si>
    <t>[ATORVASTATINA] 20mg/1U ; [EZETIMIBA] 10mg/1U</t>
  </si>
  <si>
    <t>MEDICINA INTERNA I DX \n1 ) HTA 2 ) DM TIPO 2 3 )ENFERMEDAD ARTERIAL PERIFERICA SGTO POR CX VASCULAR PENDIENTE REVASCULARIZACION4) CARDIOPATIA ISQUEMICA CON REVASCULARIZACION BYPASS ADA , AMI ( PUENTE SAFENO A OBSTUSA MARGINAL 5/02/219 )( PENDIENTE NUEVO CATETERISMO CARDIACO POR con con la combiancionde estatina con ezetimibe se ha logra mejoria de niveles de ldl como mecanismo de prevesion secundaria \n \n\n\n\n</t>
  </si>
  <si>
    <t xml:space="preserve">se hace hincapie en la frecuencia y regularidad del tto </t>
  </si>
  <si>
    <t>[IVERMECTINA] 6mg/1ml</t>
  </si>
  <si>
    <t>ESCOLAR DE 6 AÃOS DE EDAD HOSPITALIZADA EN CONTEXTO DE ESCABIOSIS IMPETIGINIZADA QUIEN AMERITA MANEJO CON IVERMECTINA ORAL EN VISTA DE MAGNITUD DE LESIONES</t>
  </si>
  <si>
    <t>IVERMECTINA SOLUCION 6MG EN 1 ML. DAR 20 GOTAS VIA ORAL DOSIS UNICA. TOTAL 1 FRASCO</t>
  </si>
  <si>
    <t>[BIMATOPROST] 0,3mg/1ml</t>
  </si>
  <si>
    <t>PACIENTE DE 79+ AÃOS, HTA EN TTO CON NIFEDIPINO 30 x 1 - ASA 100 x 1 - ATORVASTATINA 20 x 1 \nADEMAS CON GLAUCOMA BILATERAL, EN TTO CON OFTALMOLOGIA, CON LATANOPROST, BRIMODININA Y TIMOLOL 0.5% REFIERE CEFALEA FRECUENTE, MAREOS OCASIONALES,</t>
  </si>
  <si>
    <t xml:space="preserve">APLICAR UNA GOTA CADA 24 HORAS EN AMBOS OJOS </t>
  </si>
  <si>
    <t>PACIENTE DE 79+ AÃOS, HTA EN TTO CON NIFEDIPINO 30 x 1 - ASA 100 x 1 - ATORVASTATINA 20 x 1 \nADEMAS CON GLAUCOMA BILATERAL, EN TTO CON OFTALMOLOGIA, CON LATANOPROST, BRIMODININA Y TIMOLOL 0.5% \nMANIFIESTA SENTIRSE BIEN, REFIERE CEFALEA FRECUENTE, MAREOS OCASIONALES,</t>
  </si>
  <si>
    <t xml:space="preserve">APLICAR UNA GOTA CADA 12 HORAS EN AMBOS HOJOS OJOS </t>
  </si>
  <si>
    <t>NO MEJORIA CLINICA</t>
  </si>
  <si>
    <t>ADECUADA RESPUESTA CLÃNICA</t>
  </si>
  <si>
    <t>ESTRICTO CUMPLIMIENTO EN LA MEDICACION</t>
  </si>
  <si>
    <t>Es un agente desbridante enzimÃ¡tico capaz de hidrolizar especÃ­ficamente enlaces peptÃ­dicos de colÃ¡geno no desnaturalizado y desnaturalizado.</t>
  </si>
  <si>
    <t>APLICAR 5 GRAMOS DE COLAGENASA UNA VEZ AL DIA CADA 24 HRS DURANTE 20 DIAS</t>
  </si>
  <si>
    <t>Solucion Oftalmica Frasco x 15 mL, 1 GOTA cada 6 Hora(s) en Ambos ojos por 2 Mes(es) Suministar: 2 Frasco(s)</t>
  </si>
  <si>
    <t>Solucion Oftalmica Frasco x 15 mL, 1 GOTA cada 6 Hora(s) en Ambos ojos por 3 Mes(es) Suministar: 3 Frasco(s)</t>
  </si>
  <si>
    <t xml:space="preserve">no mejoria de lipidos </t>
  </si>
  <si>
    <t>PACIENTE FEMENINO DE 71 AÃOS DE EDAD CON ANTECEDENTES OBESIDAD GRADO III, SEDENTARISMO, HIPERTENSION ARTERIAL, EX TABAQUISMO, EXPOSICIÃN A HUMO DOMICILIARIO, 2 IAM 2011 IMPLANTE DE STENT ARTERIA CIRCUNFLEJA STENT FALLIDO EN ARTERIA CORONARIA DERECHA ), CCG + 1 STENT DESCENDENTE ANTERIOR 05/2011 ,ASINTOMÃTICA CARDIOVASCULAREL EXAMENFÃSICONO APORTA DATOS DEINTERÃSTRAE REPORTE DE ECO TT NORMAL, FEVI 58% , AL EEXAMNE FISICO NO APORTA DATOS DE INTERES LDL 118 YA QUE LA EPS NO ENTREGA MEDICAMETO DE FO</t>
  </si>
  <si>
    <t xml:space="preserve">PACIENTE FEMENINO DE 71 AÑOS DE EDAD CON ANTECEDENTES OBESIDAD GRADO III, SEDENTARISMO, HIPERTENSION ARTERIAL, EX TABAQUISMO, EXPOSICIÓN A HUMO DOMICILIARIO, 2 </t>
  </si>
  <si>
    <t>NO MEJORIA</t>
  </si>
  <si>
    <t>[NEPIDERMINA] 75Âµg/1U</t>
  </si>
  <si>
    <t>026</t>
  </si>
  <si>
    <t>USO INTRALESIONAL</t>
  </si>
  <si>
    <t>PACIENTE FEMENINA DE 64 AÃOS DE EDAD QUE PRESENTA ULCERA VASCULAR DE LARGA DATA EN MIEMBRO INFERIOR IZQUIERDO SOMETIDA A DESBRIDAMIENTO Y LAVADO QUIRURGICO Y MANEJO CON ANTIBIOTERAPIA Y MANEJO CON ALTA TECNOLOGIA POR CLINICA DE HERIDAS SIN RESPUESTA SATISFACTORIA POSIBLE SOBREINFECCION SEPSIS Y AMPUTACION QUE COLOCAN EN PELIGRO LA VIDA</t>
  </si>
  <si>
    <t>APLICAR 1 VIAL 3 VECES POR SEMANA POR 8 SEMANAS INTRALESIONAL Y PERILESIONAL</t>
  </si>
  <si>
    <t>ROSUVASTATINA</t>
  </si>
  <si>
    <t>DISLIPIDEMIA MIXTA SEVERA QUE NO MEJORA CON ESTATINAS NI GEMFIBROZIL</t>
  </si>
  <si>
    <t>[EZETIMIBA] 10mg/1U ; [SIMVASTATINA] 40mg/1U</t>
  </si>
  <si>
    <t>TOMAR UNA TABLETA CADA NOCHE</t>
  </si>
  <si>
    <t>AMINOFILINA</t>
  </si>
  <si>
    <t>NEONATO PREMATURO DE 29 SEMANAS CON FALLA VENTILATORIA SECUNDARIO A ENFERMEDAD DE MEMBRANA HIALINA, CON APNEA DE LA PREMATURIDAD.</t>
  </si>
  <si>
    <t>[CAFEINA] 10mg/1ml</t>
  </si>
  <si>
    <t>10MG IV CADA 24 HORAS</t>
  </si>
  <si>
    <t>PACIENTE SIN MEJORIA CLINICA DEL DOLOR</t>
  </si>
  <si>
    <t>[PREGABALINA] 150mg/1U</t>
  </si>
  <si>
    <t xml:space="preserve">LA PACIENTE NO PRESENTA MEJORIA CLINICA DEL DOLOR </t>
  </si>
  <si>
    <t xml:space="preserve">TOMAR 1 CAPSULA A LAS 5 PM </t>
  </si>
  <si>
    <t>PACIENTE CON CUADRO CLINICO DE LARGO PERIODO DE EVOLUCION CARACTERIZADO POR VERTIGOS PERIFERICOS CON CAMBISO POSTURALES ASOCIADO A SINTOMAS NEUROVEGETATIVOS CON TINNITUS EN TRATAMIENTO SIN MEJORIA POR LO QUE SOLICITO BETAHISTINA ANTIVERTIGINOSA PARA MEJORAR PROCESO LABERINTICO</t>
  </si>
  <si>
    <t xml:space="preserve">RECOMENDACION ENTREGAR BETASERC </t>
  </si>
  <si>
    <t>VIENE A CONTROL ACTUALMENTE CON EPIGASTRALGIAS GASES SENSACION DE LLENURA DISTENSION ABDOMIN AL BUENA DIURESIS SE LE INICA TRIMEBUTINA + SIMETICONA es un fÃ¡rmaco antiespasmÃ³dico, que se utiliza por vÃ­a oral, vÃ­a intravenosa, intramuscular o rectal en el tratamiento del dolor abdominal y otros trastornos abdominales incluyendo el sÃ­ndrome del colon irritable</t>
  </si>
  <si>
    <t>TOMAR 1 TABLETA CADA 12 HORAS TTO 15 DIAS</t>
  </si>
  <si>
    <t>RECIEN NACIDO PRETERMINO CON BAJO PESO AL NACER, SE INICIAN MULTIVITAMINAS Y MINERALES PARA FAVORECER RECUPERACION NUTRICIONAL Y GANANCIA PONDERAL ADECUADA.</t>
  </si>
  <si>
    <t>5 gotas vo cada 24 horas</t>
  </si>
  <si>
    <t>[EPINASTINA CLORHIDRATO] 0,5mg/1ml</t>
  </si>
  <si>
    <t>PACIENTE QUIEN SE LE INDICA EPINASTINA POR LOS EPISODIOS FRECUENTES DE PRURITO Y ERITEMA CONJUNTIVAL</t>
  </si>
  <si>
    <t xml:space="preserve">SE LE INDICA APLIOCAR UNA GOTA CADA 12 HORAS EN CADA OJO PARA CONTROLAR LOS SINTOMAS </t>
  </si>
  <si>
    <t>ACIENTE DE 67 AÃOS DE EDAD, EN BUEN ESTADO GENERAL, CON CUADRO CLINICO DE APROXIMADAMENTE 3 AÃOS DE EVOLUCION, CARACTERIZADO POR DOLOR LUMBAR CRONICO IRRADIADO A MIEMBROS INFERIORES, DE PREDOMINIO IZQUIERDO MULTITRATADA SIN MEJORIA, POR LO CUAL FUE OPERADA EN 2017, ACTUALMENTE PACIENTE CON DOLOR LUMBAR MODERADO, CON LIMITACION DE LA FUNCIONALIDAD Y DE LA DEAMBULACION. EVA 8 PUNTOS.\n</t>
  </si>
  <si>
    <t>TOMAR 1 TABLETA VIA ORAL CADA 8 HORAS POR 3 MESES</t>
  </si>
  <si>
    <t>TOMAR 1 CAPSULA VIA ORAL CADA 12 HORAS POR 3 MESES</t>
  </si>
  <si>
    <t>MALOS RESULTADOS</t>
  </si>
  <si>
    <t>HIPERPROLATINEMIA.</t>
  </si>
  <si>
    <t>TOMAR UNA TABLETA CADA 7 DÍAS POR LAS NOCHES PERMANENTE POR 90 DÍAS.</t>
  </si>
  <si>
    <t>[ANASTROZOL] 1mg/1U</t>
  </si>
  <si>
    <t>PACIENTE CON DX DE CA DE SENO POSMENOPAUSICA RECEPTOR HORMONAL POSITIVO NO METASTASICA  EN ADYUVANCIA CON ANASTROZOL.</t>
  </si>
  <si>
    <t xml:space="preserve">tomar una tableta vo diaria. FORMULACIÓN para tres meses. </t>
  </si>
  <si>
    <t>[IRBESARTAN] 300mg/1U</t>
  </si>
  <si>
    <t>PACIENTE REQUIERE DE ESTE MEDICAMENTO PARA SU MEJORÃA DE SALUD</t>
  </si>
  <si>
    <t>TOMAR 1 TABLETA CADA 12 HORAS POR 90 DIAS</t>
  </si>
  <si>
    <t>Falla respiratoria, ventilacion mecanica, sedacion, analgesia y relajacion, perdida de reflejo parpadeo natural, riesgo de ulceras cornales, por falta de lubricacion natural. Requiere proteccion ocular. Se desea prevenir Ãºlceras corneales y perdida visual asociada a resequedad ocular\n</t>
  </si>
  <si>
    <t>1 GOTA CADA 4 HORAS EN CADA OJO MIENTRAS ESTÉ EN VENTILACION MECÁNICA</t>
  </si>
  <si>
    <t>METRONIDAZOL</t>
  </si>
  <si>
    <t>NA</t>
  </si>
  <si>
    <t>[CALCIO] 315mg/1U ; [COLECALCIFEROL] 300UI/1U ; [ISOFLAVONA] 25mg/1U</t>
  </si>
  <si>
    <t>SE INDICA PARA TRATAR LOS SÃNTOMAS D LA MENOPAUSIA</t>
  </si>
  <si>
    <t>TOMAR UNA TAB VO CADA DIA DUARNTE 180 DIAS</t>
  </si>
  <si>
    <t>NO MEJORIA DE LAS CIFRAS TENSIONALES CON VARIOS ANTIHIPERTENSIVOS ORALES.</t>
  </si>
  <si>
    <t>[MINOXIDIL] 10mg/1U</t>
  </si>
  <si>
    <t>PCTE CON HIPERTENSION REFRACTARIA SIN MEJORIA DE LAS CIFRAS TENSIONALES CON LOSARTAN DOSIS MAXIMA MAS AMLODIPINO Y PRAZOSINA SE AGREGA MINOXIDIL PARA AJUSTE DE LAS CIFRAS TENSIONALES, MEJORIA.</t>
  </si>
  <si>
    <t>SE INDICA MINOXIDIL TABLETA 10 MG DIA POR 10  DIAS EN ESTANCIA HOSPITALARIA. TOTAL 10 TABLETAS.</t>
  </si>
  <si>
    <t>no metas</t>
  </si>
  <si>
    <t>[TIOTROPIO] 18Âµg/1Dosis</t>
  </si>
  <si>
    <t>paciente con epoc severo dependiente de oxigeno</t>
  </si>
  <si>
    <t xml:space="preserve">1 inhalacion diaria </t>
  </si>
  <si>
    <t>KETOTIFENO</t>
  </si>
  <si>
    <t>SINTOMAS PERSISTENTES</t>
  </si>
  <si>
    <t>PACIENTE FEMENINO DE 56 DE AÃOS DE EDAD CON DIAGNÃSTICO DE RINITIS Y  ASMA ALÃRGICA DE MÃS DE 25 AÃOS DE EVOLUCIÃN. SE LE REALIZA TEST DE ALERGIA POSITIVO A ÃCAROS DEL POLVO , HONGOS DE LA HUMEDAD, CABALLO Y GATO. SE REALIZA TEST DE ALERGIA DEL 11/22/19 + PARA HONGOS DE LA HUMEDAD, GATO Y CABALLO  HEMOGRAMA : EOSINOFILOS 13.41 % NORMAL HASTA 5 , EOSINOFILOS ABS:  9</t>
  </si>
  <si>
    <t>TOMAR UNA TABLETA POR LAS NOCHES</t>
  </si>
  <si>
    <t>no control pobre tolerancia</t>
  </si>
  <si>
    <t>[PRAMIPEXOL DIHIDROCLORURO MONOHIDRATO] 4,5mg/1U</t>
  </si>
  <si>
    <t>no cotrol a medicaio  pos, de eleccion controld e sintomas leevs  a severos</t>
  </si>
  <si>
    <t>tomar una cada dia no suspender</t>
  </si>
  <si>
    <t>[CIPROTERONA ACETATO] 2mg/1U ; [ETINILESTRADIOL] 0,03mg/1U</t>
  </si>
  <si>
    <t>para manejo de ovario poliquistico y hemorragias</t>
  </si>
  <si>
    <t xml:space="preserve">tomar una tableta el primer dia del periodo continua por 3 meses </t>
  </si>
  <si>
    <t>PACIENTE CON DISFUNCIÃN ERECTIL Y SINTOMAS DEL TRACTO URINARIO INFERIOR SECUNDARIOS A HIPERPLASIA PROSTÃTICA. EL TADALAFIL MEJORA AMBOS SÃNTOMAS</t>
  </si>
  <si>
    <t>TOMAR UNA DIARIA</t>
  </si>
  <si>
    <t>[OMALIZUMAB] 150mg/1ml</t>
  </si>
  <si>
    <t>PACIENTE FEMENINO DE 24 AÃOS DE EDAD REMITIDO DEL SERVICIO DE MEDICINA INTERNA ANTECEDENTES DE ALERGIA A INGESTA DE CERDO Y PIÃA CON DX DE RINITIS Y URTICARIA ALÃRGICA DE 2 AÃOS DE EVOLUCIÃN ACUDE POR EDEMA FACIAL SIN CAUSA APARENTE HA RECIBIDO TRATAMIENTO CON CORTICOIDE Y  MOLÃCULAS DEL POS COMO LORATADINA CON ESCASA MEJORIA CLINICA ADEMAS DE CUIDADOS AMBIENTALES SIN LOGRAR LA MEJORIA DESEADA.TRAE IGE DE 238. SE LE REALIZA TEST DE ALERGIA POSITIVO A ÃCAROS DEL POLVO CASERO, HONGOS DE LA HUMEDAD</t>
  </si>
  <si>
    <t>APLICAR DOS AMPOLLAS MENSUALES SIN PERDER CONTINUIDAD</t>
  </si>
  <si>
    <t>PACIENTE CON IVP.</t>
  </si>
  <si>
    <t>TOMAR 1 TBL CADA 12 HORAS.</t>
  </si>
  <si>
    <t>[TOXINA BOTULINICA] 100U/1U</t>
  </si>
  <si>
    <t>023</t>
  </si>
  <si>
    <t>INTRADERMICA</t>
  </si>
  <si>
    <t>PACIENTE CON DIAGNOSTICO DE BLEFAROSPASMO QUE NO MEJORA CON MEDICAMENTO ORAL POR LO QUE SE LE ORDENA TOXINA BOTULINICA 100 UNIDADES 4.8 MG 2 AMPOLLAS</t>
  </si>
  <si>
    <t>SE LE ORDENA TOXINA BOTULINICA 100 UNIDADES 4.8 MG 2 AMPOLLAS</t>
  </si>
  <si>
    <t xml:space="preserve">no control pobre tolerancia </t>
  </si>
  <si>
    <t>[ROTIGOTINA 8mg/24h] 18mg/1U</t>
  </si>
  <si>
    <t>C42968</t>
  </si>
  <si>
    <t>SISTEMAS TRASNDERMICOS</t>
  </si>
  <si>
    <t>062</t>
  </si>
  <si>
    <t>TRANSDERMICA</t>
  </si>
  <si>
    <t xml:space="preserve">de eleccion controld e sitnomas leves a severos personal jove y avanzada </t>
  </si>
  <si>
    <t>PARCHE</t>
  </si>
  <si>
    <t>colocar uno cada dia</t>
  </si>
  <si>
    <t>PACIENTE DE 79+ AÃOS, HTA EN TTO CON NIFEDIPINO 30 x 1 - ASA 100 x 1 - ATORVASTATINA 20 x 1 \nADEMAS CON GLAUCOMA BILATERAL, EN TTO CON OFTALMOLOGIA, CON LATANOPROST, BRIMODININA Y TIMOLOL 0.5% \nMANIFIESTA SENTIRSE BIEN, REFIERE CEFALEA FRECUENTE, MAREOS OCASIONALES, NO TINITUS, NO VE POR OJO IZQUIERDO Y MUY POCO POR OJO DERECHO, TIENE GLAUCOMA, NO TOS, NO DISNEA, NO DOLOR EN EL PECHO, NO PALPITACIONES, PIROSIS FRECUENTE, NO COLICOS, NO DISURIA, NO EDEMAS</t>
  </si>
  <si>
    <t>APLICAR UNA GOTA CADA 24 HORAS EN AMBOS OJOS</t>
  </si>
  <si>
    <t>SIN MEJORÍA</t>
  </si>
  <si>
    <t>SE INDICA ACETAMINOFEN CON CODEINA COMO ALTERNATIVA PARA EL MANEJO DEL DOLOR ARTICULAR EN MANOS Y RODILLAS, Y DEL DOLOR DE TIPO MECÃNICO EN HOMBRO, POR FALLA A MEDICAMENTOS DEL PBS</t>
  </si>
  <si>
    <t>[ORLISTAT] 120mg/1U</t>
  </si>
  <si>
    <t>paciente con obesidad grado II  imc 39 desde la infancia.  se excluyo causa endocrina asociada.  tiene cambios de prediabetes, se beneficia de reduccion de peso para reducir riesgo cardiovascular y progresion a diabetes tipo 2.  con inicio de orlistat se logra reduccion de 5 kg con los primeros meses de tratamiento.  se renueva formulacion con indicacion de manejo nutricional y ejercicio concomitante.</t>
  </si>
  <si>
    <t>tomar una capsula con desayuno, almuerzo y cena.</t>
  </si>
  <si>
    <t>[DICLOFENACO SODICO] 1mg/1ml</t>
  </si>
  <si>
    <t xml:space="preserve">PACIENTE EN CONTROL POR QUERATITIS EN OJO IZQUIERDO EN CONSULTA SE OBSERVA MEJORIA DE LA QUERATITIS HERPETICA, QUEDA LEUCOMA CORNEAL, CAMARA ANTERIOR NORMAL, CRISTALINO CLARO SE INDICA TRATAMIENTO CON ANTIINFLAMATORIO PARA MEJORIA DEL DOLOR E INFLAMACION DEBIDO A LA QUERATIRIS HERPETICA </t>
  </si>
  <si>
    <t>APLICAR 1 GOTA CADA 8 HORAS EN OJO IZQUIERDO POR UN MES</t>
  </si>
  <si>
    <t xml:space="preserve">HIPERPROLACTINEMIA. SEVERA. </t>
  </si>
  <si>
    <t xml:space="preserve">TOMAR UNA TABLETA TODAS LAS NOCHES PERMANENTE POR 90 DIAS. </t>
  </si>
  <si>
    <t>PACIENTE QUE REQUIERE MEDICAMENTO ANTIALERGICO PARA DISMINUIR SINTOMATOLOGIA DE PRURITO Y SENSACION DE CUERPO EXTRAÃO Y ASI PROPORCIONAR \nMEJORIA CLINICA. INDICADO EN EL ALIVIO DE LOS SÃNTOMAS Y SIGNOS DE LA CONJUNTIVITIS ALÃRGICA.\n</t>
  </si>
  <si>
    <t>Solucion Oftalmica Frasco x 3 mL, 1 GOTA cada 24 Hora(s) en Ambos ojos por 3 Mes(es) Suministar: 3 Frasco(s)</t>
  </si>
  <si>
    <t>Solucion Oftalmica LIBRE DE CONSERVADORES. Frasco x 10 mL, 1 GOTA cada 4 Hora(s) en Ambos ojos por 3 Mes(es) Suministar: 6 Frasco(s)</t>
  </si>
  <si>
    <t>Solucion Oftalmica LIBRE DE CONSERVADORES. Frasco x 10 mL, 1 GOTA cada 6 Hora(s) en Ambos ojos por 3 Mes(es) Suministar: 4 Frasco(s)</t>
  </si>
  <si>
    <t>ACIDO RETINOICO</t>
  </si>
  <si>
    <t>no hubo mejoria</t>
  </si>
  <si>
    <t>[IMIQUIMOD] 5g/100g</t>
  </si>
  <si>
    <t>aplicar en sitios d piel indicados en cara y en miembros superiores en las noches alternas donde presenta lesiones hiperqueratÃ³sicas , se explica puede ocasionar IRRITACIÃN</t>
  </si>
  <si>
    <t>aplicar en sitios indicados en noches alternas y en el dia proteger del sol</t>
  </si>
  <si>
    <t>Solucion Oftalmica LIBRE DE CONSERVADORES. Frasco x 10 mL, 1 GOTA cada 8 Hora(s) en Ambos ojos por 3 Mes(es) Suministar: 3 Frasco(s)</t>
  </si>
  <si>
    <t>METFORMINA|GLIBENCLAMIDA</t>
  </si>
  <si>
    <t>NO CONTROL, GLUCÉMICO</t>
  </si>
  <si>
    <t>DIABETES TIPO 2 NO CONTROL CON DOSIS TOPE DE MEDICACIÃN ORAL</t>
  </si>
  <si>
    <t>NO SUSPENDER SIN ORDEN MEDICA</t>
  </si>
  <si>
    <t>NO CONTROL CLÍNICO</t>
  </si>
  <si>
    <t>PACIENTE CON EPOC SEVERO NO RESPONDIÃ A TERAPIA DE ACCIÃN CORTA MÃS CORTICOIDES</t>
  </si>
  <si>
    <t>ENTREGAR 1 DISCO POR MES DURANTE 6 MESES</t>
  </si>
  <si>
    <t>CLOROQUINA</t>
  </si>
  <si>
    <t>NO CONTROL CLINICO</t>
  </si>
  <si>
    <t>[HIDROXICLOROQUINA SULFATO] 200mg/1U</t>
  </si>
  <si>
    <t>PACIENTE CON ARTRITIS REUMATOIDEA QUE SE MANEJO CON PREDNISOLONA MAS CLOROQUINA SIN RESPUESTA CLÃNICA POR LO QUE SE ICNIO HIDROXICLOROQUINA MAS DEFLAZACORT CON EXCELENTE RESPUESTA</t>
  </si>
  <si>
    <t>NON SUSPENDER SIN ORDEN MEDICA</t>
  </si>
  <si>
    <t>ES UN MEDICAMENTO INDICADO PARA LA DISMINUCIÃN A LARGO PLAZO DE PRESIÃN INTRAOCULAR DE PACIENTE CON GLAUCOMA DE ANGULO ABIERTO O CON HIPERTENCION OCULAR.</t>
  </si>
  <si>
    <t>Administrar en Goteo</t>
  </si>
  <si>
    <t>KRYTANTE SIN PRESERVANTES</t>
  </si>
  <si>
    <t>PACIENTE CON OJO SECO QUE REQUIERE LUBRICANTES OCULARES PARA MANEJO DE SINTOMAS Y EVITAR DETERIORO DE LA SUPERFICIE OCULAR, NO EXISTEN LUBRICANTES OCULARES EN EL POS POR LOQUE SE INDICA MEDICACION COMERCIAL.</t>
  </si>
  <si>
    <t xml:space="preserve">APLICACION EN AMBOS OJOS </t>
  </si>
  <si>
    <t>VANCOMICINA|PIPERACILINA</t>
  </si>
  <si>
    <t>persiste con deterioro clinico, y radiologico a pesar del manejo</t>
  </si>
  <si>
    <t>[VORICONAZOL] 200mg/1U</t>
  </si>
  <si>
    <t>PACIENTE CON DETERIORO DEL PATRON RESPIRATORIO, MAYOR COMPROMISO PARENQUIMATOSO PULMONAR EVIDENCIADO EN RX DE TORAX, EN EL MOMENTO SIN CAUSA AUN ESTABLECIDA Y SIN AISLAMIENTO DE GERMENES. DENTRO DE LAS POSIBILIDADES INFECCIOSAS AUN NO CUBIERTAS ESTAN LAS INFECCIONES FUNGICAS, POR LO QUE SUGERIMOS INICIAR VORICONAZOL CON EL CUAL OFRECEMOS COBERTURA PARA CRIPTOCOCO , ASPERGILLUS E HISTOPLASMA</t>
  </si>
  <si>
    <t>600 mg iv cada 12 horas por 24 horas y continuar 400 mg iv cada 12 horas por 14 dias</t>
  </si>
  <si>
    <t>LATANOPROST</t>
  </si>
  <si>
    <t>NO CONTROLO LA PRESION INTRAOCULAR</t>
  </si>
  <si>
    <t>Minimizar riesgo de progresiÃ³n de daÃ±o glaucomatoso. Se ordena medicamento de manera permanente, ya que de no ser tratado el glaucoma conlleva a daÃ±os en el nervio Ã³ptico y cuando esto sucede es irreversible, razÃ³n por la cual hay que mantener la presiÃ³n intraocular dentro de lÃ­mites normales, porque aunque no se consiga recuperar visiÃ³n evita que se pierda progresivamente la que se tiene</t>
  </si>
  <si>
    <t>UNA GOTA EN AMBOS OJOS CADA 12 HORAS POR 4 MESES</t>
  </si>
  <si>
    <t>Gel Oftalmico 0.25g/100g Frasco x 10 g, 1 GOTA cada 12 Hora(s) en Ambos ojos por 3 Mes(es) Suministar: 3 Frasco(s)</t>
  </si>
  <si>
    <t>Solucion Oftalmica Frasco x 15 mL, 1 GOTA cada 4 Hora(s) en Ambos ojos por 3 Mes(es) Suministar: 4 Frasco(s)</t>
  </si>
  <si>
    <t xml:space="preserve"> Solucion Oftalmica LIBRE DE CONSERVADORES. Frasco x 10 mL, 1 GOTA cada 4 Hora(s) en Ambos ojos por 3 Mes(es) Suministar: 6 Frasco(s)</t>
  </si>
  <si>
    <t xml:space="preserve">RECOMENDACION GENERAL ENTREGAR BETASERC </t>
  </si>
  <si>
    <t>TIMOLOL</t>
  </si>
  <si>
    <t xml:space="preserve">NO HAY SUFICIENTE DISMINUCIÓN DE LA PRESIÓN INTRAOCULAR </t>
  </si>
  <si>
    <t>PACIENTE CON GLAUCOMA PRIMARIO DE ANGULO ABIERTO, LO CUAL ESTUVO ENTRATAMIENTO CON MEDICAMENTO POS (TIMOLOL) PERO NO HUBO SUFICIENTE DISMINUCIÃN DE LA PIO SE ENVIO TRATAMIENTO CON MEDICAMENTO NO POS DORZOLAMIDA+TIMOLOL+BRIMONIDINA. PRESENTA ARDOR, SENSACIÃN DE CUERPO EXTRAÃO CON EL USO DE MEDICAMENTO GENÃRICO, SE RECETA TRATAMIENTO CON (COMERCIAL) YA QUE CON ESTE NO PRESENTA REACCIÃN ADVERSA.\n\n\n\n\n\n\n\n\n</t>
  </si>
  <si>
    <t xml:space="preserve">APLICAR UNA GOTA CADA 12 HORAS EN AMBOS OJOS UN FRASCO MENSUAL, DURANTE 3 MESES </t>
  </si>
  <si>
    <t>METOPROLOL</t>
  </si>
  <si>
    <t xml:space="preserve">NO MEJORIA </t>
  </si>
  <si>
    <t>[METOPROLOL SUCCINATO] 50mg/1U</t>
  </si>
  <si>
    <t>PACIENTE CON ANTECEDENTES YA ANOTADOS, EL EXAMEN FÃSICO CIFRAS TENSIONALES FUERA DE METAS, TRAE MAPA CON HIPERTENSION\nARTERIAL ESTADIO I, SE SUSPENDE METOPROLOL TARTRATO, SE INICIA METOPROLOL SUCCINATO 50MG DIA, AMLODIPINO 5 MG 8 DE LA NOCHE , SE\nSOLICITA ECO TT, MAPA, BUN, CREATININA, PERFIL LIPIDICO, TSH, FÃSFORO, CALCIO, POTASIO, SODIO, CONTROL CARDIOLOGIA EN 1 MESPACIENTE CON ANTECEDENTES YA ANOTADOS, EL EXAMEN FÃSICO CIFRAS TENSIONALES FUERA DE METAS, TRAE MAPA CON HIPERTENSION\nARTERIAL EST</t>
  </si>
  <si>
    <t>PACIENTE CON ANTECEDENTES YA ANOTADOS, EL EXAMEN FÍSICO CIFRAS TENSIONALES FUERA DE METAS, TRAE MAPA CON HIPERTENSION\nARTERIAL ESTADIO I, SE SUSPENDE METOPROLOL</t>
  </si>
  <si>
    <t>[GABAPENTINA] 300mg/1U</t>
  </si>
  <si>
    <t>POLINEUROPATIA DIABETICA</t>
  </si>
  <si>
    <t>TOMAR 1 CAPSULA CADA 12 HORAS POR 3 MESES</t>
  </si>
  <si>
    <t>Paciente de 86 aÃ±os, femenina, con antecedentes de HTA, niega antecedentes cardiovasculares, Neumopatia cronica por exposicion a biomasa humo de leÃ±a, kerosen, ITU , FIBRILACION AURICULAR, SE INDICA RIVAROXABAN 20 MG AL DIA POR 3 MESES\n\n</t>
  </si>
  <si>
    <t>RIVAROXABAN</t>
  </si>
  <si>
    <t>[BISOPROLOL FUMARATO] 10mg/1U</t>
  </si>
  <si>
    <t>ACIENTE DE 86 AÃOS, FEMENINA, CON ANTECEDENTES DE HTA, NIEGA ANTECEDENTES CARDIOVASCULARES, NEUMOPATIA CRONICA POR EXPOSICION A BIOMASA HUMO DE LEÃA, KEROSEN, ITU , FIBRILACION AURICULAR, SE INDICA BISOPROLOL 10 MG AL DIA POR 3 MESES\n\n</t>
  </si>
  <si>
    <t>BISOPROLOL</t>
  </si>
  <si>
    <t>hipotension refractaria</t>
  </si>
  <si>
    <t>hipotension refractaria, paciente postoperado de reemplazo de valvula aortica y aorta ascendente</t>
  </si>
  <si>
    <t>Vasopresina ampolla 20 UI\nUSO: Diliur 2 ampollas (40 unidades) en 100 cc de SSN 0.9% y administrar en infusion continua a razón de 5\nunidades hora, titular de a</t>
  </si>
  <si>
    <t>[DABIGATRAN ETEXILATO] 110mg/1U</t>
  </si>
  <si>
    <t>[ACIDO TIOCTICO] 600mg/1U</t>
  </si>
  <si>
    <t>TOMAR 1 TABLETA CADA 8 HORAS POR 3 MESES</t>
  </si>
  <si>
    <t>APLICAR 1 GOTA CADA 12 HORAS EN AMBOS OJOS</t>
  </si>
  <si>
    <t>PACIENTE FEMENINA PRETERMINO DE 35 SEMANAS CON BUENA ACTITUD VISUAL EN AMBOS OJOS CON REFLEJO ROJO PRESENTE ENAMBOS OJOS SIN MAS PARTICULARIDAD, SOSPECHA DE RET</t>
  </si>
  <si>
    <t>[FENILEFRINA CLORHIDRATO] 50mg/1ml ; [TROPICAMIDA] 5mg/1ml</t>
  </si>
  <si>
    <t>PACIENTE FEMENINA PRETERMINO DE 35 SEMANAS CON BUENA ACTITUD VISUAL EN AMBOS OJOS CON REFLEJO ROJO PRESENTE ENAMBOS OJOS SIN MAS PARTICULARIDAD, SOSPECHA DE RETINOPATIA.</t>
  </si>
  <si>
    <t>ADMINISTRAR UNA GOTA EN CADA OJO DOSIS UNICA PARA VALORACION POR OFTALMOLOGIA</t>
  </si>
  <si>
    <t>PACIENTE REQUIERE MEDICAMENTO PARA EL alivio temporal de la irritaciÃ³n, picazÃ³n, ardor y molestias que se presentan en el sÃ­ndrome de resequedad ocular, sea este moderado o severo, de cualquier etiologÃ­a, incluyendo la irritaciÃ³n ocular causada por el viento y exposiciÃ³n al sol.</t>
  </si>
  <si>
    <t>PACIENTE REQUIERE TTO CON SUSTITUTODE LÁGRIMAS, EN SINDROME DE SEQUEDAD OCULAR. FRASCO POR 15 ML.</t>
  </si>
  <si>
    <t>[BEVACIZUMAB] 25mg/1ml</t>
  </si>
  <si>
    <t>CA DE CERVIX BULKI IB PERO CON COMPROMISO DE VAGINA, QUIEN REALIZO RADIOTERAPIA RADICAL, BRAQUITERAPIA Y LLEVA 4TO CICLOS DE QT CON BUENA TOLERANCIA , ASINTOMATICA NIEGA SANGRADO Y FLUJO, CITOLOGIA VAGINAL NEGATIVA DS: ACUDE A CONTROL RECIBIO 5Â° CICLO DE MANEJO CON ACEPTABLE TOLERANCIA, REFIERE NAUSEAS. DIURESIS Y DEPOSICIONES NORMALES. ACEPTABLE TOLERANCIA.NO FIEBRE. NO REFIERE DOLOR. 27-01-2020 NEOPLASIA DE CERVIX E IB EL CUAL HA TERMINADO TTO MULTIDISCIPLINARIO CONSOLIDAREMOS CON BEVACIZUMAB</t>
  </si>
  <si>
    <t xml:space="preserve">APLICAR 800 MILIGRAMOS INTRAVENOSO DIA 1 Y DIA 8, SEGUN PROTOCOLO DE QUIMIOTERAPIA </t>
  </si>
  <si>
    <t>PACIENTE CON DM DE DIFICIL MANEJO</t>
  </si>
  <si>
    <t>[BORTEZOMIB] 3,5mg/1U</t>
  </si>
  <si>
    <t xml:space="preserve">paciente con diagnostico de mieloma multiple quien se encuentra recibiendo protocolo de terapia antineoplasica vtd se solicita medicamento para cumplimiento de su cuarto ciclo </t>
  </si>
  <si>
    <t xml:space="preserve">aplicar 2,2 mg ev los dias 1,4,8 y 11 de cada ciclo </t>
  </si>
  <si>
    <t>ESTROGENOS CONJUGADOS</t>
  </si>
  <si>
    <t>ALERGIAS</t>
  </si>
  <si>
    <t>ESTE MEDICAMENTO ES DE REEMPLAZO HORMONAL PARA LA PACIENTE</t>
  </si>
  <si>
    <t>PREDNISONA|METILPREDNISOLONA|AZATIOPRINA</t>
  </si>
  <si>
    <t>refractariedad</t>
  </si>
  <si>
    <t>[ROMIPLOSTIM] 250Âµg/1U</t>
  </si>
  <si>
    <t xml:space="preserve">paciente con diagnostico de purpura trombocitopenia inmune quien se encuentra en terapia con romiplostim debido a refractariedad a los esteroides e einmunomoduladores ademas de la esplenectomia </t>
  </si>
  <si>
    <t xml:space="preserve">aplicar 250 mcg subcutaneo semanal </t>
  </si>
  <si>
    <t>[ETORICOXIB] 60mg/1U</t>
  </si>
  <si>
    <t xml:space="preserve">PACIENTE REQUIERE DE ESTE MEDICAMENTO PARA SU MEJORA DE SALUD </t>
  </si>
  <si>
    <t>TOMAR 1 TABLETA CADA 24 HORAS POR 60 DIAS EN LAS NOCHES</t>
  </si>
  <si>
    <t>Solucion  Oftalmica Frasco x 5 mL, 1  GOTA cada 12 Hora(s) en Ambos ojos por 4 Mes(es)  Suministar: 5 Frasco(s)</t>
  </si>
  <si>
    <t>[CARBOXIMETILCELULOSA SODICA] 5mg/1ml ; [GLICEROL] 9mg/1ml ; [HIALURONATO DE SODIO] 1mg/1ml</t>
  </si>
  <si>
    <t>Solucion Oftalmica Frasco x  15 mL, 1 GOTA  cada 8 Hora(s) en Ambos ojos por 4 Mes(es)  Suministar: 3 Frasco(s)</t>
  </si>
  <si>
    <t>[MOSAPRIDA] 5mg/1U</t>
  </si>
  <si>
    <t xml:space="preserve">PX MANIFIESTA CONTINUAR CON REGURGITACIONES ACIDAS DE PREDOMINIO NOCTURNO. SE CONTINUA TTO MOSAPRIDA YA QUE ACTUA ESTIMULANDO LA MOTILIDAD DE LA PORCION INICIAL DEL TUBO DIGESTIVO, ACELERANDO LA EVACUIACION GASTRICA Y COMBINADA CON ESOMEPRAZOL MEJORA LA FUNCION ESOFAGICA EN PACIENTES CON REFLUJO GASTROESOFAGICO. </t>
  </si>
  <si>
    <t>TOMAR UNA TABLETA 20 MINUTOS ANTES DE CADA COMIDA POR 4 MESES.</t>
  </si>
  <si>
    <t>LA PACIENTE PERSISTE CON LA PARASITOSIS</t>
  </si>
  <si>
    <t>[SECNIDAZOL] 750mg/15ml</t>
  </si>
  <si>
    <t xml:space="preserve">DAR 5 CC CADA 12 HORAS POR 3 DIAS </t>
  </si>
  <si>
    <t>DAR MEDIA TABLETA EN LAS MAÑANAS,DAR UNA TABLETA EN LAS NOCHES POR DOS MESES.</t>
  </si>
  <si>
    <t>risperidona es un medicamento con evidencia cientÃ­fica en el manejo de control de impulsos en ADOLESCENTES con agresividad marcada que pone en riesgo la seguridad de las demÃ¡s personas.</t>
  </si>
  <si>
    <t>pcte masculino de 76 aÃ±os de edad quien viene con dx: epoc por antecedentes de tabaquismo y de inhalaciÃ³n de gases y humo, actualmente TOS ocasional, DISNEA CON LA TOS y en horas de la madrugada o con olores, fuertes cambios de temperatura. NO FIEBRE, NIEGA EDEMA, hta, no dm, al examen fisico: no crepitos, no sibilantes, DATOS DE ATRAPAMIENTO AÃREO.corazÃ³n ritmico. orl asignolÃ³gico, SE ORDENA NUEVAMENTE SPIOLTO Y HACER REHABILITACIÃN PULMONAR.</t>
  </si>
  <si>
    <t>hacerse 2 inhalaciones juntas al dia durante 4 meses.</t>
  </si>
  <si>
    <t>aplicar una  gota cada 12 horas</t>
  </si>
  <si>
    <t>[HIALURONATO DE SODIO] 2mg/1ml</t>
  </si>
  <si>
    <t>Solucion Oftalmica 2 mg/mL Frasco x 10 mL, 1 GOTA  cada 8 Hora(s) en Ambos ojos por 3 Mes(es)  Suministar: 3 Frasco(s)</t>
  </si>
  <si>
    <t xml:space="preserve">paciente masculino de 25 aÃ±os quien rfiere que  ha mejorado de los episodios del prurito ocular y eritema conjuntival por lo que se le indikca continuaur con el trtamiento para controlar los sintomas </t>
  </si>
  <si>
    <t xml:space="preserve">se le indica aplicar una gota acada 12 horas en cada ojo para controlar los sintomas </t>
  </si>
  <si>
    <t>[ISOTRETINOINA] 20mg/1U</t>
  </si>
  <si>
    <t>paciente acude a consulta de control con DIAGNOSTICO de ACNÃ  de larga data ,con poca MEJORÃA con tratamientos usados,en el momento en uso de isoface y MEJORÃA importante del cuadro,presenta maculas hipercromicas irregulares en cara y tronco por lo que requiere continuar tratamiento</t>
  </si>
  <si>
    <t>tomar una diaria con el almuerzo durante 3 meses</t>
  </si>
  <si>
    <t>FRACASO EN TERAPIA CON ANTIHIPERTENSIVOS ARAII POR LO CUAL SE INICIA MINOXIDIL INDICADO EN LA ERC.</t>
  </si>
  <si>
    <t>Disminuye la presiÃ³n arterial sistÃ³lica y diastÃ³lica elevada reduciendo la resistencia vascular perifÃ©rica por vasodilataciÃ³n. La musculatura lisa de los vasos de resistencia debe ser considerada como el lugar de acciÃ³n para el efecto relajante de minoxidil. El metabolito activo de minoxidil activa el canal de potasio modulado por ATP (K+ ATP) produciendo un flujo de salida de K+, hiperpolarizaciÃ³n y relajaciÃ³n del mÃºsculo liso.</t>
  </si>
  <si>
    <t xml:space="preserve">DISMINUYE LA PRESIÓN ARTERIAL SISTÓLICA Y DIASTÓLICA ELEVADA REDUCIENDO LA RESISTENCIA VASCULAR PERIFÉRICA POR VASODILATACIÓN CON ERC. </t>
  </si>
  <si>
    <t>[POLIMIXINA B] 500000UI/1U</t>
  </si>
  <si>
    <t>paciente con reporte de cultivo de secrecion abdominal positivo para pKlebsiella pneumoniae resistente a carbapenemicos, valorada por infectologia quien ordena inicio de: Fosfomicina amp x 4 gr, dar 8 gr IV cada 8 hr , Polimixina B amp x 500.000 UI, (1.500.000 mill carga y continuar con 1.000.000 IV cada 12 hr), Tigeclicina amp x 100 mg, carga de 200 mg y continuar 100 mg IV cada 12 hr..\n</t>
  </si>
  <si>
    <t>0187</t>
  </si>
  <si>
    <t>millones de unidadades internacionales</t>
  </si>
  <si>
    <t>millon UI</t>
  </si>
  <si>
    <t>Solucion Oftalmica Frasco x 15 mL, 1 GOTA cada 8 Hora(s) en Ambos ojos por 3 Mes(es) Suministar: 2 Frasco(s)</t>
  </si>
  <si>
    <t>fallo</t>
  </si>
  <si>
    <t>fallo a AINE y probable fractura vertebral</t>
  </si>
  <si>
    <t xml:space="preserve">tomar 1tableta mañana, tarde y noche </t>
  </si>
  <si>
    <t>CALCIO</t>
  </si>
  <si>
    <t>[VITAMINA D3] 2000UI/1U</t>
  </si>
  <si>
    <t>NIVELES SUBOTIMOS CON pth ELEVADA</t>
  </si>
  <si>
    <t>TOMAR 2 TABLETAS JUNTAS</t>
  </si>
  <si>
    <t>NEUMONIA ATIPICA</t>
  </si>
  <si>
    <t>[CLARITROMICINA] 500mg/1U</t>
  </si>
  <si>
    <t>PACIENTE CN NEUMONIA BACTERIANA Y ATIPICA, CON ANTECEDENTES DE HOSPITALIZACION, HACE 1 SEMANA</t>
  </si>
  <si>
    <t xml:space="preserve">1 TAB VIA ORAL CADA 12HORAS POR 10 DIAS </t>
  </si>
  <si>
    <t>PACIENTE CON DOLOR NEUROPÃTICO QUE REQUIERE EL USO DE PREGABALINA POR SER UNICO CON ACCIÃN MOR-NRI AUMENTA NIVELES DE NORADRENALINA Y SEGÃN ESTUDIOS ES EFICAZ EN DOLOR NEUROPÃTICO MODERADO â SEVERO DE CARÃCTER AGUDO. AL COMPARAR CON NEUROMODULADORES ES MEJOR TOLERADO.\n</t>
  </si>
  <si>
    <t>SE SUGIERE LYRICA POR PRESENTAR ESCASO MARGEN TERAPEUTICO CON OTRAS SUSTANCIAS.</t>
  </si>
  <si>
    <t>RNPT con dificultad RESPIRATORIA, lo requiere para PREVENCIÃN de apneas, y mejorar desenlaces respiratorios</t>
  </si>
  <si>
    <t>RNPT CON DIFICULTAD RESPIRATORIA, LO REQUIERE PARA PREVENCIÓN DE APNEAS, Y MEJORAR DESENLACES RESPIRATORIOS</t>
  </si>
  <si>
    <t>[AMLODIPINO] 10mg/1U ; [IRBESARTAN] 300mg/1U</t>
  </si>
  <si>
    <t>PACIENTE CON HTA DE DIFICIL CONTROL EN QUIEN SE HACE NECESARIO DISMINUIR RIESGO CARDIOVASCULAR CON EL USO DE ARA 2 TIPO IRBESARTAN GUIAS KDIGO 2012</t>
  </si>
  <si>
    <t xml:space="preserve">TOMAR 1 TABLETA DIARIA DE APROVASC </t>
  </si>
  <si>
    <t xml:space="preserve">PACIENTE CON DIABETES MELLITUS EN EL CONTEXTO DE UNA HIPERTENSION ARTERIAL Y ERC, EN QUIEN SE HACE NECESARIO MANTENER BUENOS VALORES DE GLICEMIA Y HBAIC PARA DIMINUIR COMPLICAICONES MICRO Y MACROVASCULARES, CON EL USO DE SITAGLIPTINA METFORMINA. </t>
  </si>
  <si>
    <t xml:space="preserve">TOMAR 1 TABLETA CADA 12 HORAS. </t>
  </si>
  <si>
    <t>CLOZAPINA</t>
  </si>
  <si>
    <t>[BUPROPION CLORHIDRATO] 150mg/1U</t>
  </si>
  <si>
    <t>Bupropion es un medicamento antidepresivo que se usa en el tratamiento del trastorno depresivo mayor y el trastorno afectivo de las estaciones. La marca de bupropion Zyban se usa para ayudar al paciente a dejar de fumar disminuyendo la ansiedad y otros sÃ­ntomas de abstinencia.</t>
  </si>
  <si>
    <t>PACIENTE CON DIAGNOSTICO ANOTADO EN TRATAMIENTO CON [BUPROPION CLORHIDRATO] 150mg/1U CON BUEN CONTROL DE SU PATOLOGIA</t>
  </si>
  <si>
    <t>RESPUESTA CLINICA INSUFICIENTE</t>
  </si>
  <si>
    <t>[BUDESONIDA] 200Âµg/1Dosis ; [FORMOTEROL FUMARATO] 6Âµg/1Dosis</t>
  </si>
  <si>
    <t>PACIENTE QUE COMPENSA SU CONDICIÃN CLÃNICA GENERAL Y DE LA FUNCIÃN RESPIRATORIA CON EL USO SECUENCIAL DEL TRATAMIENTO ACTUAL, POR LO QUE DEBE CONTINUAR CON EL MISMO</t>
  </si>
  <si>
    <t>INHALAR UNA CÁPSULA, POR LA BOCA, CADA 12 HORAS. UTILIZAR EL DISPOSITIVO SUMINISTRADO</t>
  </si>
  <si>
    <t>TOMAR UNA TABLETA CADA 24 HORAS EN LA NOCHE</t>
  </si>
  <si>
    <t>ACIDO ALENDRONICO</t>
  </si>
  <si>
    <t>[DENOSUMAB] 60mg/1ml</t>
  </si>
  <si>
    <t>intolerancia a los bifosfonatos.</t>
  </si>
  <si>
    <t>aplicar 1 ampolla subcutánea cada 6 meses</t>
  </si>
  <si>
    <t xml:space="preserve">PACIENTE QUE REQUIERE DEL MEDICAMENTO PARA MEJORAR ARDOR Y OJO ROJO </t>
  </si>
  <si>
    <t xml:space="preserve">1 GOTA CADA 6 HORAS AO </t>
  </si>
  <si>
    <t xml:space="preserve">POBRECONTROL DE LOS SINTOMAS Y EXACERBACCIONES </t>
  </si>
  <si>
    <t xml:space="preserve">CONTROL DE LOS SINTOMAS Y EXACERBACCIONES </t>
  </si>
  <si>
    <t>03</t>
  </si>
  <si>
    <t>1 INHALACION DIA POR 3 MESES</t>
  </si>
  <si>
    <t xml:space="preserve">no control de glicemia </t>
  </si>
  <si>
    <t xml:space="preserve">MC CONTROL \nIDX1 ) DM TIPO 2 DESCOMPENSDADA \n 2 ) HTA ESTADIO I NO CONTROLDADA\n 3 COLELITITIASIS SUB : REFORMULACION DE MIPRES DE MEDICAMENT NO POS PARA QUE LE PUEDE ENTREGAR MEDICAMENTO YA QUE EL MIPRES DEL 2019-09-10 ESTA âVENCIDOââ con combiacion de inh de dpp4 con metformina se ha logrado control de hbaci , po rlo que debe continuar con igual tto indicado . </t>
  </si>
  <si>
    <t xml:space="preserve">se hace hincapia en la frecuencia y regularidad del tratamianto. </t>
  </si>
  <si>
    <t xml:space="preserve">PACIENTE REQUIERE DL MEDICAMENTO PARA CONTROLAR OJO SECO, ARDOR OCULAR SENSACIÃN DE CUERPO EXTRAÃO Y ASI EVITAR DAÃOS EN LA CORNEA </t>
  </si>
  <si>
    <t xml:space="preserve">APLICAR EN AMBOS OJOS </t>
  </si>
  <si>
    <t>FLUCTUACIONES MOTORAS EN PARKINSON AVANZADO</t>
  </si>
  <si>
    <t>[RASAGILINA] 1mg/1U</t>
  </si>
  <si>
    <t>ENFERMEDAD DE PARKINSON DE 4 AÃOS DE EVOLUCIÃN, CON FLUCTUACIONES MOTORAS Y BUENA RESPUESTA A TERAPIA COMBINADA CON LEVODOPA Y CARBIDOPA MÃS RASAGILINA</t>
  </si>
  <si>
    <t>RAGITAR, TABLETAS 1 MGS, TOMAR NA AL DIA, 30 AL MES POR 3 MESES</t>
  </si>
  <si>
    <t>[DULOXETINA] 30mg/1U</t>
  </si>
  <si>
    <t>PACIENTE CON FIBROMIAGLIA CON DOLOR CRONICO OSTEOMUSCULAR QUE REQUIERE MANEJO FARMACOLOGICO</t>
  </si>
  <si>
    <t>TOMAR 1 CAPSULA CADA DIA</t>
  </si>
  <si>
    <t>[CICLOBENZAPRINA CLORHIDRATO] 10mg/1U</t>
  </si>
  <si>
    <t>TOMAR 1 TABLETA CADA NOCHE</t>
  </si>
  <si>
    <t>[ESOMEPRAZOL] 20mg/1U ; [MELOXICAM] 7,5mg/1U</t>
  </si>
  <si>
    <t>TOMAR 1 TABLETA CADA DIA</t>
  </si>
  <si>
    <t>[SODIO FOSFATO DIBASICO] 6000mg/100ml ; [SODIO FOSFATO MONOBASICO] 16000mg/100ml</t>
  </si>
  <si>
    <t>054</t>
  </si>
  <si>
    <t>RECTAL</t>
  </si>
  <si>
    <t>PREPARACION DE COLON</t>
  </si>
  <si>
    <t>SUPOSITORIO</t>
  </si>
  <si>
    <t>PACIENTE DE 79 AÃOS CON ANTECEDENTES DE ENFERMEDAD CORONARIA CON RVM QX 04/JULIO/2016 CON 3 BYPASS AORTO CORONARIO AMI IZQUIERDA A ADA, VENA SAFENA AUTÃLOGA INVERTIDA A ARTERIA PRIMERA DIAGONAL Y SAFENA A ARTERIA DESCENDENTE POSTERIOR, HIPERTENSION ARTERIAL, INSUFICIENCIA MITRAL LEVE A MODERADA FEVI 47% POR ECO FEB/2019, DISLIPIDEMIA. EN EL MOMENTO ASINTOMÃTICO CARDIOVASCULAR.</t>
  </si>
  <si>
    <t>PACIENTE DE 79 AÑOS CON ANTECEDENTES DE ENFERMEDAD CORONARIA CON RVM QX 04/JULIO/2016 CON 3 BYPASS AORTO CORONARIO AMI IZQUIERDA A ADA, VENA SAFENA AUTÓLOGA INV</t>
  </si>
  <si>
    <t>[FLUTICASONA FUROATO] 27,5Âµg/1Dosis</t>
  </si>
  <si>
    <t>INHALATORIA NASAL</t>
  </si>
  <si>
    <t>PACIENTE MASCULINO DE 22 AÃOS QUIEN REFIERE QUE HA MEJORADO DE LOS EPISODIOS DE RINORREA HIALINA, ESTORNUDOS Y ERITEMA CONJUNTIVAL CON E TRTAMIENTO POR LO SQUE SE LE INDICA CONTINUAR CON EL TRTAMIENTO PARA CONTROLAR LOS SINTOMAS Y MEJORAR LA CALIDAD DE VIDA DEL PACIENTE</t>
  </si>
  <si>
    <t xml:space="preserve">SE LE INDICA APLICAR UN PUFF CADA 24 HORAS EN CADA FOSA NASAL PARA CONTROLAR LOS SINTOMAS </t>
  </si>
  <si>
    <t>no se logro control metabolico</t>
  </si>
  <si>
    <t>control METABÃLICO con esta MOLÃCULAS</t>
  </si>
  <si>
    <t xml:space="preserve">control estricto en la ADMINISTRACIÓN del medicamento </t>
  </si>
  <si>
    <t>[USTEKINUMAB] 45mg/1U</t>
  </si>
  <si>
    <t xml:space="preserve">: PLACAS ERITEMATODESCAMATIVAS PRURIGINOSAS EN CUERO CABELLUDO TRONCO , PIERNAS BRAZOS Y\nDOLORES ARTICULARES ASOCIADOS 15 AÃOS DE EVOLUCION NO MEJORIA A TRATAMIENTO CON\nMETOTREXATO QUE NO LO TOLERO LE PRODUJO NAUSEAS ,Y VOMITOS POR LO QUE LE INICIAN TERAPIA\nBIOLOGICA CON USTEKINUMAB 45 MG CADA 90 DIAS CON MEJORIA SE CONTINUA IGUAL TRATAMIENo </t>
  </si>
  <si>
    <t xml:space="preserve">no aplicar en c aso de infecciones </t>
  </si>
  <si>
    <t xml:space="preserve">PACIENTE MASCULINO DE 22 AÃOS QUIEN REFIERE QUE HA MEJIORADO DE LOS EPISODIOS DE ERITEMA CONJUNTIVAL </t>
  </si>
  <si>
    <t>SE LE INDICA APLICAR UNA GOTA CADA 24 HORAS EN CADA OJO PARA CONTROLAR LOS SINTOMAS</t>
  </si>
  <si>
    <t xml:space="preserve"> para el alivio de los sÃ­ntomas de la irritaciÃ³n y la sequedad ocular.</t>
  </si>
  <si>
    <t>APLICAR 1 GOTA CADA 6 HORAS EN AMBOS OJOS</t>
  </si>
  <si>
    <t>[ALPROSTADIL] 0,02mg/1ml</t>
  </si>
  <si>
    <t>PROSTAGLANDINA E1 INDICADA EN LA PATOLOGIA OBSTRUCTIVA DE ARTERIAS DE MMII FONTAINE IIIIV, SU NO ADMINISTRACION PUEDE CONLLEVARA A DTERIORO CLLINICO E INCLUSO LA AMPUTACION.</t>
  </si>
  <si>
    <t>POSTAGLANDINA E1 . ALPROTAPINT COLOCAR 40MCGR DILUIDOS EN 200CC DE SSN Y PASAR LENTO PARA 2 HORAS JELCO 22.</t>
  </si>
  <si>
    <t>TRAMADOL</t>
  </si>
  <si>
    <t>sin control del dolor</t>
  </si>
  <si>
    <t>paciente con cervicalgia somatica moderada, persistente, requiere medicaciÃ³n para control sintomatico</t>
  </si>
  <si>
    <t>tomar 1 tab cada 12 horas. no ingerir alcohol</t>
  </si>
  <si>
    <t>NITROFURANTOINA</t>
  </si>
  <si>
    <t xml:space="preserve">NO RESPUESTA AL TTO </t>
  </si>
  <si>
    <t>[POTASIO CITRATO] 1080mg/1U</t>
  </si>
  <si>
    <t xml:space="preserve">CITRATO DE POTASIO 1.080 MG X 10 MEQ X100 TAB TOMAR 1 TAB DIARIA X 100 DIAS REGISTR SANITARIO DE INVIMA 2012 M- 0012879,, ES UN SAL DE POTASIO LO CUAL HACE QUE LA ORINA SEA MAS ALCALINA, Y CONTRIBUYE A LA ELIMINACION DE CALCULOS RENALES. </t>
  </si>
  <si>
    <t xml:space="preserve">TTO X 100 DIAS </t>
  </si>
  <si>
    <t xml:space="preserve">paciente con diagnostico de INFECCIÃN por vih , presneta escabiosis por lo que se ENVÃA MANEJO con ivermectina para tratamiento de escabiosis </t>
  </si>
  <si>
    <t xml:space="preserve">tomar 76 gotas via oral dosis unica </t>
  </si>
  <si>
    <t xml:space="preserve">LA PACIENTE NO PRESENTA MEJORIA DEL DOLOR </t>
  </si>
  <si>
    <t xml:space="preserve">LA PACIENTE NO PRESENTA MEJORIA DEL DOLOR CON TRATAMIENTO CONVENCIONAL </t>
  </si>
  <si>
    <t xml:space="preserve">PACIENTE A TERMINO CON CARDIOPATIA CONGENITA COMPLEJA DUCTUS DEPENDIENTE TIPO VENTRICULO UNICO / VALVULA PULMONAR DILATADA / HIPOPLASIA DE ARCO AORTICO, RECIBIENDO INFUSION DE PROSTAGLANDINA, EN ESPERA DE REMISION A CENTRO CARDIOVASCULAR </t>
  </si>
  <si>
    <t xml:space="preserve"> 027 microgramo ENDOVENOSOS CADA 24 Hora EN INFUSION CONTINUA PROSTAGLANDINA 1 cc + 49 cc de DAD 5% , pasar a razón de 1.6 cc/hora por bomba de infusión </t>
  </si>
  <si>
    <t xml:space="preserve">MERNOS EFECTOS SECUNDARIOS </t>
  </si>
  <si>
    <t xml:space="preserve">PACIENTE PRETERMINO 32 SEMANAS CON DIFICULTAD RESPIRATORIA REQUIERE ESTIMULANTES CENTRALES EN LA PREVENCION DE APNEAS </t>
  </si>
  <si>
    <t>20 MG KG DE IMPREGNASION SEGUIR A 5 MG KG IV CADA 24 HORAS HASTA LAS 34 SEMANAS CORREGIDAS</t>
  </si>
  <si>
    <t>fallo a cloroquina</t>
  </si>
  <si>
    <t xml:space="preserve">tomar 1 diaria </t>
  </si>
  <si>
    <t>NO ADECUADA EVOLUCION DE HERIDA</t>
  </si>
  <si>
    <t xml:space="preserve">PIE DAIBETICO WAGNER III CON TEJIDO NECROTICO </t>
  </si>
  <si>
    <t>APLICAR SOBRE LA HERIDA CADA 72 HORAS</t>
  </si>
  <si>
    <t>[PILOCARPINA CLORHIDRATO] 5mg/1U</t>
  </si>
  <si>
    <t>medicamento indispensble para tratar sus sÃ­ntomas de resequedad ocular y oral y evitar complicaciones</t>
  </si>
  <si>
    <t>HIDROCORTISONA</t>
  </si>
  <si>
    <t>PERSISTENCIA DE LESIONES</t>
  </si>
  <si>
    <t>[DESONIDA] 0,05g/100g</t>
  </si>
  <si>
    <t>ANTIINFLAMATORIO</t>
  </si>
  <si>
    <t>APLICAR EN AREAS DE MANCHAS OSCURAS DE RODILLAS MANOS YPIES 14 NOCHES CONTINUAS YEN CODOS Y\nRODILLAS POR 20 NOCHES CONTINUAS YSUSPENDER.</t>
  </si>
  <si>
    <t>PACIENTE CON DOLOR MODERADO - SEVERO QUE SE BENEFICIA DEL USO DE UNA COMBINACIÃN ACETAMINOFEN/HIDROCODONA POR SU EFICACIA EN CONTROL DE DOLOR Y BUENA TOLERABILIDAD.\n</t>
  </si>
  <si>
    <t>SE SUGIERE SINALGEN POR PRESENTAR ESCASO MARGEN TERAPEUTICO CON OTRAS SUSTANCIAS</t>
  </si>
  <si>
    <t xml:space="preserve">PACIENTE REQUIERE DEL MEDICAMENTO PARA CONTROLAR OJO SECO, ARDOR OCULAR SENSACION DE CUERPO EXTRAÃO Y ASI EVITAR DAÃOS EN LA CORNEA </t>
  </si>
  <si>
    <t>[ACETILCISTEINA] 600mg/1U</t>
  </si>
  <si>
    <t>PACIENTE A QUIEN SE REALIZARA TAC DE ABDOMEN CONTRASTADO ACTUALMENTE CON LESION RENAL AGUDA POR LO QUE SE ORDENA BEFROPROTECCCION CON LIQUIDOS ENDOVENOSOS Y ACETILCISTEINA</t>
  </si>
  <si>
    <t>SIN INDICACIONES Y RECOMENDACIONES</t>
  </si>
  <si>
    <t>PACIENTE CON DIAGNOSTICO DE GLAUCOMA EN TRATAMIENTO CON TIMOLOL Y OJO SECO EN AMBOS OJOS, AL EXAMEN CLINICO BUT CORTO, HIPEREMIA CONJUNTIVAL PIO : 14/14 MMHG, EXC:OD : 0,6 %, OI :0,5% , DX : GLAUCOMA ANGULO ABIERTO AO Y OJOS SECOS, PLAN: CARBOXIMETILCELULOSA 0.5% APLICAR 1 GOTA 3 VECES AL DIA EN AMBOS OJOS. TRATAMIENTO PARA EVITAR LA SENSACION DE ARDOR Y RESEQUEDAD QUE CAUSAN LOS MEDICAMENTOS ANTIGLAUCOMATOSO</t>
  </si>
  <si>
    <t>PACIENTE MASCULINO DE 83 AÃOS CON ANTECEDENTES FLUTTER AURICULAR CHADS VASC 4, CARDIOPATÃA ISQUÃMICA CON FEVI DEL 54% POR ECO TT DE 20/01/2020, HIPERTENSION ARTERIAL, CATETERISMO CARDIACO CON IMPLANTE DE STENT EN ADA 2012 SIN LESIONES SIGNIFICATIVAS, CON IMPLANTE DE MARCAPASOS BICAMERAL 2012, EXPOSICIÃN AL HUMO DOMICILIARIO, EX FUMADOR, EN EL MOMENTO REFIERE DOLOR PRECORDIAL TIPO PUNZADA LEVE.PACIENTE MASCULINO DE 83 AÃOS CON ANTECEDENTES FLUTTER AURICULAR CHADS VASC 4, CARDIOPATÃA ISQUÃMICA CON</t>
  </si>
  <si>
    <t>PACIENTE MASCULINO DE 83 AÑOS CON ANTECEDENTES FLUTTER AURICULAR CHADS VASC 4, CARDIOPATÍA ISQUÉMICA CON FEVI DEL 54% POR ECO TT DE 20/01/2020, HIPERTENSION ART</t>
  </si>
  <si>
    <t xml:space="preserve">NO MEJORÍA </t>
  </si>
  <si>
    <t>PACIENTE MASCULINO DE 83 AÃOS CON ANTECEDENTES FLUTTER AURICULAR CHADS VASC 4, CARDIOPATÃA ISQUÃMICA CON FEVI DEL 54% POR ECO TT DE 20/01/2020, HIPERTENSION ARTERIAL, CATETERISMO CARDIACO CON IMPLANTE DE STENT EN ADA 2012 SIN LESIONES SIGNIFICATIVAS, CON IMPLANTE DE MARCAPASOS BICAMERAL 2012, EXPOSICIÃN AL HUMO DOMICILIARIO, EX FUMADOR, EN EL MOMENTO REFIERE DOLOR PRECORDIAL TIPO PUNZADA DE 10 MIN DE DURACIÃN.PACIENTE MASCULINO DE 83 AÃOS CON ANTECEDENTES FLUTTER AURICULAR CHADS VASC 4, CARDIOPA</t>
  </si>
  <si>
    <t>PACIENTE CON DOLOR CRONICO.</t>
  </si>
  <si>
    <t>TOMARV 2 TBL CADA 8 HORAS.</t>
  </si>
  <si>
    <t xml:space="preserve">no mejoria </t>
  </si>
  <si>
    <t>PACIENTE DE 71 AÃOS CON ANTECEDENTES DE FIBRILACIÃN AURICULAR CHADS VASC 3, HIPERTENSION ARTERIAL, EX TABAQUISMO, EPOC, CARDIOPATÃA NO ESPECIFICADA, DOBLE LESIÃN MITRAL CON ESTENOSIS LEVE A MODERADA E INSUFICIENCIA LEVE, FEVI 57% POR ECO TT JULIO/2019. ASINTOMATICA CARDIOVASCULAR.</t>
  </si>
  <si>
    <t>PACIENTE DE 71 AÑOS CON ANTECEDENTES DE FIBRILACIÓN AURICULAR CHADS VASC 3, HIPERTENSION ARTERIAL, EX TABAQUISMO, EPOC, CARDIOPATÍA NO ESPECIFICADA, DOBLE LESIÓ</t>
  </si>
  <si>
    <t>PACIENTE MASCULINO DE 64 AÃOS DE EDAD, CON DIAGNOSTICOS ANOTADOS DE TAQUICARDIA VENTRICULAR CARDIOVERTIDA ELECTRICAMENTE EXITOSA EL 11/01/2019 ASOCIADO A SINDROME CORONARIO AGUIDA TIPO IAM SEST VS ANGINA INESTABLES , INDICO CONTINUAR MANEJO CON CLOPIDROGEL POR RIESGO CARDIOVASCULAR PREVENCION DE FORMACION DE TROMBOS INTRACAVITARIOS (PACIENTE REALIZA EFECTOS ADVERSOS AL ASA)</t>
  </si>
  <si>
    <t xml:space="preserve">1 al dia con almurzo </t>
  </si>
  <si>
    <t>mejora la circulaciÃ³n al no dejar que las plaquetas en la sangre se peguen y formen un coÃ¡gulo. Cilostazol se usa para el tratamiento de los sÃ­ntomas de la claudicaciÃ³n intermitente. Esta condiciÃ³n hace que se reduzca el flujo de sangre a las piernas, lo que causa dolor al caminar.</t>
  </si>
  <si>
    <t>tomar 1 tableta de 50mg cada 12h</t>
  </si>
  <si>
    <t>INTERFERON ALFA</t>
  </si>
  <si>
    <t>[INTERFERON BETA 1A] 60Âµg/1ml</t>
  </si>
  <si>
    <t xml:space="preserve">paciente con papilomatosos laringe quien ha sido operado en varias ocasiones quien refiere de esta vacuna para poder controlar la enfermedad como unico tratamiento </t>
  </si>
  <si>
    <t xml:space="preserve">interferon alfa 2 b 60.000.000ui multidosis 6 ampollas , </t>
  </si>
  <si>
    <t>PACIENTE FEMENINO 72 AÃOS DE EDAD REMITIDO DEL SERVICIO DE ORL YEPES PORTO CONSULTA POR RINITIS SINTOMAS OCULARES FARINGEO Y OTICOS ADEMÃS DE SINTOMAS DE ASMA DE 5 AÃOS DE EVOLUCIÃN A LA EXPOSICIÃN A POLVO HUMEDAD CAMBIOS DE CLIMA OLORES FUERTES HA RECIBIDO TRATAMIENTO CON BECLOMETASONA NASAL LORATADINA CON LEVE MEJORIA CLINICA TRAE IGE 651</t>
  </si>
  <si>
    <t>[ETORICOXIB] 90mg/1U</t>
  </si>
  <si>
    <t>PACIENTE CON DOLOR CRONICO EN REGION LUMBAR DE INTENSIDAD VARIABLE, ASOCIADO A ESPASMO MUSCULAR PARAVERTEBRAL, REQUIERE MANEJO FARMACOLOGICO</t>
  </si>
  <si>
    <t>[CICLOBENZAPRINA CLORHIDRATO] 15mg/1U</t>
  </si>
  <si>
    <t>COLFF007</t>
  </si>
  <si>
    <t>CAPSULAS DE LIBERACION MODIFICADA</t>
  </si>
  <si>
    <t>TOMAR 1 CAPSULA CADA DIA 5PM</t>
  </si>
  <si>
    <t>[HIALURONATO DE SODIO] 1,5mg/1ml ; [POLIETILENGLICOL] 4mg/1ml ; [PROPILENGLICOL] 3mg/1ml</t>
  </si>
  <si>
    <t>Solución Oftalmica Frasco x 10 mL, 1 GOTA cada 12 Hora(s) en Ambos ojos por 3 Mes(es) Suministar: 2 Frasco(s)</t>
  </si>
  <si>
    <t>dolor secundario al trauma, requiere medicaciÃ³n para control sintomatico</t>
  </si>
  <si>
    <t>NO CONTROL GLUCOSA</t>
  </si>
  <si>
    <t>PACIENTE DIABETICA NO CONTROLA EN MANEJO CON INSULINA ALTAS DOSIS SIN CONTROL GLUCEMICO POR LO QUE INDICO SITAGLIPTINAMETFORMINA PARA MEJOR CONTROL GLUCEMICO</t>
  </si>
  <si>
    <t>1 TAB CADA 12 HORAS</t>
  </si>
  <si>
    <t>CARBAMAZEPINA</t>
  </si>
  <si>
    <t>PERSISTENCIA DE LOS SINTOMAS.</t>
  </si>
  <si>
    <t>[RISPERIDONA] 1mg/1ml</t>
  </si>
  <si>
    <t xml:space="preserve"> RISPERIDONA GOTAS INDICADO EN TRATORNO COMPORTAMENTALES</t>
  </si>
  <si>
    <t>RISPERIDONA GOTAS, INDICADO PARA EL TRATAMIENTO DE TRASTORNOS COMPORTAMENTALES.</t>
  </si>
  <si>
    <t>Requiere junta de profesionales y pendiente evaluación</t>
  </si>
  <si>
    <t xml:space="preserve">RECOMENDACION GENERAL BETASERC </t>
  </si>
  <si>
    <t>cancer d eprostata metastscico 1. GAMMGRAFIA OSEA (27/12/2019. GAMMGRAFIA POSTIVOA PRA METATASIS EN COLUMNA CERVICAL, DORSAL, LUMBAR, SACRA. HUMEROS. ARCOS COSTALESANTERIORE Y POSTERIORE TODOS,PELVIS.\n2. TAC DE TORAX CON CONTRSTE. 17/01/2020 PRSNCIA DE LESIONES METATASICAS ESCAPULRES, VERTEBRLES,OSTALES. ATELECTSIA PSOTERIRO INFERIOR DERECHA</t>
  </si>
  <si>
    <t xml:space="preserve">4 tabletas via oral diaria por 3 meses </t>
  </si>
  <si>
    <t>Paciente que presenta presion intraocular elevada que requiere de tratamiento para controlar presion.\n\n</t>
  </si>
  <si>
    <t>Solucion Oftalmica Frasco X 3 mL, 1 GOTA cada 1 Noche en Ambos ojos por 6 Mes(es) Suministar: 6 Frasco(s)</t>
  </si>
  <si>
    <t>pcte no responde a ttos ps anteriormente ordenados</t>
  </si>
  <si>
    <t>[TIOTROPIO] 5Âµg/1Dosis</t>
  </si>
  <si>
    <t xml:space="preserve">PCTE MASCULINO DE 85 AÃOS DE EDAD QUIEN VIENE CON DX: EPOC POR ANTECEDENTES DE TABAQUISMO Y ERGE, ACTUALMENTE PIROSIS, TOS SECA OCASIONAL, DISNEA DE ESFUERZOS HTA, NO DM. caminata de los 6 minutos: sin anotaciÃ³n de distancia recorrida. AL EXAMEN FISICO: NO CRÃPITOS, NO SIBILANTES, DATOS DE ATRAPAMIENTO AÃREO, RONCOS EN BASES, CORAZÃN RITMICO, NO EDEMA EN MIEMBROS INFERIORES, ORL: HIPERTROFIA DE CORNETES.CONTINUA IGUAL TTO CON SERETIDE Y SPIRIVA. </t>
  </si>
  <si>
    <t>hacerse 2 inhalaciones juntas al dia durante 4 meses</t>
  </si>
  <si>
    <t xml:space="preserve">control por glaucoma avanzado en oi, ojo Ãºnico, oi. pio: od: digital disminuida / oi: 15 bio od: cornea descompesanda, ptisis bulbi. oi: pupila midriÃ¡tica FO : exc 0,99 pÃ¡lido, plan: krytantek (DORZOLAMIDA 2%+ TIMOLOL 0.5%+ BRIMONIDINA 0.2%) colirio #4 frascos, 1 gota cada 12 horas oi por 3 meses permanente, EL TTO PARA EL GLAUCOMA  AYUDA  MANTENER LA PRESIÃN OCULAR EN UN NIVEL SALUDABLE, CONSTITUYE UNA PARTE IMPORTANTE DE LA RUTINA DEL TTO PARA PREVENIR LA PERDIDA DE VISION </t>
  </si>
  <si>
    <t>APLICAR EN OJO IZQUIERDO CADA 12 HORAS, USAR OPORTUNAMENTE. SE LE FORMULA KRYTANTEK PARA MEJOR CONTROL PATOLOGICO</t>
  </si>
  <si>
    <t>ENOXAPARINA DE SODIO</t>
  </si>
  <si>
    <t>PACIENTE CON TROMBOSIS VENOSA DE PIERNA DERECHA CON RIESGO DE EMBOLIA QUIEN REQUIERE ANTICOAGULACION CRONICA AMBULATORIA</t>
  </si>
  <si>
    <t>PACIENTE JOVEN CON EVIDENCIA DE ANEMIA CRONICA POR MIOMATOSIS UTERINA DE GRANES ELEMENTOS CON PLAN QUIRURGICO,QUIEN PRESENTO HOSPITALIZACION POR EDEMA ASIMETRICO DE PIERNAS CON EVIDENCIA DE TROMBOSIS VENOSA DE SAFENAS CON INDICACION DE MANEJO ANTICOAGULANTE AMBULATORIO CON RIVAROXABAN 20MG DIA POR RIESGO DE CARDIOEMBOLIA,NO REQUIERE DE CONTROLES DE PARACLINICOS Y MEJOR SEGURIDAD CARDIOVASCULAR AMBULATORIA</t>
  </si>
  <si>
    <t>XARELTO TAB 20MG TOMAR 1 TAB DIARIA DE 20MG DE 3A 6 MESES</t>
  </si>
  <si>
    <t>[DEXAMETASONA] 1mg/1ml ; [TOBRAMICINA] 3mg/1ml</t>
  </si>
  <si>
    <t>Se utiliza para tratar infecciones bacterianas de los ojos. AdemÃ¡s, disminuye la hinchazÃ³n, enrojecimiento y picazÃ³n.</t>
  </si>
  <si>
    <t>para el alivio de los sÃ­ntomas de la irritaciÃ³n y la sequedad ocular.</t>
  </si>
  <si>
    <t>APLICAR 1 GOTA CADA HORA EN AMBOS OJOS</t>
  </si>
  <si>
    <t xml:space="preserve">Se utiliza para tratar infecciones bacterianas de los ojos. AdemÃ¡s, disminuye la hinchazÃ³n, enrojecimiento y picazÃ³n.           </t>
  </si>
  <si>
    <t>APLICAR 1 GOTA CADA 3 HORAS EN EL OJO DERECHO</t>
  </si>
  <si>
    <t>IBUPROFENO|NAPROXENO</t>
  </si>
  <si>
    <t xml:space="preserve">no mejoria del dolor </t>
  </si>
  <si>
    <t xml:space="preserve">paciente con patologia de columna lumbar y cervical que se asocia a dolor intenso que limita las funciones cotidianas  asociado a parestaesias y disminucion de la fuerza muscular de miis  no se alivia con analgesicos comunes </t>
  </si>
  <si>
    <t xml:space="preserve">tomar 1 tab cada dia  por 3 meses </t>
  </si>
  <si>
    <t>METILDIGOXINA</t>
  </si>
  <si>
    <t>PERSISTENCIA DE SINTOMAS</t>
  </si>
  <si>
    <t>[SACUBITRILO] 24,3mg/1U ; [VALSARTAN] 25,7mg/1U</t>
  </si>
  <si>
    <t>EL EXAMEN FISICO NO APORTA DATOS DE INTERES PACIENTE QUE NO ESTA RECIBIENDO ENTRESTO POR QUE EPS NO ESTA ENTREGANDO, SE HACE NUEVA FORMULA, SE ENTREGA MIPRES, PERFIL LIPIDICO BUN CREATININA SODIO, POTASIO, ELECTROCARDIOGRAMA, CONTROL DE CARDIOLOGIA EN 2 MESES.</t>
  </si>
  <si>
    <t>EL EXAMEN FISICO NO APORTA DATOS DE INTERES PACIENTE QUE NO ESTA RECIBIENDO ENTRESTO POR QUE EPS NO ESTA ENTREGANDO, SE HACE NUEVA FORMULA, SE ENTREGA MIPRES, P</t>
  </si>
  <si>
    <t>[BISOPROLOL FUMARATO] 5mg/1U</t>
  </si>
  <si>
    <t xml:space="preserve">Paciente requiere manejo con medicamento para control de frecuencia cardiaca y cifras tensionales alto riesgo cardiovascular </t>
  </si>
  <si>
    <t xml:space="preserve">una vez al dia </t>
  </si>
  <si>
    <t>PACIENTE CON B24X E HISTOPLASMOSIS DISEMINADA QUIENR EQUEIRE MANEJO CON ITRACONAZOL  DE PROFILAXIS</t>
  </si>
  <si>
    <t>persiste con hba1c mayor de 8 , por tal razon se decide combinar con idpp4 para reducir riesgo cardiovascular</t>
  </si>
  <si>
    <t>PERSISTE CON HBA1C MAYOR DE 8 , POR TAL RAZON SE DECIDE COMBINAR CON IDPP4 PARA REDUCIR RIESGO CARDIOVASCULAR</t>
  </si>
  <si>
    <t>tomar una cada 12 horas</t>
  </si>
  <si>
    <t xml:space="preserve">PACIENTE CON ALTO RIESGO CARDIOEMBOLICO POR LO QUE TIENE INDICACION DE ANTICOAGULACION PERMANETE </t>
  </si>
  <si>
    <t xml:space="preserve">TOMR UNA AL DIA </t>
  </si>
  <si>
    <t xml:space="preserve">PACIENTE CON B24X CON HISTOPLASMOSIS DISEMINADA REQUEIERE DE MANEJO CON ITRACONAZOL </t>
  </si>
  <si>
    <t>paciente con fibrilacion auricular, requiere tomar rivaroxaban para prevenir cardioembolia y accidentes cerebrovasculares</t>
  </si>
  <si>
    <t>no usar acido acetil salicilico</t>
  </si>
  <si>
    <t xml:space="preserve">PACIENTE CON FIIBRILACION AURICULAR PERMANENTE CON ALTO RIESGO CARDIOEMBOLICO POR LO QUE TIENE INDICACION DE ANTICOGULACION PERMANENTE </t>
  </si>
  <si>
    <t xml:space="preserve">UNA AL DIA </t>
  </si>
  <si>
    <t>DIMENHIDRINATO</t>
  </si>
  <si>
    <t>no respuesta a dosis  maximas permitidas</t>
  </si>
  <si>
    <t xml:space="preserve">paciente con sindrome vertigionoso  severo ,    vertigo paroxistico ,  con alteracion en la marcha </t>
  </si>
  <si>
    <t>TAMPON</t>
  </si>
  <si>
    <t>betahistina tabletas de  24 mg  una tableta via oral cada    12 horas</t>
  </si>
  <si>
    <t xml:space="preserve">PACIENTE CON  DIAGNOSTICO DE ASMA DE INICIO DE TARDIO,  HIPOVENTILACION/OBESIDAD ,  MEJORIA EN TTO  CON TERAPIA COMBINADA, SIN NUEVAS  CRISIS,  MEJORIA EN LOS SIGNOS DE FALLA CARDIACA,   SIN CLARA HIPOXEMIA,  PSG DESCARTA SAHS, EN MANEJO DE ICC/IRC EN HD HACE 2 AÃOS CON EVIDENTE MEJORIA CLINICA Y LOS SIGNOS DE HTP POSTCAPILAR, CON ESTO RECUPERACION EN SU CF. CONTINUA USO DE TERAPIA COMBINADA,  MANEJO DE RGE, SIN OXIGENO, CONTINUA MANEJO CONJUNTO CON CARDIOLOGIA  Y NEFROLOGIA. </t>
  </si>
  <si>
    <t>USO DIARIO, HACER 1 INHALACIÓN BUCAL CADA 12 HORAS</t>
  </si>
  <si>
    <t>NO CONTROL METABOLICO A PESAR DE DOSIS MAXIMAS DE ANTIDIABETICOS ORALES DEL POS</t>
  </si>
  <si>
    <t>PTE CON ANTECEDENTES DE DM2 CON MAL CONTROL METABOLICO A PESAR DE DOSIS MAXIMAS DE ANTIDIABETICOS DEL POS, SE BENEFICIA DE TERAPIA DUAL SITAGLIPTINA METFORMINA EL CUAL HA MOSTRADO EXELENTES RESULTADOS Y ASI DISMINUIR COMPLICACIONES FUTURAS</t>
  </si>
  <si>
    <t xml:space="preserve">1 TABLETA VIA ORAL CADA 12 HORAS POR 3 MESES </t>
  </si>
  <si>
    <t>PACIENTE DE 90 AÃOS DE EDAD, EXTABAQUISTA PESADO, COCINO CON LEÃA, EXPOSICION A BIOMASA DX DE EPOC GRAVE GOLD 4 GRUPO D, HIPOXEMICO, EN TRIPLE TERAPIA CON ADECUADO CONTROL CLÃNICO Y RECUPERACION EN SU CF,  SIN NUEVAS EXACERBACIONES HACE MAS DE 2 AÃOS, VACUNAS VIGENTES. USO DE  OXIGENO IRREGULAR. CONTINUA  IGUAL TTO, FORMULA POR 6 MESES, CONTROL 3 MESES CON EXAMENES.</t>
  </si>
  <si>
    <t>PACIENTE DE 90 AÃOS DE EDAD, EXTABAQUISTA PESADO, COCINO CON LEÃA, EXPOSICION A BIOMASA DX DE EPOC GRAVE GOLD 4 GRUPO D, HIPOXEMICO, EN TRIPLE TERAPIA CON ADECUADO CONTROL CLÃNICO Y RECUPERACION EN SU CF, SIN NUEVAS EXACERBACIONES HACE MAS DE 2 AÃOS, VACUNAS VIGENTES. USO DE OXIGENO IRREGULAR. CONTINUA IGUAL TTO, FORMULA POR 6 MESES, CONTROL 3 MESES CON EXAMENES.</t>
  </si>
  <si>
    <t>USO DIARIO, HACER 2 INHALACIONES BUCAL CADA MAÑANA</t>
  </si>
  <si>
    <t>PACIENTE CON CONJUNTIVITIS ALERGICA EN AMBOS OJOS, LO CUAL SE SOLICITA TRATAMIENTO CON ANTIALERGICOS OCULARES PARA MEJORIA VISUAL A LA PATOLOGIA.\n\n\n\n</t>
  </si>
  <si>
    <t>APLICAR  1 GOTA CAD  12 HORA EN AMBOS OJOS COMO LO INDICA EL MEDICO  TRATANTE</t>
  </si>
  <si>
    <t>SE TRATA DE PACIENTE CON DIAGNOSTICOS ESTABLECIDOS DE HIPERTENSION ARTERIAL, DIABETES MELLITUS TIPO 2 BAJO TRATAMIENTO MEDICO, SE CONSIDERA CAMBIO DE MEDICAMENTOS DEBIDO A PRESENTAR AUMENTO DE CIFRAS DE GLUCOSA. SE CONSIDERA SITAGLIPTINA METFORMINA 50 1000 MG 1U.</t>
  </si>
  <si>
    <t>TOMAR UNA TABLETA DE METFORMINA CLORHIDRATO 1000 MG SITAGLIPTINA 50MG, CADA 12 HORAS DURANTE 3 MESES</t>
  </si>
  <si>
    <t>NO SE LOGRO CONTROL ESPERADO</t>
  </si>
  <si>
    <t>SE TRATA DE PACIENTE CON DIAGNOSTICOS ESTABLECIDOS DE HIPERTENSION ARTERIAL, DIABETES MELLITUS TIPO 2 BAJO TRATAMIENTO MEDICO, SE CONSIDERA CAMBIO DE MEDICAMENTOS DEBIDO A PRESENTAR AUMENTO DE CIFRAS DE GLUCOSA. SE CONSIDERA SITAGLIPTINA METFORMINA 50 1000 MG 1U. SE CONSIDERA USO DE BETALOC ZOC 50MG. PARA MANEJO DE HIPERTESNION Y SINDORME CORONARIO AGUDO.</t>
  </si>
  <si>
    <t xml:space="preserve">TOMAR UNA TABLETA DE BETALOC SOK 50MG, CADA 12 HORAS DURANTE 3 MESES </t>
  </si>
  <si>
    <t>[FLUTICASONA PROPIONATO] 250Âµg/1Dosis ; [SALMETEROL] 25Âµg/1Dosis</t>
  </si>
  <si>
    <t>PACIENTE CON DIAGNOSTICOS ASMA EN SOBREPOSICION EPOC (ACO) CON HIPOXEMIA SEVERA E HTP SECUNDARIA CON CRISIS RECURRENTES,   SIN DESPACHO DE LA TERAPIA BD LARGA ACCION, AHORA NUEVA CRISIS, SOSPECHA DE SOBREINFECCION BACTERIANA, SIN DISNEA EN REPOSO,  SIN DESATURACION, INICIO MANEJO AMBULATORIO DE CRISIS, SIGNOS DE ALARMA,  TRAE TAC TORAX  CAMBIOS  DE ENFISEMA CENTROACINAR DE  LOBULOS SUPERIORES, ENGROSAMIENTO DE PAREDES BRONQUIALES.</t>
  </si>
  <si>
    <t>USO DIARIO, HACER 2  INHALACIÓNES BUCAL CADA 12 HORAS</t>
  </si>
  <si>
    <t>PACIENTE CON DIAGNOSTICOS ASMA EN SOBREPOSICION EPOC (ACO) CON HIPOXEMIA SEVERA E HTP SECUNDARIA CON CRISIS RECURRENTES, SIN DESPACHO DE LA TERAPIA BD LARGA ACCION, AHORA NUEVA CRISIS, SOSPECHA DE SOBREINFECCION BACTERIANA, SIN DISNEA EN REPOSO, SIN DESATURACION, INICIO MANEJO AMBULATORIO DE CRISIS, SIGNOS DE ALARMA, TRAE TAC TORAX CAMBIOS DE ENFISEMA CENTROACINAR DE LOBULOS SUPERIORES, ENGROSAMIENTO DE PAREDES BRONQUIALES.</t>
  </si>
  <si>
    <t xml:space="preserve"> USO DIARIO, HACER 2 INHALACIONES BUCAL  CADA MAÑANA </t>
  </si>
  <si>
    <t>[ROFLUMILAST] 500Âµg/1U</t>
  </si>
  <si>
    <t>TOMAR VIA ORAL 1 TABLETA CADA DIA</t>
  </si>
  <si>
    <t>[MOXIFLOXACINO] 400mg/1U</t>
  </si>
  <si>
    <t xml:space="preserve"> TOMAR VIA ORAL 1 TABLETA DIA</t>
  </si>
  <si>
    <t>PACIENTE DE 71 AÃOS CON SM DE TOS CRONICA SECUNDARIA A RINITIS Y ESCURRIMIENTO POSTERIOR  CON POBRE RESPUESTA AL TTO DEL POS, SIN SINTOMAS  RESPIRATORIOS  BAJOS, AUSENCIA DE SINTOMAS B, CON BK ESPUTO NEGATIVO, CON RX TORAX SIN COMPROMISO DEL PARENQUIMA PULMONAR, ESPIROMETRIA NORMAL, EN TTO CON ICS NASALES CON ADECUADA  RESPUESTA,  EN SEGUIMIENTO POR ORL, CONTINUA  TTO MEDICO INSTAURADO</t>
  </si>
  <si>
    <t>USO DIARIO, HACER 1 INHALACIÓN EN CADA FOSA NASAL MAÑANA</t>
  </si>
  <si>
    <t>PACIENTE QUE ASISTE A CONSULTA POR PRESENTAR VISION BORROSA AO, AL EXAMEN CLINICO PRESENTA PIO EN AMBOS OJOS: 25 MMHG. FDO DE OJO RETINA APLICADA. DX: HIPERTENSION OCULAR. SE MEDICA CON  DORLAMIDA-T GOTAS C/12 HRS AO. SE ORDENA ANTIGLAUCOMATOSO PARA MANTENER LA PIO A CIFRAS NORMALES, YA QUE ACTUALMENTE ESTAN FUERA DEL RANGO NORMAL.\n\n</t>
  </si>
  <si>
    <t xml:space="preserve">APLICAR EN AMBOS OJOS CADA 12 HORAS, UAR OPORTUNAMENTE, SE RECOMIENDA DORLAMIDA T </t>
  </si>
  <si>
    <t>PACIENTE A PESAR DE ESTAR RECIBIENDO TRATAMIENTO CON SALBUTAMOL INHALADOR PERSISTE CON DISNEA FRECUENTE, TOS RECURRENTE POR TAL MOTIVO MALA CALIDAD \nDE VIDA.</t>
  </si>
  <si>
    <t>SE TRATA DE PACIENTE PORTADOR DE EPOC. MALA CALIDAD DE VIDA, MALA RESPUESTA AL USO DE INHALADORES TIPO IPATROPIO BECLOMETASONA SALBUTAMOL. REQUIERE INICIAR TERAPIA LABA LAMA ORDENADO EN LA ACTUAL GUIA GOLD 2019 PARA LOS PACIENTES EXACERBADORES Y DE ALTO RIESGO DE HOSPITALIZACIONES. SE BUSCA MEJORAR SU CALIDAD DE VIDA, MEJORAR SU CAPACIDAD PARA EL EJERCICIO, DISMINUIR EL RIESGO DE EXACERBACIONES Y EVITAR INGRESOS HOSPITALARIOS.\n</t>
  </si>
  <si>
    <t>ASPIRAR UNA DOSIS CADA 24 HORAS POR 1 MES</t>
  </si>
  <si>
    <t>PACIENTE FEMENINO DE 18 AÃOS DE EDAD REMITIDO DEL SERVICIO DE PEDIATRÃA CON DX DE RINITIS Y CONJUNTIVITIS ALÃRGICA DE 2 AÃOS DE EVOLUCIÃN SENSIBLE AL POLVO, OLORES FUERTES, CAMBIOS DE CLIMA. HA RECIBIDO TRATAMIENTO CON LORATADINA CON ESCASA MEJORIA CLÃNICA SIN ANTECEDENTE FAMILIAR DE ALERGIAS NIEGA ALERGIA A LOS ALIMENTOS NI MEDICAMENTOS. SE LE REALIZA TEST DE ALERGIA POSITIVO A ÃCAROS DEL POLVO CASERO, HONGOS DE LA HUMEDAD, PERRO Y GATO. EOSINOFILOS: 1.8% NORMAL 6 IGE 188.8 UI/ML NORMAL 100</t>
  </si>
  <si>
    <t>TOMAR UNA TABLETA POR LAS MAÑANAS</t>
  </si>
  <si>
    <t>BECLOMETASONA</t>
  </si>
  <si>
    <t>[MOMETASONA FUROATO] 50Âµg/1Dosis</t>
  </si>
  <si>
    <t>APLICAR 1 PUFF EN CADA FOSA NASAL CADA 12 HORAS</t>
  </si>
  <si>
    <t>[ESOMEPRAZOL] 10mg/1U</t>
  </si>
  <si>
    <t>COLFF010</t>
  </si>
  <si>
    <t>GRANULOS DE LIBERACION MODIFICADA</t>
  </si>
  <si>
    <t xml:space="preserve">paralisis cerebral con rge </t>
  </si>
  <si>
    <t xml:space="preserve">esomed tomar 1 sobre dia x 3 meses </t>
  </si>
  <si>
    <t>[BIFIDOBACTERIA 22billon de organismos&amp;LACTOBACILLUS PARACASEI 50millon de organismos&amp;LACTOBACILLUS PLANTARUM 50millon de organismos&amp;LACTOBACILLUS DELBRUECKII SUBESP. BULGARICUS 70millon de organismos&amp;ENTEROCOCCUS FAECIUM 7millon de organismos&amp;STREPTOCOCCUS SALIVARIUS SUBESP. THERMOPHILUS48billon de organismos] 70,000177billon de organismos/1U ; [LACTOBACILLUS ACIDOPHILUS] 460millon de organismos/1U</t>
  </si>
  <si>
    <t>PACIENTE CON CUADRO DIARREICO AGUDA CON PERSISTENCIA DE DEPOSICIONES LIQUIDAS EN ABUNDANTE CANTDAD, SE INICIA PROBIOTICO COADYUVANTE EN REPARACION DE MICROBIOTA INTESTINAL</t>
  </si>
  <si>
    <t>DAR 1 GR VO CADA 24 HORAS POR 7 DIAS</t>
  </si>
  <si>
    <t xml:space="preserve">PACIENTE CON DAÃO DEL NERVIO ÃPTICO POR GLAUCOMA CON PRESIONES INTRAOCULARES QUE NO RESPONDE A TRATAMIENTO GENERICO INCLUIDO EN EL POS (LATANOPROST, TIMOLOL, BRIMONIDINA) POR LO QUE SE ORDENA MEDICAMENTOS COMERCIALES KRITANTEK </t>
  </si>
  <si>
    <t xml:space="preserve">APLICACION EN AMBOS OJOS KRYTANTEK </t>
  </si>
  <si>
    <t>PACIENTE DE 69 AÃOS CON DIAGNOSTICO DE EPOC GOLD  4 (VEF 22%) GRUPO D, NO HIPOXEMICO CON INDICE DE  BODE  DE 8,   CON DETERIORO EN SU CF, DISNEA MMRC 3,  ECOCARDIOGRAMA NORMAL  SIN HTP,  SIN SINTOMAS B,   SIN CRISIS RECIENTE,  VACUNAS VIGENTES,   EN TERAPIA DE RHP,  CONTINUA TERAPIA DUAL,  ESTUDIOS COMPLEMENTARIOS  Y CONTROL</t>
  </si>
  <si>
    <t>USO DIARIO, HACER 1 INHALACIÓN BUCAL CADA MAÑANA.</t>
  </si>
  <si>
    <t>Paciente con migraÃ±a crÃ³nica que ha sido refractaria a mÃºltiples tratamientos farmacolÃ³gicos</t>
  </si>
  <si>
    <t>SEGÚN protocolo</t>
  </si>
  <si>
    <t xml:space="preserve"> PACIANTE DE 90 AÃOS VARICES DE LOS MIEMBROS INFERIORES QUE SE ASOCIAN CON PARESTESIAS. TRAE DOPPLER QUE REALIZA DR DANGOND EN LA INSTITUCION QUE REPORTA SAFENA MAYOR INSUFICIENTE HASTA EL TERCIO DISTAL DEL MUSLO, PACIENTE QUE SE LE  ORDENA MEDICAMENTO CON EL FIN DE AUMENTAR EL TONO VENOSO, Y POR LO TANTO PUEDE REDUCIR LA CAPACITANCIA VENOSA, LA DISTENSIBILIDAD Y LA EXTASIS, ESTO AUMENTA EL RETORNO VENOSO Y REDUCE LA PRESIÃN VENOSA.</t>
  </si>
  <si>
    <t>HIPERSENSIBILIDAD A ALGUNOS DE SUS COMPONENTES.</t>
  </si>
  <si>
    <t>HIDROCLOROTIAZIDA|AMLODIPINO|LOSARTAN</t>
  </si>
  <si>
    <t xml:space="preserve">NO SE LOGRÓ LA META DE PRESIÓN ARTERIAL </t>
  </si>
  <si>
    <t>[CLORTALIDONA] 25mg/1U ; [VALSARTAN] 160mg/1U</t>
  </si>
  <si>
    <t xml:space="preserve">PACIENTE DIABETICA CON HTA GRADO 3 QUIEN PRESENTA TA. 200100 SIN PODER LOGRAR LA METAS A PESAR DE MÃLTIPLES ANTIHIPERTENSIVOS </t>
  </si>
  <si>
    <t xml:space="preserve">TOMAR UNA TABLETA EN LA MAÑANA </t>
  </si>
  <si>
    <t xml:space="preserve">NO LOGRÓ METAS </t>
  </si>
  <si>
    <t>[CLORTALIDONA] 12,5mg/1U ; [VALSARTAN] 80mg/1U</t>
  </si>
  <si>
    <t xml:space="preserve">PACIENTE DIABETICA E HIPERTENSA GRADO 3 QUE NO HA LOGRADO METAS </t>
  </si>
  <si>
    <t xml:space="preserve">TOMAR UNA TABLETA EN LA NOCHE </t>
  </si>
  <si>
    <t xml:space="preserve">NO LOGRÓ MEJORAR EL DOLOR EN LAS PIERNAS </t>
  </si>
  <si>
    <t xml:space="preserve">PACIENTE DIABETICA CON NEUROPATIA PERIFERICA Y MUCHO DOLOR Y SENSACIÃN DE HIPOESTESIA EN MIEMBROS INFERIORES </t>
  </si>
  <si>
    <t xml:space="preserve">TOMAR UNA CPASULA EN LA NOCHE POR 8 DIAS Y LUEGO AUMENTAR UNA CAPSULA  DOS VECES AL DIa </t>
  </si>
  <si>
    <t>[LIRAGLUTIDA] 6mg/1ml</t>
  </si>
  <si>
    <t>PACIENTE HIPERTENSION  OBESIDAD 2 INICIO LIRAGLUTIDA 3 MG PARA DISMINUIR RIESGO DE MORTALIDAD CARDIOMETABOLICA Y COMPLICASIONES, ASOCIADAS</t>
  </si>
  <si>
    <t>SAXENDA APLICAR 3 MG ANTES DEL DESAYUNO</t>
  </si>
  <si>
    <t xml:space="preserve">no se logró controlar el dolor </t>
  </si>
  <si>
    <t>[ACIDO ALFALIPOICO] 600mg/1U</t>
  </si>
  <si>
    <t xml:space="preserve">paciente con dolor cronico en miembros inferiores </t>
  </si>
  <si>
    <t xml:space="preserve">tomar una capsula al dia </t>
  </si>
  <si>
    <t>Solucion Oftalmica Frasco X 5 mL, 1 GOTA cada 12 Hora(s) en Ambos ojos por 6  Mes(es)  Suministar: 8 Frasco(s)</t>
  </si>
  <si>
    <t>Solucion Oftalmica Frasco x 15 mL, 1  GOTA cada 8  Hora(s) en Ambos ojos por 3 Mes(es)  Suministar: 2 Frasco(s)</t>
  </si>
  <si>
    <t>VANCOMICINA</t>
  </si>
  <si>
    <t>[LINEZOLID] 2mg/1ml</t>
  </si>
  <si>
    <t>PACIENTE MASCULINO CON CHOQUE SEPTICO DE FOCO PULMONAR Y TEJIDOS BLANDOS, CON ALTO RIESGO DE GERMEN GRAM POSITIVO SIN EMBARGO POR FALLA RENAL AGUDA NO ESTA INDICADA VANCOMICINA, POR LO QUE ES NECESARIO INICIAR SEGUDA LINEA CON LINEZOLID</t>
  </si>
  <si>
    <t xml:space="preserve">CONTINUAR LINEZOLID 600 M IV CADA 12 HORAS POR 4 DIAS </t>
  </si>
  <si>
    <t>BRIMONIDINA</t>
  </si>
  <si>
    <t>mal control de pio</t>
  </si>
  <si>
    <t>paciente con glaucoma que requiere medicamento para control de pio</t>
  </si>
  <si>
    <t>GOTAS</t>
  </si>
  <si>
    <t>aplicar 1 gota cada 12 horas ao</t>
  </si>
  <si>
    <t>No mejora</t>
  </si>
  <si>
    <t>Rinitis</t>
  </si>
  <si>
    <t>2  puff en cada fosa nasal cada 12 horas por 180 dias</t>
  </si>
  <si>
    <t>paciente con reporte de cultivo de secrecion abdominal positivo para pKlebsiella pneumoniae resistente a carbapenemicos, valorada por infectologia quien ordena inicio de: Fosfomicina amp x 4 gr, dar 8 gr IV cada 8 hr , Polimixina B amp x 500.000 UI, (1.500.000 mill carga y continuar con 1.000.000 IV cada 12 hr), Tigeclicina amp x 100 mg, carga de 200 mg y continuar 100 mg IV cada 12 hr..</t>
  </si>
  <si>
    <t>[FOSFOMICINA] 4g/1U</t>
  </si>
  <si>
    <t>PX QUE PESE A TTO MEDICO Y MEDIDAS HIGIENICO DIETETICAS ADOPTADAS CONTINUA CON PIROSIS Y EPIGASTRALGIA, FLATULENCIA, DOLOR Y DOSTENSION ABDOMINAL. SE FORMULA TRIMEBUTINA MALEATO YA QUE  MEJORA ABSORCION DE ALIMENTOS AYUDA A MEJORAR DISTENSION DOLOR ABDOMINAL CALIDAD EN DEPOSICIONES MANIFIESTA MEJORIA CON EL TRATAMIENTO</t>
  </si>
  <si>
    <t>TOMAR UNA TABLETA CON CADA COMIDA POR 3 MESES.</t>
  </si>
  <si>
    <t>DISMINUYE EL RIESGO DE APNEA DE LA PREMATUREZ EN UN 25%, LA FALLA DE EXTUBACIÃN EN UN 27% , DISPLASIA BRONCOPULMONAR HASTA EN UN 10%. ESTIMULA CENTRO RESPIRATORIO, SUBE LA SENSIBILIDAD AL DIÃXIDO DE CARBONO, INDUCE BRONCODILATACIÃN,  CONTRACTIBILIDAD DIAFRAGMÃTICA AUMENTADO VENTILACIÃN MINUTO, MEJORANDO ESFUERZO RESPIRATORIO. PRESENCIA DE APNEA  SE RELACIONA DE FORMA INVERSAMENTE PROPORCIONAL CON LA EDAD GESTACIONAL, PRÃCTICAMENTE TODOS LOS PREMATUROS &lt; 29 SEMANAS MENOR DE 1 KG AL NACER.\n\n</t>
  </si>
  <si>
    <t xml:space="preserve">DOSIS DE IMPREGNACION: 14 MG IV AHORA, CONTINUAR 3.5mg IV CADA 24 HORAS </t>
  </si>
  <si>
    <t xml:space="preserve">PACIENTE CON TRASTORNO FUNCIONAL , NO ORGANICIDAD, EN MANEJO POR GASTROENTEROLOGIA. </t>
  </si>
  <si>
    <t xml:space="preserve">TOMAR 1 TAB 15 MINUTOS ANTES DEL DESAYUNO, ALMUERZO Y CENA X 3 MESES, VIA ORAL </t>
  </si>
  <si>
    <t>[ZINC] 25g/100g</t>
  </si>
  <si>
    <t>C42967</t>
  </si>
  <si>
    <t>PASTA</t>
  </si>
  <si>
    <t>EVITAR PAÃALITIS E INFECCIONES DEL TRACTO GENITOURINARIO.</t>
  </si>
  <si>
    <t>USO CONTINUO, NO SUSPENDER.</t>
  </si>
  <si>
    <t>Solucion Oftalmica Frasco x 10 mL, 1 GOTA  cada 8 Hora(s) en Ambos ojos  por 3 Mes(es)  Suministar: 3 Frasco(s)</t>
  </si>
  <si>
    <t>[CEFTOLOZANO] 1g/1U ; [TAZOBACTAM] 0,5g/1U</t>
  </si>
  <si>
    <t xml:space="preserve">PACIENTE CON POP DE RETIRO DE MATERIAL DE OSTEOSINTESIS MAS IMPLANTE DE TUTOR EXTERNO, ULCERAS VASCULARES EN MIEMBROS INFERIORES. CON CULTIVO DE SECRECIÃN DE TUTORES EXTERNOS POSITIVO PARA BACILOS GRAM NEGATIVOS. CEFTOLOZANO TAZOBACTAM Y COLISTINA HACEN PARTE DEL TRATAMIENTO DE ELECCIÃN PARA INFECCIONES POR BACILOS GRAM NEGATIVOS RESISTENTES A CARBAPENEMICOS </t>
  </si>
  <si>
    <t xml:space="preserve">SIN INDICACIÓN ESPECIAL </t>
  </si>
  <si>
    <t>[COLISTINA] 150mg/1U</t>
  </si>
  <si>
    <t>REALIZAR IMPREGNACIÓN CON 300MG DE COLISTIMETATO DE SODIO</t>
  </si>
  <si>
    <t>[INDACATEROL] 150Âµg/1U</t>
  </si>
  <si>
    <t xml:space="preserve">PCTE FEMENINA DE 54 AÃOS DE EDAD QUIEN VIENE CON DX: EPID, Y FIBROSIS PULMONAR. ACTUALMENTE, pendiente de resultado de biopsia pulmonar y fibrobroncoscopia, ACTUALMENTE CON DISNEA DE MEDIANOS ESFUERZOS. ligeros CREPITOS en ambos campos, NO SIBILANTES, NO ATRAPAMIENTO AÃREO, CORAZÃN RITMICO, NO EDEMA, ORL ASIGNOLOGICA. SE ORDENA: N ACETILCISTEINA. PREDNISOLONA, indacaterol y azatioprina. </t>
  </si>
  <si>
    <t>inhalar 1 capsula al dia durante 4 meses</t>
  </si>
  <si>
    <t xml:space="preserve">PCTE FEMENINA DE 54 AÃOS DE EDAD QUIEN VIENE CON DX: EPID, Y FIBROSIS PULMONAR. ACTUALMENTE, PENDIENTE DE RESULTADO DE BIOPSIA PULMONAR Y FIBROBRONCOSCOPIA, ACTUALMENTE CON DISNEA DE MEDIANOS ESFUERZOS. LIGEROS CREPITOS EN AMBOS CAMPOS, NO SIBILANTES, NO ATRAPAMIENTO AÃREO, CORAZÃN RITMICO, NO EDEMA, ORL ASIGNOLOGICA. SE ORDENA: N ACETILCISTEINA. PREDNISOLONA, INDACATEROL Y AZATIOPRINA. </t>
  </si>
  <si>
    <t>diluir en agua y tomar 1 sobre cada 12 hrs durante 4 meses</t>
  </si>
  <si>
    <t>menor riesgo de sangrado, y disminuye considerablemente el riesgo de trombo embolismo</t>
  </si>
  <si>
    <t>tomar una tableta diaria VÍA oral, tratamiento para tres meses</t>
  </si>
  <si>
    <t>[LINAGLIPTINA] 2,5mg/1U ; [METFORMINA CLORHIDRATO] 1000mg/1U</t>
  </si>
  <si>
    <t xml:space="preserve">paciente requiere de este medicamento para mejoria de su salud </t>
  </si>
  <si>
    <t>tomar 1 tableta cada 24 horas por 90 dias</t>
  </si>
  <si>
    <t>PACIENTE CON SINDROME DE OJO SECO SEVERO . REQUIER E TRATAMIENTO LUBRICANTE PERMANENTE PARA EVITAR COMPLICACOINES DERIVADAS DEL OJO SECO Y MEJORAR LOS SINTOMAS ASOCIADOS A ESTA PATOLOGIA QUE AFECTAN DE MANERA MUY IMPORTANTE SU CALIDAD DE VIDA Y PONEN EN RIESGO SU VISION .</t>
  </si>
  <si>
    <t>UNA GOTA 4 VECES AL DIA AMBOS OJOS POR 6  MESES</t>
  </si>
  <si>
    <t>SERTRALINA</t>
  </si>
  <si>
    <t>no tolero</t>
  </si>
  <si>
    <t>[DESVENLAFAXINA] 50mg/1U</t>
  </si>
  <si>
    <t>paciente con sintomas depresivos y nsiedd con poca respuesta a medicamebtos instaurados por lo cual se indica  iniciar dual para  manejo de la patologia</t>
  </si>
  <si>
    <t>PACIENTE CON SINTOMAS DEPRESIVOS Y NSIEDD CON POCA RESPUESTA A MEDICAMEBTOS INSTAURADOS POR LO CUAL SE INDICA  INICIAR DUAL PARA  MANEJO DE LA PATOLOGIA</t>
  </si>
  <si>
    <t>[DASATINIB] 100mg/1U</t>
  </si>
  <si>
    <t xml:space="preserve">paciente con leucemia mieloide cronica, en manejo con dasatinib por servicio de hematologia 100 mg vo cada 24 horas para manejo de patologia ya mencionada. se da indicacion por 1 mes. </t>
  </si>
  <si>
    <t xml:space="preserve">tomar 1 tableta via oral cada 24 horas. </t>
  </si>
  <si>
    <t>[RANIBIZUMAB] 10mg/1ml</t>
  </si>
  <si>
    <t xml:space="preserve">PACIENTE REQUIERE DEL MEDICAMENTO PARA TRATAR EDEMA MACULAR DEBIDO A LA RETINOPATIA DIABETICA QUE PRESENTA </t>
  </si>
  <si>
    <t xml:space="preserve">APLICAR EN OJO IZQUIERDO </t>
  </si>
  <si>
    <t>POCA RESPUESTA CLINICA</t>
  </si>
  <si>
    <t>PACIENTE CON DIAGNOSTICO DE VITILIGO MEDIANTE  BP190828-22T S-100 Y SOX-10 PARA LO CUAL HABIA REALIZADO MULTIPLES TRATAMIENTOS CON POCA RESPUESTA, SE SOLICITA USAR TACROLIMUS TOPICO Y EVALUAR EN 8 SEMANAS</t>
  </si>
  <si>
    <t xml:space="preserve">NINGUNA </t>
  </si>
  <si>
    <t>nula respuesta</t>
  </si>
  <si>
    <t>[BUDESONIDA] 160Âµg/1Dosis ; [FORMOTEROL FUMARATO] 4,5Âµg/1Dosis</t>
  </si>
  <si>
    <t>PACIENTE DE 35 AÃOS DE EDAD CON DX DE ASMA PREDOMINANTEMENTE ALERGICA, SE TRATA DE UN PACIENTE QUIEN VIENE PADECIENDO DE DIFICULTAD\nRESPIRATORIA, ASOCIA ASMA BRONQUIAL RECURRENTE NO CONTROLADA. COEXISTE ESTORNUDOS EN SALVA , RINORREA, PRURITO NASAL Y OCULAR,\nOBSTRUCCIÃN NASAL FRECUENTE, MALA CALIDAD DE VIDA POR LO QUE SE RECOMIENDA UTILIZAR BUDESONIDA 160 MCG/ FORMOTEROL4.5 MCG\nGLUCOCORTICOIDE MAS BRONCODILATADOR INDICADO EN EL CONTROL DEL ASMA DE DIFICIL MANEJO CON ESCASA RESPESTA</t>
  </si>
  <si>
    <t>aplicar una INHALACIÓN cada 8 horas por 3 meses</t>
  </si>
  <si>
    <t>[BROMURO DE IPRATROPIO] 20Âµg/1Dosis</t>
  </si>
  <si>
    <t>PACIENTE DE 35 AÃOS DE EDAD CON DX DE ASMA PREDOMINANTEMENTE ALERGICA, SE TRATA DE UN PACIENTE QUIEN VIENE PADECIENDO DE DIFICULTAD\nRESPIRATORIA, ASOCIA ASMA BRONQUIAL RECURRENTE NO CONTROLADA. COEXISTE ESTORNUDOS EN SALVA , RINORREA, PRURITO NASAL Y OCULAR,\nOBSTRUCCIÃN NASAL FRECUENTE, MALA CALIDAD DE VIDA POR LO QUE SE RECOMIENDA UTILIZAR bromuro de ipratropio 20 mcg anticolinergico y broncodilatador indicado en el control y manejo del asma bronquial con escasa respuesta a muchos ttos</t>
  </si>
  <si>
    <t>hacer una inhalación  cada 12 horas por  tres meses</t>
  </si>
  <si>
    <t>LORATADINA</t>
  </si>
  <si>
    <t>PACIENTE DE 35 AÃOS DE EDAD CON DX DE ASMA PREDOMINANTEMENTE ALERGICA, SE TRATA DE UN PACIENTE QUIEN VIENE PADECIENDO DE DIFICULTAD\nRESPIRATORIA, ASOCIA ASMA BRONQUIAL RECURRENTE NO CONTROLADA. COEXISTE ESTORNUDOS EN SALVA , RINORREA, PRURITO NASAL Y OCULAR,\nOBSTRUCCIÃN NASAL FRECUENTE, MALA CALIDAD DE VIDA POR LO QUE SE RECOMIENDA UTILIZAR se recomienda utilizar montelukast 10mg antileucotrieno antiinflamatorio bronquial. indicado en el asma de dificil manejo</t>
  </si>
  <si>
    <t>tomar una tableta al dia por 3 meses</t>
  </si>
  <si>
    <t>NO SE LOGRARON METAS TERAPEUTICAS</t>
  </si>
  <si>
    <t xml:space="preserve">PACIENTE CON DIABETES MELLITUS TIPO CON MAL CONTROL METABOLICO QUE AMERITA EL USO DE METFROMINA MAS VILDAGLIPTINA 850,50 MG VO CAD12 HORAS </t>
  </si>
  <si>
    <t>CAFEINA</t>
  </si>
  <si>
    <t>PACIENTE PREMATURO CON PERIODOS DE APNEA</t>
  </si>
  <si>
    <t>PACIENTE PRETERMINO DE 28 SEMANAS DE EDAD GESTACIONAL CON PRESENCIA DE APNEAS</t>
  </si>
  <si>
    <t>Infusión intermitente</t>
  </si>
  <si>
    <t xml:space="preserve">IMPREGNAR CON 20 MG V.O PRIMERA DOSIS Y CONTINUAR CON 5 MG V.O CADA 24 HORAS </t>
  </si>
  <si>
    <t>PACIENTE DE 81 AÃOS CON ANTECEDENTES DE HIPERTENSION ARTERIAL, FIBRILACIÃN AURICULAR PAROXÃSTICA CHADS VASC 5, ACV SECUELAR 03/01/2019, FEVI 56% POR ECO TT ENERO/2020, EX FUMADOR. REFIERE DOLOR TORÃCICO IRRADIADO A ESPALDA DE 5 MINUTOS DE DURACIÃN ULTIMO EPISODIO AYER.</t>
  </si>
  <si>
    <t>PACIENTE DE 81 AÑOS CON ANTECEDENTES DE HIPERTENSION ARTERIAL, FIBRILACIÓN AURICULAR PAROXÍSTICA CHADS VASC 5, ACV SECUELAR 03/01/2019, FEVI 56% POR ECO TT ENER</t>
  </si>
  <si>
    <t>mayor riesgo de evento coronario</t>
  </si>
  <si>
    <t>[TICAGRELOR] 90mg/1U</t>
  </si>
  <si>
    <t>DISMINUCIÃN CONSIDERABLE del RIESGO de evento coronario</t>
  </si>
  <si>
    <t>tomar una TABLETA diaria VÍA oral, tratamiento para tres meses</t>
  </si>
  <si>
    <t xml:space="preserve">SE REFORMULA MEDICACIÃN DE USO CRÃNICO PARA EPOC SEVERO </t>
  </si>
  <si>
    <t xml:space="preserve">1 CAP INHALADA CADA 24 HRS, DISPOSITIVO BREEZHALER, FORMULA PARA 3 MESES </t>
  </si>
  <si>
    <t xml:space="preserve">ANTI OXIDANTE y BARREDOR DE RADICALES LIBRES DE OXIGENO </t>
  </si>
  <si>
    <t xml:space="preserve">1 SOBRE VO CADA 12 HRS </t>
  </si>
  <si>
    <t xml:space="preserve">aplicar una gota cada 8 horas, durante 3 meses, un frasco MENSUALES </t>
  </si>
  <si>
    <t>[BUDESONIDA] 200Âµg/1U ; [FORMOTEROL FUMARATO] 6Âµg/1U</t>
  </si>
  <si>
    <t xml:space="preserve">SE REFORMULA MEDICACIÃN DE USO CRÃNICO PARA EPOC </t>
  </si>
  <si>
    <t xml:space="preserve">1 CAP INH CADA 12 HS. DISPOSITIVO AEROLIZER. FORMULA PARA 3 MESES </t>
  </si>
  <si>
    <t>[BILASTINA] 20mg/1U</t>
  </si>
  <si>
    <t>PACIENTE DE 57 AÃOS DE EDAD CON DX PLURITO DEL ADULTO, PRESENTA LESIONES PAPULOPLURITICAS GENERALIZADAS COEXISTE   PRURITO GENERALIZADO INTENSO. QUE LE ALTERA SU CALIDAD DE VIDA.POR LO DESCRITO EN LA HISTORIA CLINICA SE LE RECOMIENDA UTILIZAR BILASTINA 20MG UG NTIHISTAMINICO DE 2 GENERACION INDICADO EN EL CONTROL Y MANEJO DE LAS AFECCIONES ALERGICAS CON ESCASA RESPUESTA A OTROS ANTI H1</t>
  </si>
  <si>
    <t>tomar una tableta cada 12 horas por 30 dias</t>
  </si>
  <si>
    <t>PACIENTE DE 57 AÃOS DE EDAD CON DX PLURITO DEL ADULTO, PRESENTA LESIONES PAPULOPLURITICAS GENERALIZADAS COEXISTE   PRURITO GENERALIZADO INTENSO. QUE LE ALTERA SU CALIDAD DE VIDA.POR LO DESCRITO EN LA HISTORIA CLINICA SE LE RECOMIENDA UTILIZAR desonida 0,05g corticoesteroide topico indicado en el control y manejo de las afeciones de la piel con escasa respuesta a muchos tratamientos.</t>
  </si>
  <si>
    <t>aplicar en zonas afectadas cada 12 horas por 30 dias</t>
  </si>
  <si>
    <t>AMITRIPTILINA</t>
  </si>
  <si>
    <t>[DOXEPINA] 50mg/1U</t>
  </si>
  <si>
    <t>PACIENTE DE 57 AÃOS DE EDAD CON DX PLURITO DEL ADULTO, PRESENTA LESIONES PAPULOPLURITICAS GENERALIZADAS COEXISTE   PRURITO GENERALIZADO INTENSO. QUE LE ALTERA SU CALIDAD DE VIDA.POR LO DESCRITO EN LA HISTORIA CLINICA SE LE RECOMIENDA UTILIZAR expan doxepina 50mg ansiolitico indicado en el control y manejo del prurito intenso.</t>
  </si>
  <si>
    <t>tomar una tableta todas las noches por 30 diaS</t>
  </si>
  <si>
    <t xml:space="preserve">SE REFOMULA MEDICACIÃN DE USO CRÃNICO PARA EPOC </t>
  </si>
  <si>
    <t xml:space="preserve">1 CAP INHALADA CADA 12 HRS. DISPOSITIVO AEROLIZER. FORMULA PARA 3 MESES </t>
  </si>
  <si>
    <t xml:space="preserve">aplicar una gota cada 24 horas durante un mes </t>
  </si>
  <si>
    <t>HUMECTANTE OFTÃLMICO. LUBRICANTE OCULAR, SE UTILIZA COMO LUBRICANTE OCULAR, PARA EL ALIVIO TEMPORAL DEL ARDOR, SENSACIÃN DE CUERPO EXTRAÃO, ESCOZOR Y OJO SECO DEBIDOS A QUERATOCONJUNTIVITIS SECA, QUERATITIS POR EXPOSICIÃN, QUERATITIS NEUROPARALÃTICA, IRRITACIONES OCULARES LEVES POR RAYOS SOLARES, POLVO, AIRE, AGUAS CLORADAS, AGENTES QUÃMICOS DÃBILES Y EXPOSICIÃN A LA LUZ INTENSA.</t>
  </si>
  <si>
    <t>HIALURONATO DE SODIO (0.4%) SOLUCION OFTALMICA  4 MG/10M</t>
  </si>
  <si>
    <t>[ADALIMUMAB] 50mg/1ml</t>
  </si>
  <si>
    <t xml:space="preserve">PACIENTE CON ANTECEDENTES DE COLITIS ULCERATIVA HACE    6 AÃOS  DE EVOLUCION QUE VENIA SIENDO TRATADA EN  MEDELLIN.  ULTIMA COLONSOCOPIA DEL  21-09-2018: COLONSCOPIA INCOMPLETA  POR ESTERNOSIS   CRITICA  A NOVEL DEL SIGMOIDUES M: BP PROCTO SIGMOIDITIS ULCERADA EN  ESTUDIO INCOMPLETA  CIO , CROHN ?  BIOSPSA : BANDA FIBROTICA   A  NIVEL EDL RECTO   EN ESOTOS MOMENTOS  CON          4  DEPOSISCIONES LIAUIDAS  SIN SANGRE  ,  EN OCASIONES   CON   FLEMA  PARA UNA ESCALA DE MONTREAL A DE  E2  S 1 </t>
  </si>
  <si>
    <t>02</t>
  </si>
  <si>
    <t>APLICADOR</t>
  </si>
  <si>
    <t>ADALIMUMAB  50  MG ML  UNA   AMPOLA  SUBCUTANEA CADA    8 HORAS  X 3 MESES</t>
  </si>
  <si>
    <t>[MESALAZINA] 500mg/1U</t>
  </si>
  <si>
    <t xml:space="preserve">PACIENTE CON ANTECEDENTES DE COLITIS ULCERATIVA HACE    6 AÃOS  DE EVOLUCION QUE VENIA SIENDO TRATADA EN  MEDELLIN.  ULTIMA COLONSOCOPIA DEL  21-09-2018: COLONSCOPIA INCOMPLETA  POR ESTERNOSIS   CRITICA  A NOVEL DEL SIGMOIDUES M: BP PROCTO SIGMOIDITIS ULCERADA EN  ESTUDIO INCOMPLETA  CIO , CROHN ?  BIOSPSA : BANDA FIBROTICA   A  NIVEL EDL RECTO   EN ESOTOS MOMENTOS  CON          4  DEPOSISCIONES LIAUIDAS  SIN SANGRE  ,  EN OCASIONES   CON   FLEMA  PARA UNA ESCALA DE MONTREAL DE  E2  S 1 .   </t>
  </si>
  <si>
    <t>TRES TABLETAS CADA 8 HORAS  X  3 MESES</t>
  </si>
  <si>
    <t>[MESALAZINA] 2000mg/1U</t>
  </si>
  <si>
    <t xml:space="preserve">PACIENTE CON ANTECEDENTES DE COLITIS ULCERATIVA HACE    6 AÃOS  DE EVOLUCION QUE VENIA SIENDO TRATADA EN  MEDELLIN.  ULTIMA COLONSOCOPIA DEL  21-09-2018: COLONSCOPIA INCOMPLETA  POR ESTERNOSIS   CRITICA  A NOVEL DEL SIGMOIDUES M: BP PROCTO SIGMOIDITIS ULCERADA EN  ESTUDIO INCOMPLETA  CIO , CROHN ?  BIOSPSA : BANDA FIBROTICA   A  NIVEL EDL RECTO   EN ESOTOS MOMENTOS  CON          4  DEPOSISCIONES LIAUIDAS  SIN SANGRE  ,  EN OCASIONES   CON   FLEMA  PARA UNA ESCALA DE MONTREAL  DE  E2  S 1 .   </t>
  </si>
  <si>
    <t xml:space="preserve">VALIDO  PARA   MESALAZINA   4G    60 ML SUSPENSION  RECTAL  TUBO APLICABLE  : UN  AL DIA    X 90 DIA </t>
  </si>
  <si>
    <t>falla terapeutica</t>
  </si>
  <si>
    <t>[APIXABAN] 2,5mg/1U</t>
  </si>
  <si>
    <t>PACIENTE MASCULINO DE 81 AÃOS DE EDAD CON ANTECEDENTE DE HTA, EPOC SEVERO CON DIAGNOSTICO ESPIROMÃTRICO; FIBRILACION AURICULAR NO VALVULAR MANEJADA  ASI COMO ECOCARDIOGRAMA CON FEVI 66 % Y EN HOSPITALIZACION EN CLINICA MEDICOS DE 60% CON DISFUNCION DIASTOLICA TIPO I. \nse indica apixaban 2,5 mg cada 12 horas\n</t>
  </si>
  <si>
    <t>apixaban</t>
  </si>
  <si>
    <t>[TRIMETAZIDINA CLORHIDRATO] 35mg/1U</t>
  </si>
  <si>
    <t xml:space="preserve">PACIENTE REQUIERE DE ESTE MEDICAMENTO PARA MEJORÃA DE SU SALUD </t>
  </si>
  <si>
    <t>TOMAR 1 TABLETA CADA 12 HORAS POR 360 DÍAS</t>
  </si>
  <si>
    <t>EPILEPSIA REFRACTARIA</t>
  </si>
  <si>
    <t>[CARBAMAZEPINA] 400mg/1U</t>
  </si>
  <si>
    <t>PACIENTE CON CUADRO CLÃNICO DE EPILEPSIA REFRACTARIA EN MANEJO CO TEGRETOL Y VALCOTE</t>
  </si>
  <si>
    <t>TEGRETOL RETARD, TOMAR 2 TABLETAS DE 400 MGS CADA 12 HORAS, POR 3 MESES</t>
  </si>
  <si>
    <t>NULA RESPUESTA</t>
  </si>
  <si>
    <t>PACIENTE DE 42 AÃOS DE EDAD CON DX DE ASMA PREDOMINANTEMENTE ALERGICA, PRESENTA  DIFICULTAD RESPIRATORIA, ASOCIA ASMA BRONQUIAL RECURRENTE. COEXISTE ESTORNUDOS EN SALVA, RINORREA, PRURITO NASAL Y OCULAR, OBSTRUCCIÃN NASAL FRECUENTE, MALA CALIDAD DE VIDA POR LO QUE SE RECOMIENDA UTILIZAR   SERETIDE DISKUS FLUTICASONA PROPIONATO 500MCG/ SALMETEROL 50 MCG GLUCOCORTICOIDE MAS BRONCODILATADOR INDICADO EN EL CONTROL DEL ASMA DE DIFICIL MANEJO CON ESCASA RESPUESTA A MUCHOS TTOS</t>
  </si>
  <si>
    <t>APLICAR UNA INHALACION CADA 12 HORAS POR 30 DIAS</t>
  </si>
  <si>
    <t xml:space="preserve">PACIENTE DE 42 AÃOS DE EDAD CON DX DE ASMA PREDOMINANTEMENTE ALERGICA, PRESENTA DIFICULTAD RESPIRATORIA, ASOCIA ASMA BRONQUIAL RECURRENTE. COEXISTE ESTORNUDOS EN SALVA, RINORREA, PRURITO NASAL Y OCULAR, OBSTRUCCIÃN NASAL FRECUENTE, MALA CALIDAD DE VIDA POR LO QUE SE RECOMIENDA UTILIZAR MONTELUKAST  10 MG ANTILEUCOTRIENO  ANTINFLAMATORIO BRONQUIAL INDICADO EN EL CONTROL Y MANEJO DEL ASMA </t>
  </si>
  <si>
    <t>TOMAR UNA TABLETA AL DIA POR 30 DIAS</t>
  </si>
  <si>
    <t>ESCASA REPSUESTA</t>
  </si>
  <si>
    <t>PACIENTE DE 42 AÃOS DE EDAD CON DX DE ASMA PREDOMINANTEMENTE ALERGICA, PRESENTA DIFICULTAD RESPIRATORIA, ASOCIA ASMA BRONQUIAL RECURRENTE. COEXISTE ESTORNUDOS EN SALVA, RINORREA, PRURITO NASAL Y OCULAR, OBSTRUCCIÃN NASAL FRECUENTE, MALA CALIDAD DE VIDA POR LO QUE SE RECOMIENDA UTILIZAR MOMETASONA FUROATO 50 MCG GLUCOCORTICOIDE TOPICO NASAL ANTINFLAMATORIO INDICADO EN EL CONTROL Y MANEJO DE LA RINITIS ALERGICA CON ESCASA RESPUESTA A MUCHOS TTOS</t>
  </si>
  <si>
    <t>APLICAR UN PUFF EN CADA FOSA NASAL AL DIA POR 30 DIAS</t>
  </si>
  <si>
    <t>: PACIENTE CON ESTUDIOS DESCRITOS QUE DNEOTA INSUFICIENCIA ARTERIAL PERIFERICA ASOCIADO A ULCERAS SOBRE INFECTADAS EN MANEJO MEDICO ANTIBIOTICOTERAPIA , DADO INSUFICIENCIA ARTERIAL SOLICITO ARTERIOGRAFIA DE MIEMBROS INFERIORES BILATERALES CON POSIBILIDAD DE STENT Y/O BALON MEDICADO PARA MEJORA FLUJO SANGUINEO Y DISMINUIR TIEMPOS DE CICATRIZACION Y  RESOLUCION DE ULCERA;  POR LO QUE ADICIONO CILOSTAZOL QUE AYUDA A PATOLOGIA ACTUAL COMO  ANTIAGREGANTE PLAQUETARIO   Y VASODILATADORA</t>
  </si>
  <si>
    <t xml:space="preserve">1 CADA 12 HRS </t>
  </si>
  <si>
    <t xml:space="preserve">PACIENTE CON CHOQUE SEPTICO CON POSIBLE PSEUDOMONA AEURUGINOSA </t>
  </si>
  <si>
    <t>PACIENTE CON ANTECEDENTES DE HIPERTENSION ARTERIAL DIABETES MELLITUS TIPO 2 CON HIPOGLICEMIA, QUIEN VIENE PRESENTADO, LESIONES EN TEJIDOS BLANDOS EN MIEMBROS INFERIORES DE RAPIDA PROGRESION CON ALTA SOSPECHA DE LESION POR PSEUDOMONA AEURUGINOSA Y S. AREUS, POR LO QUE SE INICIA CUBRIMIENTO DE AMPLIO ESPECTRO CON LINEZOLID Y PIPERACILINA TAZOBACTAM, SE REVISA ESTUDIOS EXTRAINSTITUCIONES CON ECO DOPPLER ARTERIAL CON LESIONES OCLUSIVAS PERIFERICAS, POR LO QUE SE SOLICITA VALORACION POR CX VASCULAR</t>
  </si>
  <si>
    <t>600 MG CADA 12 HORAS EV POR 7 DIAS</t>
  </si>
  <si>
    <t>no  se logra  rango anticoagulacion</t>
  </si>
  <si>
    <t>masculino   con ant de   trombosis  venosa profunda   , persistente  , requiere  tto con  coagulacion</t>
  </si>
  <si>
    <t>tomAR  1     VO  POR  DOS  MESES</t>
  </si>
  <si>
    <t>[BROMURO DE IPRATROPIO] 0,25mg/1ml ; [FENOTEROL BROMHIDRATO] 0,5mg/1ml</t>
  </si>
  <si>
    <t>NEUMONIA</t>
  </si>
  <si>
    <t>Solucion Oftalmica Frasco X 5 mL, 1  GOTA cada 12 Hora(s)   en Ambos ojos por 3 Mes(es)  Suministar: 4 Frasco(s)</t>
  </si>
  <si>
    <t>Solucion Oftalmica Frasco x 5 mL, 1 GOTA cada 12 Hora(s) en Ojo Izquierdo por 3  Mes(es)  Suministar: 2 Frasco(s)</t>
  </si>
  <si>
    <t>Solucion Oftalmica Frasco x 10 mL + bomba oftalmica OSD, 1 GOTA  cada 12  Hora(s) en Ojo Izquierdo por 3 Mes(es)  Suministar: 1 Frasco(s)</t>
  </si>
  <si>
    <t>Solucion Oftalmica 4 mg/mL Frasco x 10 mL, 1 GOTA  cada 6 Hora(s) en Ojo Izquierdo por 3  Mes(es)  Suministar: 2 Frasco(s)</t>
  </si>
  <si>
    <t>PACIENTE QUE PRESENTA CUADRO INFECCIOSO QUE REQUIERE MANEJO ANTIBIOTICO COMBINADO CON LA ACCION ANTIINFLAMATORIA DEL CORTICOIDE. \n\n</t>
  </si>
  <si>
    <t>Unguento Oftalmico Tubo X 3.5 g, 1 DOSIS  cada 24 Hora(s) en  Ambos ojos por 1 Semana(s) Suministar: 1 Unguento</t>
  </si>
  <si>
    <t>Solucion Oftalmica Frasco X 5 mL, 1 GOTA  cada 12 Hora(s) en Ambos ojos por 2 Mes(es)  Suministar: 3 Frasco(s)</t>
  </si>
  <si>
    <t>[MOXIFLOXACINO] 5mg/1ml</t>
  </si>
  <si>
    <t>PACIENTE QUE PRESENTA CUADRO INFECCIOSO QUE REQUIERE MANEJO ANTIBIOTICO COMBINADO CON LA ACCION ANTIINFLAMATORIA DEL CORTICOIDE. \n</t>
  </si>
  <si>
    <t>Solucion Oftalmica Frasco X 5 mL, 1 GOTA  cada 2 Hora(s) en Ojo Derecho por 1 Semana(s)  Suministar: 1 Frasco(s)</t>
  </si>
  <si>
    <t>[NATAMICINA] 50mg/1ml</t>
  </si>
  <si>
    <t>Paciente que presenta inflamacion , irritacion ocular , secrecion , ojo rojo y cuerpo\nextraÃ±o</t>
  </si>
  <si>
    <t>Solucion Oftalmica Frasco X 15 mL, 1 GOTA  cada 6 Hora(s) en Ojo Derecho por 1 Semana(s)  Suministar: 1 Frasco(s)</t>
  </si>
  <si>
    <t>Solucion Oftalmica Frasco X 5 mL, 1  GOTA cada 12 Hora(s) en Ambos ojos por 3 Mes(es)  Suministar: 4 Frasco(s)</t>
  </si>
  <si>
    <t>Solucion Oftalmica Frasco x 5 mL, 1 GOTA  cada 12 Hora(s)  en Ambos ojos por 3 Mes(es)  Suministar: 4 Frasco(s)</t>
  </si>
  <si>
    <t>PACIENTE REQUIERE MEDICAMENTO La soluciÃ³n oftÃ¡lmica de moxifloxacino se usa para tratar las conjuntivitis bacterianas (infecciÃ³n de la membrana que recubre el globo ocular por dentro del pÃ¡rpado). La moxifloxacino pertenece a una clase de antibiÃ³ticos llamados fluoroquinolonas. Funciona al eliminar las bacterias que causan estas infecciones.</t>
  </si>
  <si>
    <t>PACIENTE REQUIERE MEDICAMENTO FRASCO X 5 ML</t>
  </si>
  <si>
    <t>SE NECESITA DE UN MEDICAMENTO DE ACCION RAPIDA Y MUY EFECTIVO</t>
  </si>
  <si>
    <t>Indicaciones Suplemento vitamÃ­nico con minerales para prevenir o tratar estados carenciales de vitaminas y minerales.TipoSuplemento vitamÃ­nico con minerales.</t>
  </si>
  <si>
    <t>GEMFIBROZILO</t>
  </si>
  <si>
    <t>hipertrigliceridemia severa</t>
  </si>
  <si>
    <t>[CIPROFIBRATO] 100mg/1U</t>
  </si>
  <si>
    <t xml:space="preserve">paciente con hipertrigliceridemia severa  y dm 2 no controlada en proceso de ajuste farmacologico no respuesta a gemfibrozilo alto riesgo de pancreatitis </t>
  </si>
  <si>
    <t xml:space="preserve">tomar 1 tab cada noche </t>
  </si>
  <si>
    <t>Solucion Oftalmica  LIBRE DE CONSERVADORES.   Frasco x 10 mL, 1 GOTA  cada 8 Hora(s) en Ambos ojos por 3 Mes(es)  Suministar: 3 Frasco(s)</t>
  </si>
  <si>
    <t>Solución Oftalmica Frasco x  10 mL, 1 GOTA  cada 8 Hora(s) en Ambos ojos por 4 Mes(es)  Suministar: 4 Frasco(s)</t>
  </si>
  <si>
    <t>fALLO</t>
  </si>
  <si>
    <t>[PIROXICAM] 0,5g/100g</t>
  </si>
  <si>
    <t>INSUFICENCIA RENAL</t>
  </si>
  <si>
    <t>APLICAR CADA NOCHE</t>
  </si>
  <si>
    <t>Solucion Oftalmica 4 mg/mL/10mL Frasco x 10 mL, 1 GOTA  cada 8 Hora(s) en Ambos ojos por 3  Mes(es)  Suministar: 3 Frasco(s)</t>
  </si>
  <si>
    <t>[DEFLAZACORT] 6mg/1U</t>
  </si>
  <si>
    <t>paciente con ar quien requiere manejo con corticoide para control de inflamacion articular.</t>
  </si>
  <si>
    <t>seguir posología.</t>
  </si>
  <si>
    <t>ENALAPRIL</t>
  </si>
  <si>
    <t>[SACUBITRILO] 48,6mg/1U ; [VALSARTAN] 51,4mg/1U</t>
  </si>
  <si>
    <t>PACIENTE CON CARDIOPATIA DILATADA CON  FUNION SISTOLICA DEPRIMIDA SEVERA DE  20%,   EN CLASE  FUNCIONAL  II, SE  CONTINUA  TRATAMIENTO CON  SACUBITRIL-VALSARTAN 100MG  CDA  12HRS, SE REALIZA  MIPRES PARA  90 DIAS,    00</t>
  </si>
  <si>
    <t xml:space="preserve">ENTRESTO  100MG CADA 12HRS </t>
  </si>
  <si>
    <t>NEONATO DE SEXO FEMENINA DE 20 DÃAS DE VIDA PRODUCTO DEL 3ER EMBARAZO DE MADRE DE 23 AÃO G3P0A2C1 CON  CARDIOPATIA DUCTO DEPENDIENTE  ATRESIA PULMONAR CIV + CIA OS AMPLIA + PERSISTENCIA DE VENA CAVA SUPERIOR IZQUIERDA POR LO QUE SE DECIDE INICIO DE PROSTANGLANDINA PARA MANTENER PERMEABLE CONDUCTO ARTERIOSO Y ASÃ CIRCULACIÃN PULMONAR MIENTRAS SE DEFINE CONDUCTA QUIRURGICA</t>
  </si>
  <si>
    <t xml:space="preserve">ADMINISTRAR 500 MCG CADA 24 HORAS IV </t>
  </si>
  <si>
    <t>PREDNISOLONA</t>
  </si>
  <si>
    <t>[METILPREDNISOLONA] 4mg/1U</t>
  </si>
  <si>
    <t>mejor que la prednisolona y punto</t>
  </si>
  <si>
    <t>tomar 1 tableta diaria</t>
  </si>
  <si>
    <t>es mejor que la cloroquina</t>
  </si>
  <si>
    <t xml:space="preserve">tomar1 diaria </t>
  </si>
  <si>
    <t>[ETANERCEPT] 50mg/1ml</t>
  </si>
  <si>
    <t>paciente con dx de espondilitis anquilosante quien requiere manejo con biologico para control de datos de inflamacion en artitulacion sacroiliaca.</t>
  </si>
  <si>
    <t>aplicar subcutanea cada 7 dias. tratamiento para 3 meses.</t>
  </si>
  <si>
    <t xml:space="preserve">FARMACIA  NO  CUENTA   CON  EL MEDICAMENTO   </t>
  </si>
  <si>
    <t xml:space="preserve">PACIENTE  CON   GALACTORREA   SE  LE  ORDENO  BROMOCRIPTINA   PERO  EN  FARMACIA    NO  CUENTA    CON EL   MEDICAENTO    SE  LE   ORDENA  CABERGOLINA    PARA   DISMINUIR  EL RIESGO DE   MASTITIS </t>
  </si>
  <si>
    <t xml:space="preserve">1 TAB  VO  </t>
  </si>
  <si>
    <t>FUROSEMIDA</t>
  </si>
  <si>
    <t xml:space="preserve">paciente con nefropatía de cambios MÍNIMOS, gran edema, derrame PLEURAL masivo, recibe furosemida a dosis altas, sin MEJORÍA de los SÍNTOMAS </t>
  </si>
  <si>
    <t>[AMILORIDA CLORHIDRATO] 5mg/1U ; [HIDROCLOROTIAZIDA] 50mg/1U</t>
  </si>
  <si>
    <t xml:space="preserve">PACIENTE CON NEFROPATÃA DE CAMBIOS MÃNIMOS, GRAN EDEMA, DERRAME PLEURAL MASIVO, RECIBE FUROSEMIDA A DOSIS ALTAS, SIN MEJORÃA DE LOS SÃNTOMAS </t>
  </si>
  <si>
    <t xml:space="preserve">tomar 1 tableta al DÍA </t>
  </si>
  <si>
    <t>Paciente con infestacion parasitaria por strongiloides stercolaris, sin respuesta a manejo con albandazol y pirantel, requiere manejo con ivermectina para control de helmintiasis</t>
  </si>
  <si>
    <t>Dar 9 gotas via oral cada dia por 2 dias.</t>
  </si>
  <si>
    <t xml:space="preserve">paciente en crisis hta. sospecha de diseccion aortica. </t>
  </si>
  <si>
    <t xml:space="preserve">aplicar esquemas de bolos 20 mg. </t>
  </si>
  <si>
    <t>[ACIDO POLIACRILICO] 200mg/100g</t>
  </si>
  <si>
    <t>Paciente de 3 meses con sepsis de origen pumonar, en soporte ventilatorio invasivo, cursa con ulcera corneal bilateral requiere protecciÃ³n ocular para evitar progresiÃ³n y secuelas</t>
  </si>
  <si>
    <t>aplicar en cada ojo cada 4 horas</t>
  </si>
  <si>
    <t>PACIENTE CON FIBRILACION AURICULAR QUE NECESITA ANTICOAGULACION ORAL A LARGO PLAZO, SE USA EL PRESCRITO PARA DISMINUIR RIESGO DE SANGRADO.</t>
  </si>
  <si>
    <t>TOMAR 1 TABLETA DE 20 MG DE RIVAROXABAN CADA DIA POR 60 DIAS</t>
  </si>
  <si>
    <t>PACIENTE CON DIAGNOSTICO DE EPOC, REQUIERE BRONCODILATADOR DE ACCION PROLONGADA PARA CONTROL DE LA ENFERMEDAD</t>
  </si>
  <si>
    <t>REALIZAR 2 INHALACIONES DE DOSIS MEDIDA CADA 24 HORAS EN LA MAÑANA POR 30 DIAS</t>
  </si>
  <si>
    <t>PACIENTE CON FIBRILACION AURICULAR QUE NECESITA ANTICOAGULACION ORAL A LARGO PLAZO SE BENEFICIA DE  ANTICOAGULACION CON LEVE RIESGO DE SANGRADO</t>
  </si>
  <si>
    <t>TOMAR 1 TABLETA DE 20 MG CADA DIA POR 60 DIAS</t>
  </si>
  <si>
    <t>PACIENTE CON ENFERMEDAD DIARREICA AGUDA CON ALTO GASTO FECAL SE ORDENA PROBIOTICO ORAL COMO COADYUVANTE EN LA RESTITUCION DE LA MICROBIOTA INTESTINAL</t>
  </si>
  <si>
    <t>DILUIR SOBRE EN 10 CC DE AGUA Y DAR CADA 12 HORAS POR 5 DIAS.</t>
  </si>
  <si>
    <t>[APIXABAN] 5mg/1U</t>
  </si>
  <si>
    <t>PACIENTE CON HIPERTENSION ARTERIAL Y FIBRILACION AURICULAR PAROXISTICA, ANTICOAGULADA CON APIXABAN INDICO CONTINUAR CON ANTICOAGULACION PARA DISMINUIR MORBIMORTALIDAD CARDIOEMBOLICA.</t>
  </si>
  <si>
    <t>1 TABLETA CADA 12 HORAS</t>
  </si>
  <si>
    <t>NO CONTORL GLUCEMICO</t>
  </si>
  <si>
    <t>PACIENTE DIABETICA EN MANEJO CON STAGLIPTINA Y METFORMINA E INDULINA ABAJAS DOSIS SE AUMENTA DOSIS DE MEDICACION VIA ORAL Y SUSPEDNDO INSULINA BUSCANDO MEJOR CONTROL CARDIOMETABOLICO</t>
  </si>
  <si>
    <t>[BUDESONIDA] 320Âµg/1Dosis ; [FORMOTEROL FUMARATO DIHIDRATO] 9Âµg/1Dosis</t>
  </si>
  <si>
    <t xml:space="preserve">PACIENTE DE 60 AÃOS ANTECEDENTE DE TBC TRATADA HACE 33 AÃOS, RIESGO Y SOSPECHA DE EPOC, ADEMAS LAS MISMAS SECUELA DE TBC,  ESPIROMETRIA NO DIAGNOSTICA,  RX TORAX 1.2020 ENGROSAMIENTO PLEURAL IZQUIERDO,  GRANULOMAS CALCIFICADOS DE  LOBULOS SUPERIORES,  SINTOMAS REGULARES, CRISIS RECURRENTES,  MEJORIA CON TERAPIA COMBINADA,  CON MEJORIA CON RESPECTO A CONTROL PREVIO, SIN NUEVAS CRISIS.  SIN DATOS QUE SUGIERAN REACTIVACION DE TBC, CONTINUA  TERAPIA COMBINADA. </t>
  </si>
  <si>
    <t>USO DIARIO,HACER  1 INHALACIÓN BUCAL  CADA 12 HORAS</t>
  </si>
  <si>
    <t>PACIENTE CON INSUFICIENCIA VENOSA CRONICA EN SEGUIMIENTO POR CIRUGIA VASCULAR QUE INDICA TRATAMIENTO CON DIOSMINA Y HESPERISINA SE REALIZA PERDIDO PARA MEJORAR SINTOMATOLOGIA</t>
  </si>
  <si>
    <t>1 TABLETA DIARIA</t>
  </si>
  <si>
    <t xml:space="preserve">Paciente con fibrilacion auricular con alto riesgo cardioembolico con indicacion de  anticoagulacion permanente </t>
  </si>
  <si>
    <t xml:space="preserve">tomar una al dia </t>
  </si>
  <si>
    <t xml:space="preserve">paciente con diagnostico de glaucoma  quien requiere TRATAMIENTO </t>
  </si>
  <si>
    <t xml:space="preserve">aplicar una gota cada 12 horas </t>
  </si>
  <si>
    <t>SALBUTAMOL|BROMURO DE IPRATROPIO</t>
  </si>
  <si>
    <t>SE INDICA  ESTE NUEVO MEDICAMENTO CON EL OBJETIVO DE CONTROLAR SINTOMAS, ESTABILIZAR LA ENFERMEDAD Y MEJORAR LA CALIDAD DE VIDA DEL PACIENTE</t>
  </si>
  <si>
    <t>HACER UNA DOSIS DE DOS INHALACIONES CADA 24 HORAS</t>
  </si>
  <si>
    <t>[CLOBAZAM] 10mg/1U</t>
  </si>
  <si>
    <t>SINDROME CONVULSIVO Y SINDROME DE DOWN.</t>
  </si>
  <si>
    <t>PARA CONTROL DE SU EPILEPSIA.</t>
  </si>
  <si>
    <t xml:space="preserve">PX MANIFIESTA HA CONTINUADO CON REGURGITACIONES ACIDAS QUE HA DETERIORADO CALIDAD DE VIDA, REFIERE ADEMAS NAUSEAS PERSISTENTES. SE FORMULA MOSAPRIDA YA QUE ACTUA ESTIMULANDO LA MOTILIDAD DE LA PORCION INICIAL DEL TUBO DIGESTIVO, ACELERANDO LA EVACUIACION GASTRICA Y COMBINADA CON ESOMEPRAZOL MEJORA LA FUNCION ESOFAGICA EN PACIENTES CON REFLUJO GASTROESOFAGICO. </t>
  </si>
  <si>
    <t>[SOMATROPINA] 12mg/1ml</t>
  </si>
  <si>
    <t xml:space="preserve">PACIENTE CON TALLA BAJA APTOLOGICA , INICIO TRATAMIENTO HACE 10 MESES A -2.8 DE , VELOCIDAD DE CRECIMIENTO EN MEJORIA , GANANADOC ARRIL DE CRECIMIENTO , TALLA CTUAL -2.2 DE , AUN BAJA ,D EBE CNTINAUR TRATAMIENTO PARA MEJORAR VELOCIDAD DE CRECIMIENTO , LOGRAR TALLA FINAL EN RANGO FAMILIAR. SE CONSIDERA BUENA RESPUESTA CLINCIA , SIN EFECOS SECUDANRIOS. CONTINUA IGUAL DOSIS. </t>
  </si>
  <si>
    <t>CARTUCHO</t>
  </si>
  <si>
    <t>uso: apclair 1,2 mg sc dia  son 2 cartuchos por ems 8 para 4 meses</t>
  </si>
  <si>
    <t>PACIENTE FEMENINO DE 14 AÃOS DE EDAD REMITIDO DEL SERVICIO DE PEDIATRÃA NIEGA HIPERSENSIBILIDAD  A LOS MEDICAMENTOS Y ALIMENTOS ACUDE CON  TOS SECA PERSISTENTE, RINORREA HIALINA  ESTORNUDOS EN SALVA CON DX DE RINITIS Y URTICARIA DE 5 AÃOS DE EVOLUCIÃN SENSIBLE AL POLVO, OLORES FUERTES. ANTECEDENTE FAMILIAR DE ALERGIAS, MAMA CON RINITIS SE REALIZA TEST DE ALERGIA POSITIVO PARA AVISPA, MOSQUITO, ÃCAROS DEL POLVO CASERO Y HORMIGAS HEMO 600 DE EOSINOFILOS ABSOLUTOS IgE 2.068   20</t>
  </si>
  <si>
    <t>PACIENTE DE 75 AÃOS CON DIAGNOSTICO DE EPOC GRAVE GOLD 4 GRUPO D, HIPOXEMICA SEVERA,  CON INDICE DE BODE DE 4, CON TTO CON TERAPIA DUAL Y O2 CON MEJORIA, RECUPERACION EN SU CF, DISNEA MMRC 2,  VACUNAS VIGENTES,  HACE 1 MES DETERIORO EN SU CF,  SIN SIGNOS DE  FALLA CARDIACA,  SIN SINTOMAS B,  AHORA BRONCOESPASMO NO SEVERO, SIN DATOS QUE SUGIERAN SOBREINFECCION BRONQUIAL, INICIO CICLO CORTO DE ESTEROIDES ORALES,   SIGNOS DE ALARMA,  CONTINUA O2 15 H DIA Y TERAPIA DUAL.</t>
  </si>
  <si>
    <t>USO DIARIO,HACER  1 INHALACIÓN BUCAL CADA MAÑANA</t>
  </si>
  <si>
    <t>ALBENDAZOL</t>
  </si>
  <si>
    <t>PERSISTEN LARVAS ABUNDANTES EN PIE DERECHO</t>
  </si>
  <si>
    <t xml:space="preserve">PACIENTE SIN COMORBILIDADES QUIEN CURSA CON LESIONES ULCERADAS INTERDIGITALES EN PIE DERECHO CON PRESENCIA DE ABUNDANTES LARVAS. RECIBIENDO AB CON AMPICILINA SULBACTAM + CLINDMICINA D3. </t>
  </si>
  <si>
    <t xml:space="preserve">70 GOTAS VO CADA DIA POR 3 DIAS </t>
  </si>
  <si>
    <t>no tolera no mejora</t>
  </si>
  <si>
    <t>no control ni tolerancia medicacin pos de elecciÃ³n tratamierno de sÃ­ntomas leves a severos</t>
  </si>
  <si>
    <t>tomar una cada dia  6 meses</t>
  </si>
  <si>
    <t xml:space="preserve">PACIENTE REQUIERE MEDICAMENTO PRESCRITO PARA CONTROLAR PRESION INTRAOCULAR AMBOS OJOS. </t>
  </si>
  <si>
    <t xml:space="preserve">APLICAR UNA GOTA CADA 12 HORAS EN AMBOS OJOS. </t>
  </si>
  <si>
    <t>[ESPIRAMICINA] 3millon UI/1U</t>
  </si>
  <si>
    <t>EMBARAZO DE 25 SEMANAS TOXOPLASMOSIS GESTACIONAL</t>
  </si>
  <si>
    <t xml:space="preserve">TOXOPLASMOSIS EMBARAZO </t>
  </si>
  <si>
    <t>PACIENTE CON CONJUNTIVITIS ALÃRGICA EN AMBOS OJOS, LO CUAL SE SOLICITA TRATAMIENTO CON ANTIALERGICOS OCULARES PARA MEJORÃA VISUAL A LA PATOLOGÃA.\n\n\n\n</t>
  </si>
  <si>
    <t xml:space="preserve">APLICAR UNA GOTA CADA 12 HORAS,EN AMBOS OJOS DURANTE 1 MES </t>
  </si>
  <si>
    <t xml:space="preserve">PACIENTE REQUIERE DEL MEDICAMENTO PARA CONTROLAR PRESIÃN INTRAOCULAR </t>
  </si>
  <si>
    <t>APLICAR OJO DERECHO</t>
  </si>
  <si>
    <t xml:space="preserve">PACIENTE     REQUIERE DEL MEDICAMENTO PARA CONTROLAR PRESION INTRAOCULAR </t>
  </si>
  <si>
    <t>NEFROPATIA CRONICA DEL INJERTO QUE NO MEJORA CON  AZATIOPRINA</t>
  </si>
  <si>
    <t>[ACIDO MICOFENOLICO] 360mg/1U</t>
  </si>
  <si>
    <t>TOMAR 2 TABLETAS CADA 8 HORAS</t>
  </si>
  <si>
    <t>[TACROLIMUS] 5mg/1U</t>
  </si>
  <si>
    <t>TOMAR UNA TABLETA CADA DIA</t>
  </si>
  <si>
    <t>[TACROLIMUS] 1mg/1U</t>
  </si>
  <si>
    <t>[CARBOXIMETILCELULOSA SODICA] 10mg/1ml</t>
  </si>
  <si>
    <t xml:space="preserve">PACIENTE REQUIERE DLE MEDICAMENTO PARA CONTROLAR OJO SECO, ARDOR OCULAR, SENSACION DE CUERPO EXTRAÃO Y ASI EVITAR DAÃOS EN LA CORNEA </t>
  </si>
  <si>
    <t>CIFRAS DE GLICEMIA  ALTAS</t>
  </si>
  <si>
    <t>MUJER DE  72 AÃOS DE EDAD CON DX DM TIPO 2 QUE REQUIERE TRATAMIENTO CON TRAYENTA DUO COMO TERAPIA QUE  REGULA VALORES DE AZUCAR EN SANGRE  EVITANDO HIPER Y HIPOGLICEMIAS</t>
  </si>
  <si>
    <t>TOMAR 1 TAB DE TRAYENTA DUO CON EL DESAYUNO Y CENA VO X 3 MESES</t>
  </si>
  <si>
    <t xml:space="preserve">ASMA  Y RINITIS ALERGICA CONTROLADA,  ACT 2,  CONTINUA PASO 3 GINA,  DESESCALACION DE TERAPIA COMBINADA, CONTINUA  LTRA. PLAN DE AUTOMANEJO EN CRISIS. POR AHORA  SIN DESESCALACION. MANEJO MULTIDISCIPLINARIO DE OBESIDAD </t>
  </si>
  <si>
    <t>ASMA Y RINITIS ALERGICA CONTROLADA, ACT 2, CONTINUA PASO 3 GINA, DESESCALACION DE TERAPIA COMBINADA, CONTINUA LTRA. PLAN DE AUTOMANEJO EN CRISIS. POR AHORA SIN DESESCALACION. MANEJO MULTIDISCIPLINARIO DE OBESIDAD</t>
  </si>
  <si>
    <t>TOMAR VIA ORAL 1 TABLETA CADA  NOCHE</t>
  </si>
  <si>
    <t>USO DIARIO,HACER  1 INHALACIÓN EN CADA FOSA NASAL NOCHE</t>
  </si>
  <si>
    <t>NO TOLERA</t>
  </si>
  <si>
    <t xml:space="preserve">NOTOLERANCIA POBNRE MEJORIA CON MEDICAICON POS </t>
  </si>
  <si>
    <t xml:space="preserve">TOMAR UNA CADA DIA </t>
  </si>
  <si>
    <t>NO MEJORIA DE SINTOMAS</t>
  </si>
  <si>
    <t>PACIENTE CON DX DM TIPO 2 ,POLINEUROPATIA DIABETICA QUE REQUIERE TTO CON LEGABIN SR COMO TERAPIA QUE ALIVIA EL DOLOR NEUROPATICO BRINDANDO MEJOR CALIDAD DE VIDA AL PACIENTE</t>
  </si>
  <si>
    <t>TOMAR 1 TAB DE LEGABIN SR  X LAS NOCHES VO X 3 MESES</t>
  </si>
  <si>
    <t>FLAVONOIDE QUE SE INDICA EN INSUFICIENCIA VENOSA CRONICA DE MMII COMO COADYUVANTE DE LA SINTOMATOLIGIA, SU NO ADMINISTRACION PUEDE CONLLEVAR A DETERIORO CLINICO.\n</t>
  </si>
  <si>
    <t>se usa para tratar las afecciones a los ojos, incluyendo glaucoma e hipertensiÃ³n ocular, en la que un aumento de la presiÃ³n puede llevar a la pÃ©rdida gradual de la visiÃ³n.</t>
  </si>
  <si>
    <t>LABILIDAD EN EL INR</t>
  </si>
  <si>
    <t>[DABIGATRAN ETEXILATO] 150mg/1U</t>
  </si>
  <si>
    <t>PTE CON ANTECEDENTES DE HTA , SECUELAS DE ECV ISQUEMICO, CON CHA2DS2-VASC DE 4 PUNTOS POR LO CUAL REQUIERE TRATAMIENTO ANTICOAGULANTE CON DICHO MEDICAMENTO PARA EVITAR FUTURAS COMPLICACIONES</t>
  </si>
  <si>
    <t xml:space="preserve">1 TABLETA VIA ORAL AL DIA POR 6 MESES </t>
  </si>
  <si>
    <t xml:space="preserve">PACIENTE DE 80 AÃOS CON ANTECEDENTE DE OBESIDAD MORBIDAD, CARDIOPATIA CON  FEVI CONSERVADA,  EN LO QUE RESPECTA A NEUMOLOGIA ASMA  Y EPOC ( ACO) CON SINTOMAS DE ASMA QUE DIRIGEN LOS SINTOMAS, DISNEA Y SINTOMAS DIARIOS DE HRB,  ECOCARDIOGRAMA NORMAL SIN HTP, CON RX TORAX SIN COMPROMISO DEL PARENQUIMA PULMONAR,  ESPIROMETRIA CON OBSTRUCCION REVERSIBLE,  PSG DESCARTA  SAHS, GASES ARTERIALES  CONFIRMAN HIPOXEMIA CON HIPOVENTILACION COMPENSADA. </t>
  </si>
  <si>
    <t>PACIENTE DE 80 AÃOS CON ANTECEDENTE DE OBESIDAD MORBIDAD, CARDIOPATIA CON FEVI CONSERVADA, EN LO QUE RESPECTA A NEUMOLOGIA ASMA Y EPOC ( ACO) CON SINTOMAS DE ASMA QUE DIRIGEN LOS SINTOMAS, DISNEA Y SINTOMAS DIARIOS DE HRB, ECOCARDIOGRAMA NORMAL SIN HTP, CON RX TORAX SIN COMPROMISO DEL PARENQUIMA PULMONAR, ESPIROMETRIA CON OBSTRUCCION REVERSIBLE, PSG DESCARTA SAHS, GASES ARTERIALES CONFIRMAN HIPOXEMIA CON HIPOVENTILACION COMPENSADA.</t>
  </si>
  <si>
    <t>paciente con dx de ca de mama con receptores hormonates POSITIVA que toma anastrazol post tamoxifeno con EVOLUCIONA medica buena</t>
  </si>
  <si>
    <t>tomar un miligramo via oral diario por dos meses</t>
  </si>
  <si>
    <t>Solucion Oftalmica Frasco x 15 mL, 1 gota cada 6 Hora(s) en Ambos ojos por 4 Mes(es)Suministar: 4 Frasco(s)</t>
  </si>
  <si>
    <t>extrapiramidalismo</t>
  </si>
  <si>
    <t>paciente con autismo y trastorno de conducta en m,anejo con risperidona 2mg cada 12 horas para control de alteraciones comportamentales ansiedad irritabilidad e impulsividad, con adecuada evolucion. realize mipres hace 2 meses por 4 meses, hoy la madre acude nuevamente porque le dicen que debo realizar nueva formulacion porque hubo un cambio en el sistema...realizo formulacion por 2 meses</t>
  </si>
  <si>
    <t>dar 1 tableta cada 12 horas via oral por 60 dias</t>
  </si>
  <si>
    <t xml:space="preserve">EL PACIENTE TIENE UNA HEMOGLOBINA GLICOSILADA MAYOR DE 8 </t>
  </si>
  <si>
    <t xml:space="preserve">EL PACIENTE PERSISTE CON HEMOGLOBINA GLICOSILADA MAYOR DE 8 </t>
  </si>
  <si>
    <t xml:space="preserve">TOMAR 1 CAPSULA CADA 12 HORAS </t>
  </si>
  <si>
    <t xml:space="preserve">paciente con talla baja patologica por defifit de hormona de crecimiento, inicio tratamiento con somatorpina  2.8 de, gaando carrild e crecimiento, mejoria de velocidad de creicmiento debe continaur tratamiento para mejorar crecimiento lineal y talla final. continua igual dosis  </t>
  </si>
  <si>
    <t xml:space="preserve">aplicar 1,2 mg sc dia  son 3 cartuchos por mes 12 para 4 meses. </t>
  </si>
  <si>
    <t>APLICAR 1 GOTA CADA HORA EN EL OJO IZQUIERDO</t>
  </si>
  <si>
    <t>NO RESPUESTA, ADEMÁS SINTOMAS EXTRAPIRAMIDALES</t>
  </si>
  <si>
    <t>[RISPERIDONA] 1mg/1U</t>
  </si>
  <si>
    <t>PACIENTE CON ALTERACION COMPORTAMENTAL GRAVE QUE GENERA DISFUNCIONALIDAD FAMIILAR ESPECIALMENTE EN SUS CUIDADORES, QUIEN ES SU HIJA ÃNICA, CON ADECUADA TOLERANCIA A LA MEDICACION</t>
  </si>
  <si>
    <t>TOMAR UNA CADA 12 HORAS VIA ORAL</t>
  </si>
  <si>
    <t>[OLANZAPINA] 5mg/1U</t>
  </si>
  <si>
    <t>La olanzapina se usa para tratar los sÃ­ntomas de la esquizofrenia (una enfermedad mental que causa perturbaciones en el pensamiento, o pensamientos extraÃ±os, pÃ©rdida de interÃ©s por la vida y emociones fuertes o inapropiadas) en adultos y adolescentes de 13 aÃ±os y mayores. TambiÃ©n se usa para tratar el trastorno bipolar (trastorno manÃ­aco depresivo; una enfermedad que provoca episodios de depresiÃ³n, manÃ­a y otros estados de Ã¡nimo anormales</t>
  </si>
  <si>
    <t>PACIENTE CON DIAGNSOTICO ANOTADO EN TRATAMIENTO CON [OLANZAPINA] 5mg/1U CON BUEN CONTROL DE SU PATOLOGIA</t>
  </si>
  <si>
    <t>REMITIDO - NEUROCX - DOLOR LUMBAR HACE 1 AÃOS Y DOLOR FDE PIERNA DERECHA, SEGUIMIENTO PATOLOGIA: HTA, PARKINSON DOLOR LUMBAR Y DOLOR MID INTENSIDAD MODERADA Y SEVERO, REFIERE MEJORIA DE SU DOLOR POSTERIOR AL PROCEDIMIENTO DOLOR - LIMITACION FUUCNIONAL -- MEJORIA DEL DOLOR INTERVENCION: NO O:SIGNOS VITALES ACEPTABLES RX LUMBAR: L5-S1: HIDRASTROSIS FACETARIA L5-S1 , L4-L5, L3-L4 A: DOLOR CRONICO - DOLOR LUMBAR BAJA - DOLOR FACETOGENICO, NO CONTROLOA, SE CONSIDERA CASI CLINICO QUE SE BENEFICIO</t>
  </si>
  <si>
    <t>DAR 1 TABLETA VIA ORAL CADA 8 HORAS POR 30 DIAS DE TRATAMIENTO</t>
  </si>
  <si>
    <t>[TRAMADOL CLORHIDRATO] 50mg/1U</t>
  </si>
  <si>
    <t xml:space="preserve">PACIENTE REQUIERE DE ESTE MEDICAMENTO PARA SU MEJORIA DE SALUD </t>
  </si>
  <si>
    <t>TOMAR 1 TABLETA CADA 12 HORAS POR 60 DIAS.</t>
  </si>
  <si>
    <t>PACIENTE DE 70 AÃOS CON ANTECEDENTES DE MIOCARDIOPATÃA DILATADA CON FEVI DEL 35 - 37 % POR ECO DE MAYO 2019, HIPERTENSION ARTERIAL, DISLIPIDEMIAS, PARÃLISIS FACIAL (SECUELAR ABRIL 2017), EPOC?, EN EL MOMENTO ASINTOMÃTICA CARDIOVASCULAR. AL EXAMEN FISICO CIFRAS TENSIONALES FUERA DE METAS. PACIENTE CON POCA ADHERENCIA AL TRATAMIENTO, SE AUMENTA ENTRESTO 100 MG CADA 12 HR</t>
  </si>
  <si>
    <t>PACIENTE DE 70 AÑOS CON ANTECEDENTES DE MIOCARDIOPATÍA DILATADA CON FEVI DEL 35 - 37 % POR ECO DE MAYO 2019, HIPERTENSION ARTERIAL, DISLIPIDEMIAS, PARÁLISIS FAC</t>
  </si>
  <si>
    <t xml:space="preserve">NO CONTROL METABOLICO </t>
  </si>
  <si>
    <t xml:space="preserve">PACIENTE CON DIABETES DE DIFICIL CONTROL </t>
  </si>
  <si>
    <t>TOMAR UNA TABLETA ORAL CADA 12 HORAS POR 3 MESES</t>
  </si>
  <si>
    <t>PACIENTE DE 70 AÃOS CON ANTECEDENTES DE HIPERTENSION ARTERIAL, FIBRILACIÃN AURICULAR CHADS VASC 3, ENFERMEDAD CORONARIA CON ARTERIOGRAFÃA SEPT 2017: CON STENT MEDICADO EN ACX, DISLIPIDEMIAS, HIPOTIROIDISMO, EXPOSICIÃN AL HUMO DOMICILIARIO, EX FUMADOR. EN EL MOMENTO ASINTOMÃTICO CARDIOVASCULAR.PACIENTE DE 70 AÃOS CON ANTECEDENTES DE HIPERTENSION ARTERIAL, FIBRILACIÃN AURICULAR CHADS VASC 3, ENFERMEDAD CORONARIA CON ARTERIOGRAFÃA SEPT 2017: CON STENT MEDICADO EN ACX, DISLIPIDEMIAS, HIPOTIROIDISMO,</t>
  </si>
  <si>
    <t>PACIENTE DE 70 AÑOS CON ANTECEDENTES DE HIPERTENSION ARTERIAL, FIBRILACIÓN AURICULAR CHADS VASC 3, ENFERMEDAD CORONARIA CON ARTERIOGRAFÍA SEPT 2017: CON STENT M</t>
  </si>
  <si>
    <t>no respuesta al tto</t>
  </si>
  <si>
    <t>CITRATO DE POTASIO 1.080 MG X 10 MEQ X100 TAB TOMAR 1 TAB DIARIA  X 100 DIAS  REGISTR SANITARIO DE INVIMA 2012 M- 0012879,, ES UN SAL DE POTASIO LO CUAL HACE QUE LA ORINA SEA MAS ALCALINA, Y CONTRIBUYE A LA ELIMINACION DE CALCULOS RENALES.   \n\n</t>
  </si>
  <si>
    <t xml:space="preserve">tto x 100 dias </t>
  </si>
  <si>
    <t xml:space="preserve">hiperglicemias a repeticion  no tolerancia a la metformina </t>
  </si>
  <si>
    <t xml:space="preserve">paciente con dm  obseidad  con poca tolerancia gastrointestinal a metforma  no logra alcanzar metas se inicio tto dual con vildagliptinametformina logrando mejoria de sintomas y control de glucemias </t>
  </si>
  <si>
    <t xml:space="preserve">1 tab cada dia por 3 meses </t>
  </si>
  <si>
    <t>NO CONTROL METABOLICO</t>
  </si>
  <si>
    <t>[EMPAGLIFLOZINA] 10mg/1U ; [LINAGLIPTINA] 5mg/1U</t>
  </si>
  <si>
    <t>PACIENTE QUE NO PRESENTABA MEJORÃA CON MEDICAMENTOS PREVIOS</t>
  </si>
  <si>
    <t>TOMAR UNA TABLETA ORAL AL DÍA CON EL ALMUERZO DURANTE 3 MESES</t>
  </si>
  <si>
    <t xml:space="preserve">PERSISTENCIA DE CRISIS ASMÁTICAS </t>
  </si>
  <si>
    <t>[FLUTICASONA PROPIONATO] 50Âµg/1Dosis ; [SALMETEROL] 25Âµg/1Dosis</t>
  </si>
  <si>
    <t xml:space="preserve">PACIENTE CON CRISIS  ASMÃTICAS FRECUENTES , NO RESPONDE A MEDICAMENTOS POS, SE INICIA FLUTICASONA SALMETREOL  CON BUENA RESPUESTA TERAPÃUTICA </t>
  </si>
  <si>
    <t xml:space="preserve">NO SUSPENDER TRATAMIENTO </t>
  </si>
  <si>
    <t>PREDNISONA</t>
  </si>
  <si>
    <t xml:space="preserve">PERSISTENCIA DE SINTOMAS </t>
  </si>
  <si>
    <t xml:space="preserve">PACIENTE QUE NO RESPONDE A MEDICAMENTOS POS, SE INICIA DEFLAZACORT CON BUENA RESPUESTA TERAPÃUTICA </t>
  </si>
  <si>
    <t xml:space="preserve">PACIENTE CON MAL CONTROL METABOLICO, OBESIDAD Y SIGNOS DE INSULINORESISTENCIA CON ALTAS DOSIS DE INSULINA BASAL Y BOLO. POR LO QUE SE INDICA MANEJO CON INHIBIDOR DE DPP-4 + BIGUANIDA A DOSIS PLENA. </t>
  </si>
  <si>
    <t xml:space="preserve">TOMAR 1 TABLETA CADA 12 HORAS.. </t>
  </si>
  <si>
    <t>[TIMOLOL] 5mg/1ml ; [TRAVOPROST] 0,04mg/1ml</t>
  </si>
  <si>
    <t>MINIMIZAR RIESGO DE PROGRESIÃN DE DAÃO GLAUCOMATOSO.  SE ORDENA MEDICAMENTO DE MANERA PERMANENTE, YA QUE DE NO SER TRATADO EL GLAUCOMA CON LLEVA A DAÃOS EN EL NERVIO  ÃPTICO Y CUANDO ESTO SUCEDE ES IRREVERSIBLE, RAZÃN POR LA CUAL HAY QUE MANTENER LA PRESIÃN INTRAOCULAR DENTRO DE LÃMITES NORMALES, PORQUE AUNQUE NO SE CONSIGA RECUPERAR VISIÃN EVITA QUE SE PIERDA PROGRESIVAMENTE LA QUE SE TIENE</t>
  </si>
  <si>
    <t xml:space="preserve">DUOTRAV GOTAS </t>
  </si>
  <si>
    <t>[APROTININA] 3000UI/1ml ; [CALCIO CLORURO] 40Âµmol/1ml ; [FIBRINOGENO 72-110mg] 91mg/1ml ; [TROMBINA] 500UI/1ml</t>
  </si>
  <si>
    <t>ELEVADO RIESGO DE SANGRADO, SE REQUIERE SI PRESENTA SANGRADO INCONTROLABLE, ADICIONALMENTE CONTROL DE FISTULA</t>
  </si>
  <si>
    <t>REACCIONES ALERGICAS</t>
  </si>
  <si>
    <t>Paciente quien cursa con EPOC fenotipo exacerbador recurrente, con inadecuada respuesta a manejo e indicaciÃ³n de escalamiento de terapia. Se considera es candidata a terapia con MacrÃ³lidos a bajas dosis, dados los episodios recurrentes sugestivos de infecciÃ³n respiratoria y efecto inmunomodulador del medicamento; ademÃ¡s, debe continuar manejo con triple terapia inhalada (LABA+LAMA+ICS).</t>
  </si>
  <si>
    <t>Tomar 1 tableta diaria los lunes, miércoles y viernes</t>
  </si>
  <si>
    <t>PACIENTE CON DIAGNOSTICO: CONJUNTIVITIS ALÃRGICA EL CUAL AMERITA TRATAMIENTO CON MEDICAMENTO  ANTIALERGICO  DE MAYOR CONCENTRACIÃN   DEBIDO  A  QUE  NO  SE LOGRA  CONTROLAR   CON  MEDICAMENTO  P.O.S</t>
  </si>
  <si>
    <t>MEDICAMENTO DE USO PERMANENTE NO SUSPENDA SIN AUTORIZACIÓN DE OFTALMOLÓGICA. USAR EN EL HORARIO INDICADO</t>
  </si>
  <si>
    <t xml:space="preserve">PACIENTE CON DIAGNOSTICO DE FIBRILACION AURICULAR QUIEN REQUIERE ANTICOAGULACION CON NUEVOS ANTOCOAGULANTES ORALES PARA EVITAR COMPLICACIONES EMBOLICAS. </t>
  </si>
  <si>
    <t xml:space="preserve">TOMAR 1 TABLETA CADA 12 HORAS DURANTE 90 DIAS. </t>
  </si>
  <si>
    <t>ACIDO MICOFENOLICO</t>
  </si>
  <si>
    <t xml:space="preserve">paciente quien ha sido manejado con otros medicamentos sin control de la enfermedad </t>
  </si>
  <si>
    <t xml:space="preserve">paciente masculino de 40 aÃ±os con diagnostico de lupus eritematoso sistemico que ha sido tratado sin lograr evolucion satisfactoria con otros medicamentos, por lo que se decide instaurar manejo con micofenolato de mofetil </t>
  </si>
  <si>
    <t xml:space="preserve">tomar dos tabletas de 500 mg cada 12 horas </t>
  </si>
  <si>
    <t>Paciente con choque septico con soporte vasoactivo con noradrenalina, inmunosuprimido con criptococosis diseminada y meningitis, en manejo con antofeticina y fluconazol. Con crecimiento de LCR con levaduras, hemocultivos de control negativos a las 48 horas, sin embargo, ante persistencia de fiebre se continÃºa con meropenem y vancomicina. NeurolÃ³gicamente comprometido. Se observa poliuria, se considera dado el contexto, alta probabilidad de edema cerebral y diabetes insipida se inicia vasopresina</t>
  </si>
  <si>
    <t>iniciar a 1 unidad hora.</t>
  </si>
  <si>
    <t>IBUPROFENO</t>
  </si>
  <si>
    <t>PACIENTE CON CUADRO CLINICO DE LARGO PERIODO DE EVOLUCION CARACTERIZADO POR DOLOR NASAL  OBSTRUCCION NASAL, RINORREA HIALINA CON MUCOSA CONGESTIVA, SECRESION , ESTORNUDOS RECURRENTE CON HIPERTROFIA DE CORNETES EN TRATAMIENTO SIN MEJORIA POR LO QUE SOLICITO PREGABALINA  CORTICOIDE LOCAL PARA DESINFLAMAR MUCOSA NASAL Y ERRADICAR PROCESO INFLAMATORIO Y ALERGICO</t>
  </si>
  <si>
    <t xml:space="preserve">RECOMENDACION GENERAL </t>
  </si>
  <si>
    <t>PACIENTE QUE SE LE REALIZA PROCEDIMIENTO DE EGD DX GASTRITIS H. PYLORI POSITIVA SE LE INDICA TTO CON CLARITROMICINA  Se usa en combinaciÃ³n con otros medicamentos para eliminar el H. pylori, una bacteria que causa Ãºlceras. La claritromicina pertenece a una clase de medicamentos llamados antibiÃ³ticos macrÃ³lidos. Su acciÃ³n consiste en detener el crecimiento de las bacterias</t>
  </si>
  <si>
    <t>TOMAR 1 TABLETA CADA 12 HORAS TTO 14 DIAS</t>
  </si>
  <si>
    <t>no satisfactorio</t>
  </si>
  <si>
    <t>paciente con dx de asma aalergica, no controlada con medicaion de primera linea</t>
  </si>
  <si>
    <t>CILINDRO</t>
  </si>
  <si>
    <t>hacer 1 inhalacion cada 12 horas, tratamiento por 4 meses</t>
  </si>
  <si>
    <t>paciente con dx de asma alergica no controlada con medicacion de primera linea.</t>
  </si>
  <si>
    <t>aplicar 2 jeringa prelleneda subcutanea cada 15 dias</t>
  </si>
  <si>
    <t>PACIENTE FEMENINA DE 79 AÃOS QUE PRESENTA CUADRO DE DOLOR TIPO URENTE DE AMBAS PIERNAS QUE SE ASOCIA CON PARESTESIAS Y CANSANCIO, SE LE  ORDENA MEDICAMENTO CON EL FIN DE AUMENTAR EL TONO VENOSO, Y POR LO TANTO PUEDE REDUCIR LA CAPACITANCIA VENOSA, LA DISTENSIBILIDAD Y LA EXTASIS, ESTO AUMENTA EL RETORNO VENOSO Y REDUCE LA PRESIÃN VENOSA.</t>
  </si>
  <si>
    <t>NO RESULTADO CON USO DE OTROS MEDICAMENTOS INMUNOSUPRESORES</t>
  </si>
  <si>
    <t xml:space="preserve">PACIENTE MASCULINO DE 40 AÃOS CON DIAGNOSTICO DE LUPUS ERITEMATOSO SISTEMICO SIN CONTROL CON OTROS AGENTES INMUNOSUPRESORES </t>
  </si>
  <si>
    <t xml:space="preserve">TOMAR DOS TABLETAS CADA 12 HORAS </t>
  </si>
  <si>
    <t>PRAZOSINA</t>
  </si>
  <si>
    <t xml:space="preserve">PERSISTENCIA DE CIFRAS TNESIONALES ELEVADAS </t>
  </si>
  <si>
    <t xml:space="preserve">PACIENTE FEMENINA DE 57 AÃOS DE EDAD CON AP DE HTA MAS DMT II, CIFRAS TENSIONALES ALTAS DE DIFICIL MANEJO POR LO CUAL SE ORDENA MINOXIDIL TAB 10 MG VO DÃA Y METABÃLICO CON SOPORTE DE HIPOGLICEMIANTES ORALES . SE REAJUSTAN ANTIHIPERTENSIVOS ORALES. NIEGA NUEVOS EPISODIOS DE CEFALEA SE AJUSTAN ANALGÃSICOS. PACIENTE CON 5 ANTIHIPERNTESIVOS CON MAL CONTROL DE CIFRAS TENSIONALES. </t>
  </si>
  <si>
    <t xml:space="preserve">TOMAR 1 TABLETA CADA 24 HORAS POR 30 DÍAS TOTAL 30 </t>
  </si>
  <si>
    <t>NO CONTROL CON MEDICAICON POS, DE ELECCION CONTROL DE SINOTMAS LEVES A SEVEROS PACINETE JOVEN Y EDED AVANZADA</t>
  </si>
  <si>
    <t>se utiliza para el control del glaucoma.</t>
  </si>
  <si>
    <t>APLICAR 1 GOTA CADA 8 HORAS EN AMBOS OJOS</t>
  </si>
  <si>
    <t xml:space="preserve">APLICAR 1 GOTA CADA 6 HORAS EN AMBOS OJOS POR 3 MESES </t>
  </si>
  <si>
    <t>[ACIDO POLIACRILICO] 2mg/100g</t>
  </si>
  <si>
    <t xml:space="preserve">PACIENTE QUE HACE 24 HORAS PRESENTA TRAUMA CON MATERIAL VEGETAL CON RAMA DE ARBOL EN EL OJO IZQUIERDO, CON POSTERIOR ARDRO, DOLOR Y MOLESTIASOD. OJO TRANQUILOS, CORNEA TRASPARENTE, ANGULO ABIERTO, CAMARA 1/2, PNCR 0.3      CRISTALINO TRASPARENTE      PIO 13 DE AG      FO. RETINA APLICADAOI  OJO HUIPEROMICO PEQUEÃA HERIDA CONJUNTIVAL NASAL DE 3 MM , CORNEA TRASPARENTE CON ABRASION A HORA 7, ANGULO ABIERTO, CAMARA 1/2, PNCR 0.3     CRISTALINO TRASPARENTE     FO. SANA, RETINA APLICADA </t>
  </si>
  <si>
    <t>PACIENTE REQUIERE MEDICAMENTO  ACRYLARM GEL TUBO x 10 GRAMOS</t>
  </si>
  <si>
    <t>[ACIDO FUSIDICO] 10mg/1ml</t>
  </si>
  <si>
    <t xml:space="preserve">PACIENTE QUE HACE 24 HORAS PRESENTA TRAUMA CON MATERIAL VEGETAL CON RAMA DE ARBOL EN EL OJO IZQUIERDO, CON POSTERIOR ARDRO, DOLOR Y MOLESTIASOD. OJO TRANQUILOS, CORNEA TRASPARENTE, ANGULO ABIERTO, CAMARA 1/2, PNCR 0.3      CRISTALINO TRASPARNTE      PIO 13 DE AG      FO. RETINA APLICADAOI  OJO HUIPEROMICO PEQUEÃA HERIDA CONJUNTIVAL NASAL DE 3 MM , CORNEA TRASPARENTE CON ABRASION A HORA 7, ANGULO ABIERTO, CAMARA 1/2, PNCR 0.3     CRISTALINO TRASPARENTE     FO. SANA, RETINA APLICADA </t>
  </si>
  <si>
    <t>PACIENTE REQUIERE MEDICAMENTO Fucithalmic 0,01 Susp Oft Tubo X 5 Gr</t>
  </si>
  <si>
    <t>[IMATINIB] 400mg/1U</t>
  </si>
  <si>
    <t xml:space="preserve">DX TUMOR ESTROMAL GASTROINTESTINAL.  VALORADO POR STAFF DE CX EN HGM DESCARTA PROCEDIMIENTO QUIRURGICO. \nDECIDEN INICIO DE IMATINIB 400 MG VO DIA DESDE MAYO DE 2019, ACTUAMENTE DISMINUCION DE TAMAÃO TUMORAL SEGUN REPORTE DE TAC Y RNM, SS NUEVO CONCEPTO POR CX ONCOLOGICA EN FORMA PRIORITARIA, CONTINUA IMATINIB 400 MG VO DIA SE INICIA ANTIEMETICO, CITO EN 2 MESES. </t>
  </si>
  <si>
    <t xml:space="preserve">CONTINUAR TTO </t>
  </si>
  <si>
    <t>PACIENTE CON CUADRO CLINICO DE APARICION DE MASA EN MAMA DERECHA POR LO CUAL CONSULTA REALIZANDOSE BIOPSIA EXCISIONAL: CARCINOMA CANALICULAR INFILTRANTE, TAMAÃO DE MUESTRA 2,5 CM.-15-10-2015 -RECEPTORES HORMONALES POSITIVOS 10%, HER2 NEGATIVO. RECIBIÃ QUIMIOTERAPIA NEOADYUVANTE 4 CICLOS AC + 12 SEMANAS DE PACLITAXEL. FUE LLEVADA A MRM+VAC EN ABRIL DE 2016 CON REPORTE DE PATOLOGIA:(PROTOCOLO 16EQ018662 DRA. MEJIA)05-04-2016 CARCINOMA INVASIVO POBREMENTE DIFERENCIADO SIN INVASION LINFOVASCULAR</t>
  </si>
  <si>
    <t>DAR 1 TABLETA DE 1 MILIGRAMO VIA ORAL CADA 24 HORAS POR 90 DIAS DE TRATAMIENTO</t>
  </si>
  <si>
    <t>PACIENTE CON DOLOR CRONICO QUIEN VIENE MANEJADA CON ESTE MEDICAMENTO REQUIERE CONTNUAR CONSUMENDOLO PARA EVITAR INCREMENTO DE SUS SINTOMAS</t>
  </si>
  <si>
    <t>1 CADA 8 HORAS POR TRES MESES</t>
  </si>
  <si>
    <t>CLONAZEPAM</t>
  </si>
  <si>
    <t>no control no tolera</t>
  </si>
  <si>
    <t>[TOXINA BOTULINICA] 50U/1U</t>
  </si>
  <si>
    <t>de elecciÃ³n Ãºnico para distonÃ­a focal</t>
  </si>
  <si>
    <t xml:space="preserve">aplicaicon protocolo espamso hemifacial </t>
  </si>
  <si>
    <t xml:space="preserve">SIN MEJORIA CLINICA DEL VERTIGO </t>
  </si>
  <si>
    <t xml:space="preserve">SIN MEJORIA CLINICA DEL DOLOR </t>
  </si>
  <si>
    <t xml:space="preserve">TOMAR 1 TABLETA CADA 8 HORAS POR 3 DIAS , SEGUIR 1 TABLETA CADA 12 HORAS POR 2 DIAS Y CONTINUAR 1 TABLETA AL DIA </t>
  </si>
  <si>
    <t>CARVEDILOL</t>
  </si>
  <si>
    <t>PACIENTE DE 57 AÃOS CON ANTECDENTES DE ARRITMIA CARDIACA NO ESPECIFICADA DE LARGA DATA, DERIVADA DE MEDICINA INTERNA PARA MANEJO ASINTOMATICA CARDIOVASCULAR. AL EXAMEN FISICO NO APORTA DATOS DE INTERES, SE SUSEPNDE AMIODARONA POR ALTERACION TIROIDEA , SE AUMENTA BISOPROLOL 5 MG CADA 12 HRS, SE DAN RECOMENDACIONES DE SUSPENDER CAFEINA, CITA DE CONTROL EN 15 DIAS CON RESULTADOS DE HOLTER PENDIENTE REPORTE.</t>
  </si>
  <si>
    <t>PACIENTE DE 57 AÑOS CON ANTECDENTES DE ARRITMIA CARDIACA NO ESPECIFICADA DE LARGA DATA, DERIVADA DE MEDICINA INTERNA PARA MANEJO ASINTOMATICA CARDIOVASCULAR. AL</t>
  </si>
  <si>
    <t>NO CONTROL DE CIFRAS TENSIONALES</t>
  </si>
  <si>
    <t>[AMLODIPINO] 5mg/1U ; [CANDESARTAN  CILEXETILO] 32mg/1U</t>
  </si>
  <si>
    <t>PACIENTE ADULTA MAYOR HIPERTENSA MAS ENFERMEDAD DE PARKINSON, CON TTO  CON ESTE MEDICAMENTO POR MAS DE 6 AÃOS</t>
  </si>
  <si>
    <t>UNA TABLETA DIARIA</t>
  </si>
  <si>
    <t>CA DE CERVIX E IV CON PELVIS CONGELADA NEFROSTOMIA EN TRATAMIENTO PALIATIVO REFIERE UNA MEJORIA SUBJETIVA DE SU DOLOR , SE REALIZO COLESTOMIA POR FISTULA RECTOVAGINAL. GAMMAGRAFIA OSEA 30/09/2019 NEGATIVA PARA METS PET SCAN 05/08/2019 ENGROSAMIENTO DEL CERVIX UTERINO CON CATACION FOCAL COMO DESCRIBE EN RELACION A VIABILIDAD TUMORAL. ECOGRAFIA TIROIDES BOCIO TIROIDEO.03/10/2019</t>
  </si>
  <si>
    <t>APLICAR 300 MILIGRAMOS INTRAVENOSO DIA 1 Y DIA 8, SEGUN PROTOCOLO DE QUIMIOTERAPIA</t>
  </si>
  <si>
    <t xml:space="preserve">PACIENTE REQUIERE DEL MEDICAMENTO PARA CONTROLAR PLURITO OCULAR Y ASI EVITAR LA PROGRECION DEL QUERATOCONO </t>
  </si>
  <si>
    <t>[AMLODIPINO] 5mg/1U ; [VALSARTAN] 320mg/1U</t>
  </si>
  <si>
    <t>PACIENTE CON ANTECEDENTES YA ANOTADOS, EL EXAMEN FISICO CIFRAS TENSIONALES FUERA DE METAS, PACIENTE SIN TRATAMIENTO QUIEN\nSE LE VALSARTAN 320MG EN CITA ANTERIOR Y EPS NO LA HA ENTREGA, SE HACE NUEVA ORDEN CON EL CIRUJANO CARDIOVASCULAR, CONTROL\nCARDIOLOGIA EN 1 MES\nPACIENTE CON ANTECEDENTES YA ANOTADOS, EL EXAMEN FISICO CIFRAS TENSIONALES FUERA DE METAS, PACIENTE SIN TRATAMIENTO QUIEN\nSE LE VALSARTAN 320MG EN CITA ANTERIOR Y EPS NO LA HA ENTREGA, SE HACE NUEVA ORDEN CON EL CIRUJANO CARDIOVASCULA</t>
  </si>
  <si>
    <t>PACIENTE CON ANTECEDENTES YA ANOTADOS, EL EXAMEN FISICO CIFRAS TENSIONALES FUERA DE METAS, PACIENTE SIN TRATAMIENTO QUIEN\nSE LE VALSARTAN 320MG EN CITA ANTERIOR</t>
  </si>
  <si>
    <t xml:space="preserve"> CITRATO DE POTASIO 1.080 MG X 10 MEQ X100 TAB TOMAR 1 TAB DIARIA  X 100 DIAS  REGISTR SANITARIO DE INVIMA 2012 M- 0012879,, ES UN SAL DE POTASIO LO CUAL HACE QUE LA ORINA SEA MAS ALCALINA, Y CONTRIBUYE A LA ELIMINACION DE CALCULOS RENALES.   \n\n</t>
  </si>
  <si>
    <t>[LOMITAPIDA] 10mg/1U</t>
  </si>
  <si>
    <t>PACIENTE CON HIPERCOLESTEROLEMIA SEVERA, YA CON ESTUDIO GENETICO QUE CONFIRMA MUTACION HETEROCIGOTA DE LDLR, CON POBRE RESPUESTA A USO DE ESTATINAS A DOSIS ALTAS, POR LO QUE REQUIERE INCIIO DE TERAPIA CON LOMITAPIDE PARA CONTROL DE NIVELES DE COLESTEROl Y DIMINUIR RIESGO CARDIOVASCULAR</t>
  </si>
  <si>
    <t>LOMITAPIDE 10 MG VO 1 CAPSULA DIARIA EN LA NOCHE 2 HORAS DESPUES DE CENAR</t>
  </si>
  <si>
    <t>APLICAR UNA GOTA CADA 8 HORAS EN AMBOS OJOS\n</t>
  </si>
  <si>
    <t>[DIACEREINA] 50mg/1U</t>
  </si>
  <si>
    <t xml:space="preserve">mejoria de  calidad de cartilago oseo  y de uniones de colageno </t>
  </si>
  <si>
    <t xml:space="preserve">tomar 1 capsula diaria por 4 meses </t>
  </si>
  <si>
    <t>[AZELASTINA CLORHIDRATO] 137Âµg/1Dosis ; [FLUTICASONA PROPIONATO] 50Âµg/1Dosis</t>
  </si>
  <si>
    <t>045</t>
  </si>
  <si>
    <t>NASAL</t>
  </si>
  <si>
    <t>PACIENTE CON CUADRO CLINICO DE LARGO PERIODO DE EVOLUCION CARACTERIZADO POR OBSTRUCCION NASAL, RINORREA HIALINA CON MUCOSA CONGESTIVA, SECRESION , ESTORNUDOS RECURRENTE CON HIPERTROFIA DE CORNETES EN TRATAMIENTO SIN MEJORIA POR LO QUE SOLICITO AZEFLU  SPRAY CORTICOIDE LOCAL PARA DESINFLAMAR MUCOSA NASAL Y ERRADICAR PROCESO INFLAMATORIO Y ALERGICO</t>
  </si>
  <si>
    <t xml:space="preserve">FRASCOS DE 200 DOSIS 1 PUFF EN CADA 12 HORAS EN FOSA NASAL AZEFLU </t>
  </si>
  <si>
    <t>SE REQUIERE MEDICAMENTO QUE AUMENTE REPIGMENTACION</t>
  </si>
  <si>
    <t>APLICAR 2 VECES AL DIA EN LAS MANCAHS BLANCAS DE GENITALES</t>
  </si>
  <si>
    <t>debe combinarse con clopidogrel por un año debido a embolizacion</t>
  </si>
  <si>
    <t>PACEINTE CON ANTECEDENTE DE HSA SECUNDARIA A RUPTURA DE ANEURISMA DE ACMI, SECUELAS LEVES DE HEMIPARESIA MSD.\nDEBE CONTINUAR MANEJO CON CLOPIDOGREL 75 MG DIA debido a embolizacion.</t>
  </si>
  <si>
    <t>tomar una tableta via oral cada dia por 3 meses</t>
  </si>
  <si>
    <t>[BETAHISTINA DICLORHIDRATO] 8mg/1U</t>
  </si>
  <si>
    <t>PACEINTE CON ANTECEDENTE DE HSA SECUNDARIA A RUPTURA DE ANEURISMA DE ACMI, SECUELAS LEVES DE HEMIPARESIA MSD.\nDEBE CONTINUAR MANEJO CON CLOPIDOGREL 75 MG DIA.\nVERTIGO PERSISTENTE, NO HA SIDO POSIBLE LA VALORACION POR OTORRINOLARINGOLOGIA, no mejoria con dimenhidrinato, SE DECIDE INICIO DE BETAHISTINA 8 MG CADA 12 HORAS.</t>
  </si>
  <si>
    <t>tomar 1 cada 12 horas vo por tres meses</t>
  </si>
  <si>
    <t>[BROMURO DE PINAVERIO] 100mg/1U ; [DIMETICONA] 300mg/1U</t>
  </si>
  <si>
    <t>PACIENTE QUE SE LE REALIZA PROCEDIMIENTO DE COLONOSCOPIA TOTAL DX HEMORROIDES GII SE LE INIDCA TTO DICETEL DUO tratamiento sintomÃ¡tico del dolor, trastornos del trÃ¡nsito y molestias intestinales relacionadas con alteraciones funcionales intestinales; tratamiento sintomÃ¡tico del dolor relacionado con trastornos funcionales de las vÃ­as biliares</t>
  </si>
  <si>
    <t>TOMAR 1 TABLETA VIA ORAL CADA 12 HORAS TTO 1 MES</t>
  </si>
  <si>
    <t>[LEVOCETIRIZINA DICLORHIDRATO] 2,5mg/5ml</t>
  </si>
  <si>
    <t>C42996</t>
  </si>
  <si>
    <t>JARABE</t>
  </si>
  <si>
    <t>PACIENTE MASCULINO DE 6  AÃOS DE EDAD REMITIDO DEL SERVICIO DE PEDIATRÃA SIN ANTECEDENTE FAMILIAR DE ALERGIAS CON DX DE ASMA, RINITIS, Y URTICARIA  DE 3 AÃOS DE EVOLUCIÃN SENSIBLE AL POLVO, OLORES FUERTES HA RECIBIDO TRATAMIENTO CON LORATADINA, CETERIZINA, MONTELUKAST CON ESCASA MEJORIA CLÃNICA TRAE IGE 1309. SE LE REALIZA TEST DE ALERGIA POSITIVO A ÃCAROS DEL POLVO CASERO</t>
  </si>
  <si>
    <t>DAR 4 CC POR LAS NOCHES</t>
  </si>
  <si>
    <t>[EXEMESTANO] 25mg/1U</t>
  </si>
  <si>
    <t>DIAGNOSTICO DE CANCER DE SENO T1N0M0 E I (CUADRANTECTOMIA ) RE+ RP+ POST MENOPAUSICA SE PIDIO ESTUDIO PROSIGNA PARA VER SI HABIA BENEFICION DE RECIBIR QUIMIOTERAPIA ENDOVENOSA VS HORMONOTERAPIA, LO CUAL DESDE SU CIRUGIA DESDE FEB DEL 218 MIENTRAS TANTO SE CONTINAU CON LA INDICACION DE RECIBIR TAMOXIFENO, PRESENTANDO UN ENGROSAMIENTO ENDOMETRIAL DE 1.4 CM E MDIOCA EXEMESTANO POR EFECTO TOXICOAL LETROZOL TAB 2.5MG DIA</t>
  </si>
  <si>
    <t xml:space="preserve">DAR 1 TABLETA DE 25 MILIGRAMOS VIA ORAL CADA 24 HORAS POR 90 DIAS DE TRATAMIENTO </t>
  </si>
  <si>
    <t>[HIALURONATO DE SODIO] 10mg/1ml</t>
  </si>
  <si>
    <t>014</t>
  </si>
  <si>
    <t>INTRAARTICULAR</t>
  </si>
  <si>
    <t xml:space="preserve"> mejora la union de colagenos en cartilago articular   pacinee presnee por radiografia artrosis grado 2 </t>
  </si>
  <si>
    <t xml:space="preserve">aplicar 1 ampolla intraarticular en rodilla  derecha semanal por 3 semanas </t>
  </si>
  <si>
    <t>[FEXOFENADINA CLORHIDRATO] 180mg/1U</t>
  </si>
  <si>
    <t>PACIENTE DE 35 AÃOS DE EDAD CON DX DE RINITIS ALERGICA PERSISTENTE SEVERA.PRESENTA ESTORNUDOS EN SALVA, RINORREA PRURITO NASAL Y OCUAR.\nDX CLINICO CONFIRMADO POR PRUEBA INTRAEPIDERMICA DE ALERGIAS CON AEROALERGENOS asocia dermatitis alergica de contacto y urticaria alergica MALA CALIDAD DE VIDA POR LO ANTERIOR SE RECOMIENDA FEXOFENADINA 180 MG ANTIHISTAMINICO DE 2 GENERACION INDICADO EN EL CONTROL Y\nMANEJO DE LAS AFECCIONES ALERGICAS CON ESCASA RESPUESTA A OTROS ANTI H1</t>
  </si>
  <si>
    <t>tomar una tableta al dia por 2 meses</t>
  </si>
  <si>
    <t>[ABIRATERONA ACETATO] 250mg/1U</t>
  </si>
  <si>
    <t>CA DE PROSTATA METASTASICO RESISTENTE A LA CASTRACIÃN IK 60-70%, LLEVA 9 DE 10 SESIONES DE RTTO A MTS OSEAS.PSA 298,07 NG/ML OLIMPUS TESTOSTERONA TOTAL 0,60 LABS DEL HOSPITAL SANTO TOMAS DIA 20.3.2019 CREATININA 1,27, BILIRRUIBNAS NORMAL. GLICEMIA 95 UROANALISIS NORMAL HB 11,8 HTO 35,9%. PLAN: SE INDICA ACETATO DE ABIRATERONA (ZYTIGA)TABLETAS X 500 MG DEBE TOMAR 2 TABLETAS JUNTAS MAS PREDNISOLONA X 5 MG DOS TAB JUNTAS NOTA EL DEBE TOMAR CALCIO + VITAMINDA D UNA TAB DIA DEBE ASOLEARSE 2 HORAS</t>
  </si>
  <si>
    <t>DAR 4 TABLETAS DE 250 MILIGRAMOS JUNTAS ES DECIR 1 GRAMO VIA ORAL CADA 24 HORAS POR 90 DIAS DE TRATAMIENTO</t>
  </si>
  <si>
    <t>PACIENTE DE 35 AÃOS DE EDAD CON DX DE RINITIS ALERGICA PERSISTENTE SEVERA.PRESENTA ESTORNUDOS EN SALVA, RINORREA PRURITO NASAL Y OCUAR. DX CLINICO CONFIRMADO POR PRUEBA INTRAEPIDERMICA DE ALERGIAS CON AEROALERGENOS asocia dermatitis alergica de contacto y urticaria alergica MALA CALIDAD DE VIDA POR LO ANTERIOR SE RECOMIENDA mometsona furoato 50mcg glucorticoide topico nasal antiinflaMATORIO INDICADO EN EL CONTROL DE LA RINITIS ALERGIA CON ESCASA RESPUESTA A MUCHOS TTOS.</t>
  </si>
  <si>
    <t>APLCAR UN PUF EN CADA FOSA NASAL UNA VEZ AL DIA POR 3 MESES</t>
  </si>
  <si>
    <t>ESCASA RESPUESTA</t>
  </si>
  <si>
    <t>PACIENTE DE 35 AÃOS DE EDAD CON DX DE RINITIS ALERGICA PERSISTENTE SEVERA.PRESENTA ESTORNUDOS EN SALVA, RINORREA PRURITO NASAL Y OCUAR. DX CLINICO CONFIRMADO POR PRUEBA INTRAEPIDERMICA DE ALERGIAS CON AEROALERGENOS ASOCIA DERMATITIS ALERGICA DE CONTACTO Y URTICARIA ALERGICA MALA CALIDAD DE VIDA POR LO ANTERIOR SE RECOMIENDA DESONIDA 0.05G CORTICOESTEROIDE TOPICO. INDICADO EN EL CONTROL Y MANEJO DE LAS AFECCIONES  DE LA PIEL.</t>
  </si>
  <si>
    <t>APLICAR CADA 12 HORAS EN LAS ZONAS AFECTADAS POR 21 DIAS</t>
  </si>
  <si>
    <t>[CALCIO] 200mg/1U ; [COLECALCIFEROL] 150UI/1U ; [ISOFLAVONA] 40mg/1U</t>
  </si>
  <si>
    <t>tomar una diaria para mejoria de sintomatologia climaterica</t>
  </si>
  <si>
    <t>tomar una diaria en la mañana</t>
  </si>
  <si>
    <t>SE LE ORDENA MEDICAMENTO PARA EL alivio temporal de la irritaciÃ³n, picazÃ³n, ardor y molestias que se presentan en el sÃ­ndrome de resequedad ocular, sea este moderado o severo, de cualquier etiologÃ­a, incluyendo la irritaciÃ³n ocular causada por el viento y exposiciÃ³n al sol.</t>
  </si>
  <si>
    <t>PACIENTE 15 AÃOS CON HIPERCOLESTEROLEMIA FAMILAIR HOMOCIGOTA CON PRUEBA FAMILIAR CONFIRMATORIA,  EN TRATAMIENTO ESCALONADO CON ESTATINA, EZETIMIBE Y CON MANEJO COADYUVANTE CON LOMITAPIDE, CON MEJORIA IMPORTANTE DE VALOR DE LDL , TRIGLICERIDOS NORMALES, FUNCION HEPATICA, NORMAL, TRATAMIENTO BIEN TOLERADO, SIN EFECTOS SECUDNARIOS, SE CONTINUA IGUAL DOSIS.  REQEUIRE TRATAMIENTO SIN SUSPNDER PARA DISMINUIR RIESGO CARDIOVASCULAR, DE MUERTE SUBITA.</t>
  </si>
  <si>
    <t>USO. TOMAR 1 TABLETA AL DIA SIN SUPENDER</t>
  </si>
  <si>
    <t xml:space="preserve">USO: TOMAR 1 CAPSULA DE 10 MG  1 CAPSUOLA DE 5 MG , PARA DOSIS DIA DE 15 MG , DOS HORAS DESPUES DE LA CENA, </t>
  </si>
  <si>
    <t>[LOMITAPIDA] 5mg/1U</t>
  </si>
  <si>
    <t xml:space="preserve">USO: TOMAR 1 TABLETA DE 5 MG  UNA TABLETA DE 10 MG PARA DOSIS TOTALD E 15 MG . DOS HORAS POSTERIOR A CENA. </t>
  </si>
  <si>
    <t>[ACIDO DOCOSAHEXAENOICO] 375mg/1U ; [ACIDO EICOSAPENTANOICO] 465mg/1U</t>
  </si>
  <si>
    <t>PACIENTE 15 AÃOS CON HIPERCOLESTEROLEMIA FAMILAIR HOMOCIGOTA CON PRUEBA FAMILIAR CONFIRMATORIA,  EN TRATAMIENTO ESCALONADO CON ESTATINA, EZETIMIBE Y CON MANEJO COADYUVANTE CON LOMITAPIDE, CON MEJORIA IMPORTANTE DE VALOR DE LDL , TRIGLICERIDOS NORMALES, FUNCION HEPATICA, NORMAL, TRATAMIENTO BIEN TOLERADO, SIN EFECTOS SECUDNARIOS,   REQEUIRE TRATAMIENTO SIN SUSPNDER PARA DISMINUIR RIESGO CARDIOVASCULAR, DE MUERTE SUBITA.REQUIERE MANEJO ACUADYUNVANTE PARA MEJORIA DE METABOLISMO DE LIPIDOS</t>
  </si>
  <si>
    <t>USO. TOAMR 1 CAPSULA ADA 12 HORAS. SON 60 POR MES .360 PARA 6 MESES</t>
  </si>
  <si>
    <t>[VITAMINA E] 400UI/1U</t>
  </si>
  <si>
    <t xml:space="preserve">PACIENT EEN TRATAMIENTO HIPOLIPEMIANTE QUE DISMINUYE VITMAIANS LIPOSIBLES POR LO CUAL REQEURIE SUPLEMENTACION. </t>
  </si>
  <si>
    <t xml:space="preserve">USO: TOMAR 1 CAPSULA AL DIA. </t>
  </si>
  <si>
    <t xml:space="preserve">PACIENTE EN TRATAMIENTO HIPOLIPEMIANTE, REQURE SUPLEMENTACION CON MULTIVIAMTIANS POR RIESGO DE HIPOVITAMINOSIS </t>
  </si>
  <si>
    <t>USO: DAR 15 GTOAS AL DIA  SON 2 FRASCOS POR MES . 12 PARA 6 MESES</t>
  </si>
  <si>
    <t>tibolona, una hormona sexual sintÃ©tica. estÃ¡ indicado en mujeres postmenopÃ¡usicas en las que hayan transcurrido al menos 12 meses desde su Ãºltimo periodo natural. Durante la menopausia la cantidad de estrÃ³genos producidos por el cuerpo de la mujer disminuye.</t>
  </si>
  <si>
    <t xml:space="preserve">TOMAR UNA TABLETA DIARIA </t>
  </si>
  <si>
    <t>[PANCREATINA] 170mg/1U ; [SIMETICONA] 80mg/1U</t>
  </si>
  <si>
    <t>PX MANIFIESTA MEJORIA CLINICA, BUENA RESPUESTA TTO MEDICO. SE CONTINUA TRATAMIENTO PANCREATINA SIMETICONA YA QUE SIRVE PARA ALIVIAR SINTOMAS ASOCIADOS CON LA DIGESTION DEFECTUOSA COMO DISTENSION ABDOMINAL FLATULENCIA DISPEPSIA SENSACION DE LLENURA DESPUES DE LAS COMIDAS. SIMETICONA: DISMINUYE LA CANTIDAD DE GAS EN EL ESTOMAGO Y EL INTESTINO.</t>
  </si>
  <si>
    <t>PX MANIFIESTA MEJORIA CLINICA, BUENA RESPUESTA TTO MEDICO. SE CONTINUA TRATAMIENTO TRIMEBUTINA MALEATO YA QUE  MEJORA ABSORCION DE ALIMENTOS AYUDA A MEJORAR DISTENSION DOLOR ABDOMINAL CALIDAD EN DEPOSICIONES MANIFIESTA MEJORIA CON EL TRATAMIENTO</t>
  </si>
  <si>
    <t>sin mejoria</t>
  </si>
  <si>
    <t>[BACLOFENO] 10mg/1U</t>
  </si>
  <si>
    <t>PACIENTE CON EPILEPSIA FOCAL DE NOVO SECUNDARIA A ANGIOMA CAVERNOSO EN AREA MOTORA DERECHA, SE REALIZO MANEJO QUIRURGICO SIN COMPLICACIONES.\nSE DECIDE INICIO DE BACLOFENO 10 MG CADA 12 HORAS PARA MAENJO DE ESPASTICIDAD Y DOLOR CRONICO.</t>
  </si>
  <si>
    <t>tomar 1 tableta vo cada 12 horas</t>
  </si>
  <si>
    <t xml:space="preserve">PCTE QUE ASISTE A CONSULTA DE GLAUCOMA. PRESENTA MALA VISION EN AO. AL EXAMEN CLINICO PIO: 14/32 MMHG.ELEVADAS.... FDO: OD NO VALORABLE POR OPACIDAD DE MEDIOS OI EXC 0.7% VASOS TORTUOSOS. DX; 1. GLAUCOMA NO ESPECIFICADO EN OI, PLAN: BRIMODOR GOTAS C/12 HRS EN AO, LATANOPROST 0.005% GOTAS C/NOCHE EN AO....TRATAMIENTO   INDICADO PARA MANTENER LA PRESIÃN OCULAR EN UN NIVEL SALUDABLE, Y CONSTITUYEN UNA PARTE IMPORTANTE DE LA RUTINA DE TRATAMIENTO PARA PREVENIR LA PERDIDA DE LA VISIÃN </t>
  </si>
  <si>
    <t>APLICAR EN AMBOS OJOS CADA 12 HORAS, USAR OPORTUNAMENTE, SE LE FORMULA BRIMODOR</t>
  </si>
  <si>
    <t>NAUSEAS</t>
  </si>
  <si>
    <t>[LEVOCETIRIZINA DICLORHIDRATO] 5mg/1U</t>
  </si>
  <si>
    <t>REQUIERE ANTIHISTAMINICO</t>
  </si>
  <si>
    <t>TOMAR UNA TABLETA AL MEDIO DIA Y NOCHES</t>
  </si>
  <si>
    <t xml:space="preserve">PX MANIFIESTA CONTINUAR CON REGURGITACIONES ACIDAS E INCREMENTO DE SECRECION MUCOIDE EN GARGANTA. SE CONTINUA TTO MOSAPRIDA YA QUE ACTUA ESTIMULANDO LA MOTILIDAD DE LA PORCION INICIAL DEL TUBO DIGESTIVO, ACELERANDO LA EVACUIACION GASTRICA Y COMBINADA CON ESOMEPRAZOL MEJORA LA FUNCION ESOFAGICA EN PACIENTES CON REFLUJO GASTROESOFAGICO. </t>
  </si>
  <si>
    <t>APLICAR UNA GOTA CADA  6 HORAS EN AMBOS OJOS\n</t>
  </si>
  <si>
    <t>PREDNISONA|AZATIOPRINA</t>
  </si>
  <si>
    <t>refractariedad a los esteroides</t>
  </si>
  <si>
    <t>[RITUXIMAB] 10mg/1ml</t>
  </si>
  <si>
    <t xml:space="preserve">paciente con diagnostico de purpura trombocitopenica inmune quien presenta refractariedad a los esteroides a la espera de realizacion de esplenectomia por lo que se solicita terapia de tercera linea debido a trombocitopenia severa </t>
  </si>
  <si>
    <t xml:space="preserve">aplicar 600 mg diluido en 500 cc de sol 0.9 pasar EV en 4 horas lento cada semana por 4 dosis </t>
  </si>
  <si>
    <t xml:space="preserve">pACIENTE DE 52 AÃOS CON ANTECEDENTES DE ARRITMIA CARDIACA NO ESPECIFICADA, HIPOTIROIDISMO. REFIERE MEJORIA DE DOLOR PRECORDIAL </t>
  </si>
  <si>
    <t xml:space="preserve">pACIENTE DE 52 AÑOS CON ANTECEDENTES DE ARRITMIA CARDIACA NO ESPECIFICADA, HIPOTIROIDISMO. REFIERE MEJORIA DE DOLOR PRECORDIAL </t>
  </si>
  <si>
    <t>PACIENTE  CON  INFECCION  GRAVE  DE  CELULITIS  GRAVE DE LENTA RESOLUCION D EMIEMTNBO INFERIOR  DERECHO CON DOCUMENTACION DE ACINETOBACTER  BAUMANII Mdr</t>
  </si>
  <si>
    <t xml:space="preserve">PACIENTE  CON  INFECCION  GRAVE  DE  CELULITIS  GRAVE DE LENTA RESOLUCION D EMIEMTNBO INFERIOR  DERECHO CON DOCUMENTACION DE ACINETOBACTER  BAUMANII MULTIRESISTENTE    POR LO QUE INDICO  TRATAMIENTO COMBINADO  CON DROGA DE ELECCION SEGUN GUIAS  Y PROTOCOLOS  NACIONALES E INTERNACIONAES    SE INDICA TIGECICLINA   ASOCIADO A MEROPENEM   ESTE ULTIMO EN INFUSION CONTINUA . </t>
  </si>
  <si>
    <t xml:space="preserve">100 mg ev  hoy luego continuar con 50 mg ev cada 12 hrs por  10 dias </t>
  </si>
  <si>
    <t>PACIENTE CON ESPASMO HEMIFACIAL CLONIUCO IZQUIERDO EN MANEJO CON TOXINA BOTULINICA TIPO A, ULTIMA APLICACION 19-11-2019 REQUIERE APLICACION TRIMESTRAL.\nSE FORMULA POR  MIPRESS TOXINA BOTULINICA  X 100 UNIDADES  PARA APLACION POR NEURLOGO CLINICO. \nDOY ORDEN PARA EL PROCEDIMIENTO</t>
  </si>
  <si>
    <t>apliacr 100 ui im  dosis de aplicacion en un dia en musculos faciales</t>
  </si>
  <si>
    <t>[CONDROITINA SULFATO SODICA] 1200mg/1U ; [GLUCOSAMINA SULFATO] 1500mg/1U ; [METILSULFONILMETANO] 2400mg/1U</t>
  </si>
  <si>
    <t xml:space="preserve">disolver 1 sobre  diario por 3 meses </t>
  </si>
  <si>
    <t xml:space="preserve">DISOLVER 1 SOBRE  DIARIO POR 3 MESES </t>
  </si>
  <si>
    <t xml:space="preserve">LA PACIENTE PERSISTE CON EL CUADRO CLINICO </t>
  </si>
  <si>
    <t xml:space="preserve">PACIENTE SIN MEJORIA DEL CUADRO CLINICO </t>
  </si>
  <si>
    <t xml:space="preserve">DAR 5.5 CC CADA 12 HORAS POR 3 DIAS </t>
  </si>
  <si>
    <t>\n PACIENTE  FEMENINA DE 58 AÃOS QUIEN refiere dolor en la cara tac de senos paranasales reporta sinusitis maxilar y esfenoidal hipertrofia de cornetes inferiores desviacion EL CUAL SE LE INDICA   FUROATO DE FLUTICASONA PARA CONTROLAR LOS SINTOMAS \nseptal dic 2019\n</t>
  </si>
  <si>
    <t xml:space="preserve">SE LE INDICA APLICAR UN PUFF  CADA 24 HORAS EN CADA FOSA NSAL  PARA CONTROLAR LOS SINTOMAS Y MEJORAR LA ACALIDAD DE VIDA DEL PACIENTE </t>
  </si>
  <si>
    <t>TRAZODONA</t>
  </si>
  <si>
    <t>SIN MEJORIA</t>
  </si>
  <si>
    <t>[PREGABALINA] 50mg/1U</t>
  </si>
  <si>
    <t>SE INDICA PREGABALINA PARA EL MANEJO DE SU SINTOMATOLOGÃA (DOLOR, RIGIDEZ MUSCULAR Y SENSIBILIDAD, CANSANCIO, ANSIEDAD Y DIFICULTAD PARA DORMIR O PARA PERMANECER DORMIDO), SEGÃN GUÃAS EULAR 2016 PARA EL MANEJO DE FIBROMIALGIA</t>
  </si>
  <si>
    <t>TOMAR 1 CÁPSULA POR LA NOCHE</t>
  </si>
  <si>
    <t>SE INDICA ACETAMINOFEN CON CODEINA COMO ALTERNATIVA PARA EL MANEJO DEL DOLOR MUSCULAR GENERALIZADO, POR FALLA A TRATAMIENTO CON MEDICAMENTOS DEL PBS</t>
  </si>
  <si>
    <t>TOMAR 1 TABLETA CADA 12 HORAS POR 60 DIAS</t>
  </si>
  <si>
    <t>CALCITRIOL</t>
  </si>
  <si>
    <t>[ACIDO IBANDRONICO] 150mg/1U ; [COLECALCIFEROL] 12000UI/1U</t>
  </si>
  <si>
    <t>PACIENTE CON DX DE OSTEOPOROSIS</t>
  </si>
  <si>
    <t>TOMAR 1 TBL MENSUAL.</t>
  </si>
  <si>
    <t>no control de dolor neuropatico</t>
  </si>
  <si>
    <t>[OXCARBAZEPINA] 300mg/1U</t>
  </si>
  <si>
    <t>PACIENTE CON NEURALGIA DEL TRIGEMINO IDIOPATICA  CON APARICION DE DOLOR EN HEMICARA CONTRALATERAL QUE NO HA RESPONDIDO A CBZ 400MG DIA, SE DECIDE INICIO DE OXCARBAZEPINA 300MG CADA 12 HORAS.\nSE DEJA PARA MANEJO AGUDO ACETAMINOFEN MAS TRAMADOL 325/25 MG CADA 12 HORAS.\nSE DAN RECOMENDACIONES Y SIGNOS DE ALARMA. \nCONTROL EN 2 MESES.</t>
  </si>
  <si>
    <t>tomar una tableta vo cada 12 horas por 3 meses</t>
  </si>
  <si>
    <t>IBUPROFENO|DICLOFENACO</t>
  </si>
  <si>
    <t>rash</t>
  </si>
  <si>
    <t>PACIENTE CON NEURALGIA DEL TRIGEMINO IDIOPATICA  CON APARICION DE DOLOR EN HEMICARA CONTRALATERAL QUE NO HA RESPONDIDO A CBZ 400MG DIA, SE DECIDE INICIO DE OXCARBAZEPINA 300MG CADA 12 HORAS.\nSE DEJA PARA MANEJO AGUDO ACETAMINOFEN MAS TRAMADOL 325/37.5 MG CADA 12 HORAS.\nSE DAN RECOMENDACIONES Y SIGNOS DE ALARMA. \nCONTROL EN 2 MESES.</t>
  </si>
  <si>
    <t>[AMLODIPINO] 10mg/1U ; [VALSARTAN] 160mg/1U</t>
  </si>
  <si>
    <t>PACIENTE REQUIERE DE ESTE MEDICAMENTO PARA MEJORÃA DE SU SALUD</t>
  </si>
  <si>
    <t>TOMAR 1 TABLETA CADA 24 HORAS POR 90 DIAS</t>
  </si>
  <si>
    <t xml:space="preserve">APLICAR UNA GOTA CADA 8 HORAS EN AMBOS OJOS,DURANTE 1 MES </t>
  </si>
  <si>
    <t>APLICAR UNA GOTA CADA 6 HORAS EN AMBOS OJOS\n</t>
  </si>
  <si>
    <t>[NILOTINIB] 150mg/1U</t>
  </si>
  <si>
    <t>PACIENTE CON LEUCEMIA MIELOIDE CRONICA CON CROMOSOMA FILADELFIA POSITIVO (LCM PH+) EN FASE CRONICA, PRESENTA HEMOGRAMA Y QUIMICA SERICA NORMAL, CON PCR BCR/ABL EN RESPUESTA CITOGENETICA FEBRERO DE 2019, CONTINUA NILOTINIB 300 MG VO CADA 12 HRS POR 3 MESES, PACIENTE MASCULINO DE 64 AÃOS CON DIAGNOSTICO - LEUCEMIA MIELOIDE CRONICA EN FASE CRONICA (NOVIEMBRE 2017). EN TRATAMIENTO CON NILOTINIB 300 MG CADA 12 HRS DESDE DICIEMBRE DEL 2017.</t>
  </si>
  <si>
    <t>DAR 2 CAPSULAS DE 150 MILIGRAMOS, ES DECIR 300 MILIGRAMOS VIA ORAL CADA 12 HORAS POR 90 DIAS DE TRATAMIENTO</t>
  </si>
  <si>
    <t>PX CON ANTECEDENTES DE CONSTIPACION. REFIERE DOLOR ABDOMINAL PUNZANTE LOCALIZADO EN FOSA ILIACA IZQUIERDA ASOCIADO A DEPOSICIONES DURAS CADA 48 HORAAAS PESE A TTO CON BISACODILO. PRESENTA RESULTADO RX ABDOMEN. DISTENSION ALONICA SE FORMULA TRIMEBUTINA MALEATO YA QUE  MEJORA ABSORCION DE ALIMENTOS AYUDA A MEJORAR DISTENSION DOLOR ABDOMINAL CALIDAD EN DEPOSICIONES MANIFIESTA MEJORIA CON EL TRATAMIENTO</t>
  </si>
  <si>
    <t xml:space="preserve">PCTE femenina de 90 AÃOS DE EDAD QUIEN VIENE CON DX: secuelas fÃ­micas y epoc por antecedentes de cocinar con leÃ±a. tos ocasional, NO FIEBRE,  ACTUALMENTE CON DISNEA DE pocos esfuerzos,tac de tÃ³rax: patrÃ³n cavitado biapical y bases, bronquiectasias derechas, bullas en lsb superiores. datos de epoc. AL EXAMEN FISICO: DATOS DE ATRAPAMIENTO AÃREO, NO CREPITOS, NO SIBILANTES, CORAZÃN RITMICO, HTA, NO DM. ORL: ASIGNOLÃGICO.  se ordena n acetilcisteina y spiolto. </t>
  </si>
  <si>
    <t>diluir  en agua y tomar 1 tb efervescente cada 12 hrs durante 2 meses.</t>
  </si>
  <si>
    <t xml:space="preserve">PCTE FEMENINA DE 90 AÃOS DE EDAD QUIEN VIENE CON DX: SECUELAS FÃMICAS Y EPOC POR ANTECEDENTES DE COCINAR CON LEÃA. TOS OCASIONAL, NO FIEBRE,  ACTUALMENTE CON DISNEA DE POCOS ESFUERZOS,TAC DE TÃRAX: PATRÃN CAVITADO BIAPICAL Y BASES, BRONQUIECTASIAS DERECHAS, BULLAS EN LSB SUPERIORES. DATOS DE EPOC. AL EXAMEN FISICO: DATOS DE ATRAPAMIENTO AÃREO, NO CREPITOS, NO SIBILANTES, CORAZÃN RITMICO, HTA, NO DM. ORL: ASIGNOLÃGICO.  SE ORDENA N ACETILCISTEINA Y SPIOLTO. </t>
  </si>
  <si>
    <t xml:space="preserve">hacerse 2 inhalaciones juntas al dia durante 2 meses. </t>
  </si>
  <si>
    <t>ASPARAGINASA</t>
  </si>
  <si>
    <t xml:space="preserve">REACCION DE HIPERSENSIBILIDAD. </t>
  </si>
  <si>
    <t>[PEGASPARGASA] 750UI/1ml</t>
  </si>
  <si>
    <t>PACIENTE CON LEUCEMIA LINFOIDE AGUDA DE RIESGO ALTO POR MALA RESPUESTA AL DIA 8, 15 Y 33, QUIEN PRESENTO REACCIÃN DE HIPERSENSIBILIDAD DURANTE LA ADMINISTRACION DE ASPARAGINASA, SE ENCUENTRA EN PROTOCOLO QUIMIOTERAPEUTICO QUE REQUIERE MANEJO ASPARAGINASA PEGILADA PARA EVITAR REACCION DE HIPERSENSIBILIDAD.</t>
  </si>
  <si>
    <t>PEG- Asparaginasa 1000 unidades en 100 CC SSN IV en infusión de 2 horas,.dia 7 PROTOCOLO</t>
  </si>
  <si>
    <t>PREDNISOLONA|BECLOMETASONA|SALBUTAMOL|BROMURO DE IPRATROPIO|LORATADINA</t>
  </si>
  <si>
    <t>PCTE NO RESPONDE A TTOS POS ANTERIORMENTE ORDENADOS</t>
  </si>
  <si>
    <t>PCTE MASCULINO DE 61 AÃOS DE EDAD, QUIEN VIENE CON DX: ASMA ALERGICA, RINITIS ALÃRGICA. NO TOS, NO FIEBRE, NO DISNEA, NO EDEMA. OCASIONALMENTE RINORREA. AL EXAMEN FISICO: NO CREPITOS, NO SIBILANTES, DATOS DE ATRAPAMIENTO AÃREO, CORAZÃN RITMICO, ORL ASIGNOLÃGICO, NO HTA. NO DM, ANTECEDENTES DE TABAQUISMO. SE ORDENA SERETIDE Y MONTELUKAST Y CETIRIZINA.</t>
  </si>
  <si>
    <t>HACERSE 1 INH CADA 12 HRS DURANTE 1 MES</t>
  </si>
  <si>
    <t xml:space="preserve">TOMAR 1 TB AL DIA DURANTE 1 MES. </t>
  </si>
  <si>
    <t>PACIENTE CON DIAGNOSTICO: GLAUCOMA CRONICO  EL CUAL AMERITA TRATAMIENTO DE CON MEDICAMENTO  ANTIGLAUCOMATOSO DE MAYOR CONCENTRACIÃN   DEBIDO  A  QUE  NO  SE LOGRA  CONTROLAR   CON  MEDICAMENTO  P.O.S</t>
  </si>
  <si>
    <t xml:space="preserve">PACIENTE CON CA DE OVARIO MUCINOSOP E IA BIEN DIFERENCIADO, QUE NO REQUIERE ADYUVANCIA EN EL MOMENTO. SE SOLICITA ESTUDIO GENETICO GEBNES ESPECIFICOS CENTOCANCER 31 GENES, CODIGO CUPS 908420. SE SOLICITA MARCADORES TUMORALES, IMAGENOLOGIA, COLONOSCOPIA TOTAL. CITA EN 3 MESES.\nTRAE ESTUDIO GENETICO NOSE DETECTAN VARIANTES CON PATOLOGIA 24-01-2020 LAB BIORRAY -.MARCADOTES T . ACE 2.5 CA 125 12.8 NEG 19.9 MENOR DE 2- AFP 3.3 NEG  presenta sintomas de post menopausia por lo que se indica tibolona </t>
  </si>
  <si>
    <t xml:space="preserve">dar 1 tableta de 2,5 miligramos via oral cada 24 horas por 90 dias de tratamiento </t>
  </si>
  <si>
    <t>[TRIPTORELINA PAMOATO] 3,75mg/1U</t>
  </si>
  <si>
    <t>PACIENTE CON  TELARCA PRECOZ, CON ECOGRAFIA QUE REPORTA UTERO Y OVARIOS PUBERALES, EDAD OSEA ACORDE A LA EDAD CRONOLOGICA.  GONADOTROFINAS  EN RANGO PUBERAL CONfIRMANDOSE ACTIVACION DEL EJE GONADAL, POR PUBERTAD PRECOZ, POR LO CUAL SE INDICA TRATAMIENTO DE FRENO PUBERAL CON ANALOGO DE GNRH, TRIPTORELINA 3.75 MG IM CADA 28 DIAS.\n</t>
  </si>
  <si>
    <t xml:space="preserve">aplicar una ampolla im cada 28 dias </t>
  </si>
  <si>
    <t>PX MANIFIESTA DISTENSION ABDOMINAL RECURRENTE, NIEGA RECTORRAGIA O DIARREAS. SE FORMULA TRIMEBUTINA MALEATO YA QUE  MEJORA ABSORCION DE ALIMENTOS AYUDA A MEJORAR DISTENSION DOLOR ABDOMINAL CALIDAD EN DEPOSICIONES MANIFIESTA MEJORIA CON EL TRATAMIENTO</t>
  </si>
  <si>
    <t>[PROGESTERONA] 200mg/1U</t>
  </si>
  <si>
    <t>067</t>
  </si>
  <si>
    <t>VAGINAL</t>
  </si>
  <si>
    <t>Gestacion menor de 20  semanas  con  sangrado  vaginal    con diagnostico de amenaza de  aborto</t>
  </si>
  <si>
    <t xml:space="preserve">aumentar  dosis de    progesterona  sérica en   embarazos de  1  trimestre </t>
  </si>
  <si>
    <t>PTE  DE 48 AÃOSQUE SE LE REALIZA TRATAMIENTO DE ESCLEROTERAPIA DE LOS MIEMBROS INFERIORES EN VARIAS SESIONES. PTE REFIERE QUE PRESENTA CUADRO DE CANSANCIO DEL MIEMBRO INFERIOR IZQUIERDO,SE LE  ORDENA MEDICAMENTO CON EL FIN DE AUMENTAR EL TONO VENOSO, Y POR LO TANTO PUEDE REDUCIR LA CAPACITANCIA VENOSA, LA DISTENSIBILIDAD Y LA EXTASIS, ESTO AUMENTA EL RETORNO VENOSO Y REDUCE LA PRESIÃN VENOSA.</t>
  </si>
  <si>
    <t>AMPICILINA</t>
  </si>
  <si>
    <t>PERSISTENCIA DE LA INFECCION URINARIA</t>
  </si>
  <si>
    <t>PACIENTE CON INFECCION URINARIA RECIDIVANTE POR VEJIGA NEUROGENICA CONSECUENCIA DE MIELOMENINGOCELE, FORMULADO POR SERVICIO DE NEFROLOGIA</t>
  </si>
  <si>
    <t>TOMAR 1 SOBRE CADA SEMANA POR 3 SEMANAS</t>
  </si>
  <si>
    <t>Solucion Oftalmica Frasco x 15 mL, 1  GOTA cada 6  Hora(s) en Ambos ojos por 2 Mes(es)  Suministar: 2 Frasco(s)</t>
  </si>
  <si>
    <t>Solucion Oftalmica Frasco X 6 mL, 1 GOTA  cada 12 Hora(s) en Ambos  ojos por 2 Mes(es)  Suministar: 2 Frasco(s)</t>
  </si>
  <si>
    <t>SE LE ORDENA MEDICAMENTO para que la superficie ocular se restaure y regenere de los daÃ±os externos, provocando un alivio inmediato y duradero de los sÃ­ntomas mÃ¡s comunes del ojo seco como picor, enrojecimiento, sensaciÃ³n de cuerpo extraÃ±o o cansancio ocular</t>
  </si>
  <si>
    <t>se le ordena al paciente aflibercept  inyectable de forma intravenosa para  tratamiento  degeneraciÃ³n macular hÃºmeda relacionada con la edad, se realiza a partir de la aplicaciÃ³n de  antiangiogÃ©nicos, mediante inyecciones intraoculares directamente en la cavidad vÃ­trea, el tratamiento se inicia con una inyecciÃ³n mensual para las tres primeras dosis, seguido de una inyecciÃ³n cada dos meses. no es necesario realizar una monitorizaciÃ³n entre inyecciones.</t>
  </si>
  <si>
    <t>PACIENTE REQUIERE MEDICAMENTO CON TERAPIA INTRAVITREA AFLIBERCEPT 1 DOSIS EN OJO IZQUIERDO</t>
  </si>
  <si>
    <t>PACIENTE CON GLAUCOMA , EN TRATAMIENTO. NO HAY EN EL PBS MEDICAMENTO QUE REEMPLACE O SUSTITUYA LA FORMULACION. NO DEBE SUSPENDER MEDICAMENTO POR RIESGO DE PERDIDA VISUAL\n</t>
  </si>
  <si>
    <t>APLICAR UNA GOTA CADA 12 HORAS EN AMBOS OJOS\n</t>
  </si>
  <si>
    <t>SE LE ORDENA MEDICAMENTO  la combinaciÃ³n de dorzolamida y timolol +brimonidina se usa para tratar las afecciones a los ojos, incluyendo glaucoma e hipertensiÃ³n ocular, tratamiento a  largo plazo de la presiÃ³n intraocular de pacientes con glaucoma de Ã¡ngulo abierto o con hipertensiÃ³n ocular.\n</t>
  </si>
  <si>
    <t xml:space="preserve">PACIENTE REQUIERE MEDICAMENTO KRYNTANTEK X 5 ML </t>
  </si>
  <si>
    <t>PACIENTE CON CHALAZION EN OJO IZQUIERDO, SE FORMULA ANTIBIÃTICO  COMBINADO . NO HAY ALTERNATIVA EN EL PBS QUE REEMPLACE O SUSTITUYA LA FORMULACIÃN\n</t>
  </si>
  <si>
    <t>APLICAR UNA DOSIS CADA 8 HORAS EN OJO IZQUIERDO, DENTRO Y FUERA POR 20 DÍAS</t>
  </si>
  <si>
    <t>fem 76a, con antecedentes hipertension arterial, poliartrosis  hipertension pulmonar manejo medico con valsartan amlodipino hidroclorotiazida buen control de ci</t>
  </si>
  <si>
    <t>[AMLODIPINO] 10mg/1U ; [HIDROCLOROTIAZIDA] 25mg/1U ; [VALSARTAN] 320mg/1U</t>
  </si>
  <si>
    <t>FEM 76A, CON ANTECEDENTES HIPERTENSION ARTERIAL, POLIARTROSIS  HIPERTENSION PULMONAR MANEJO MEDICO CON VALSARTAN AMLODIPINO HIDROCLOROTIAZIDA BUEN CONTROL DE CIfras tensionales continua esquema de manejo medico</t>
  </si>
  <si>
    <t>tomar 1 tab dia</t>
  </si>
  <si>
    <t xml:space="preserve">CRISIS DE EPOC  FRECUENTES </t>
  </si>
  <si>
    <t>PACIENTE CON EPOC GOLD 3 ESTADIO B, CON LEVE HIPOXEMIA,  COMPROMISO DE LA CLASE FUNCIONAL  SE INICIA  CORTOCOESTEROIDES  Y B2 DE ACCIÃN PROLONGADA CON EL FIN  DE MEJORAR LA HIPOXIA, INCREMENTAR LA FE Y LA CALIDAD DE VIDA</t>
  </si>
  <si>
    <t>NO SUSPENDER TRATAMIENTO</t>
  </si>
  <si>
    <t>PERSISTENCIA DE DISNEA</t>
  </si>
  <si>
    <t>[TIOTROPIO] 18Âµg/1U</t>
  </si>
  <si>
    <t xml:space="preserve">PACIENTE CON EPOC GOLD 3  ESTADIO B CON LEVE  HIPOXEMIA, DETERIOR DE LA CLASE FUNCIONAL CON ACTIVIDAD COTIDIANAS,SIN MEJORÃA CON MEDICACIÃN POS </t>
  </si>
  <si>
    <t>PACIENTE CON GLAUCOMA QUIEN REQUIERE REDUCCION DE LA PIO ,Y RESPONDE EN FORMA INSUFICIENTE A LOS BETABLOQUEADORES SOLOS  (TIMOLOL) O LATANOPROST SOLO. SE BUSCA CONTROLAR LOS NIVELES DE PRESION INTRAOCULAR PUES SI ESTO NO SE LOGRA, SU ENFERMEDAD PROGRESA PRODUCIENDOLE PERDIDA IRREVERSIBLE DE LA VISION .</t>
  </si>
  <si>
    <t>APLICAR UNA GOTA CADA 12 HORAS EN AMBOS OJOS  PERMANENTE LIBRE DE CONSERVADORES FRASCO X 5 ML SE FORMULA POR 6 MESES</t>
  </si>
  <si>
    <t>[OXIDO DE ZINC] 25g/100g</t>
  </si>
  <si>
    <t>PACIENTE INDIGENA CON EDEMA SEVERO SECUNDARIO A DESNUTRICION POR KWASHORKOR, CON EDEMA EN GENITALES Y DERMATITIS AMONIACAL REQUIERE PROTECTOR CUTANEO PARA EVITAR FISURAS Y LESIONES D ELA BARRERA CUTANEA</t>
  </si>
  <si>
    <t>APLICAR EN GENITALES CON CADA CAMBIO DE PAÑAL</t>
  </si>
  <si>
    <t>PACIENTE CON EDEMA MACULAR, TROMBOSIS VENOSA EN OJO DERECHO, SE ORDENA  TRES DOSIS (SEGUNDO CICLO) CON RANIBIZUMAB, NO HAY EN EL PBS MEDICAMENTO QUE REEMPLACE O SUSTITUYA LA FORMULACIÃN.\n</t>
  </si>
  <si>
    <t>APLICAR UNA AMPOLLA INTRAVITREA EN OJO DERECHO\n</t>
  </si>
  <si>
    <t>MASCULINO DE 44 AÃOS DE EDAD CON CHOQUE SEPTICO MIXTO: URINARIO Y TEJIDOS BLANDOS CON LABILIDAD E INESTABILIDAD HEMODINAMICA, MANTENIENDO TAM MENORES DE 55 MMHG, CURSA CON AGITACION PSICOMOTORA , NO RESPONDE A NOREPINEFRINA COMO VASOACTIVO UNICO POR LO QUE REQUIERE DEL USO DE VASOPRESINA PARA MEJORAR CONDICION CLINICA Y EVITAR COMPLICACIONES A CORTO PLAZO, PRONOSTICO RESERVADO , FAMILIARES ENTERADOS</t>
  </si>
  <si>
    <t>MEZCLAR 2 AMPOLLAS EN 100 CC DE SSN 0,9 PARA INICIAR A 4 UD POR HORA</t>
  </si>
  <si>
    <t>Se indica acetaminofÃ©n con hidrocodona como alternativa para el manejo del dolor musculoesquelÃ©tico generalizado por falla terapÃ©utica a medicamentos del PBS</t>
  </si>
  <si>
    <t>PACIENTE CON HEMORRAGIA DEL VITREO NO HAY EN EL PBS MEDICAMENTO QUE REEMPLACE O SUSTITUYA LA FORMULACION. NO DEBE SUSPENDER MEDICAMENTO POR RIESGO DE PERDIDA VISUAL\n</t>
  </si>
  <si>
    <t xml:space="preserve">APLICAR 1 GOTA EN OJO IZQUIERDO CADA 12 HORAS </t>
  </si>
  <si>
    <t xml:space="preserve">LA PACIENTE NO TIENE MEJORIA CLINICA CON TRATAMIENTO CONVENCIONAL </t>
  </si>
  <si>
    <t xml:space="preserve">LA PACIENTE NO MEJORA CON TRATAMIENTO TRADICIONAL </t>
  </si>
  <si>
    <t xml:space="preserve">TOMAR 1 TABLETA CADA 8 HORAS POR 3 DIAS SEGUIR 1 TABLETA CADA 12 HORAS POR 2 DIAS Y SEGUIR 1 TABLETA AL DIA </t>
  </si>
  <si>
    <t>PACIENTE REQUIERE DEL MEDICAMENTO PARA CONTROLAR OJO SECO</t>
  </si>
  <si>
    <t>1 GOTA CADA 6 HORAS</t>
  </si>
  <si>
    <t xml:space="preserve">PACIENTE REQUIERE DEL MEDICAMENTO PARA CONTROLAR OJO SECO, ARDOR OCULAR SENSACION DE  CUERPO EXTRAÃO Y ASI EVITAR DAÃOS EN LA CORNEA </t>
  </si>
  <si>
    <t>[METFORMINA CLORHIDRATO] 1000mg/1U ; [SITAGLIPTINA] 100mg/1U</t>
  </si>
  <si>
    <t>control del metabolismo de los GLUCÃGENOS disminuyendo el riesgo cardiovascular</t>
  </si>
  <si>
    <t>tomar antes del almuerzo, tratamiento  pa 6 meses</t>
  </si>
  <si>
    <t xml:space="preserve">paciente con abundante secreciones a nivel pulmonar </t>
  </si>
  <si>
    <t xml:space="preserve">paciente con cuadro infeccioso respiratorio con abundante secrecion a nivel pulmonar </t>
  </si>
  <si>
    <t xml:space="preserve">PACIENTE CON CUADRO INFECCIOSO RESPIRATORIO CON ABUNDANTE SECRECION A NIVEL PULMONAR </t>
  </si>
  <si>
    <t xml:space="preserve">PACIENTE DE 64 AÃOS CON ANTECEDENTES DE HIPERTENSION ARTERIAL, IAM + CCG OCT/2018 ANGIOPLASTIA CON IMPLANTE DE UN STENT MEDICADO EN ACD Y ADA, CARDIOPATÃA DILATADA FEVI 35% POR ECO ENERO/2020, EX FUMADORA. REFIERE PALPITACIONES EN FORMA FRECUENTES DE DURACIÃN VARIABLE. </t>
  </si>
  <si>
    <t>PACIENTE DE 64 AÑOS CON ANTECEDENTES DE HIPERTENSION ARTERIAL, IAM + CCG OCT/2018 ANGIOPLASTIA CON IMPLANTE DE UN STENT MEDICADO EN ACD Y ADA, CARDIOPATÍA DILAT</t>
  </si>
  <si>
    <t>REFIERE QUE VIENE PRESENTANDO DOLOR Y DISTENSION ABDOMINAL GASES DEPOSICIONES DIARIAS NORMALES HACE 8 DIAS PRESENTO HVDB SE LE REALIZO COLONOSCOPIA HEMORROIDES DIVERTICULOS EN COLON SIGMOIDES .SE LE INDICA DICETEL DUO  tratamiento sintomÃ¡tico del dolor, trastornos del trÃ¡nsito y molestias intestinales relacionadas con alteraciones funcionales intestinales; tratamiento sintomÃ¡tico del dolor relacionado con trastornos funcionales de las vÃ­as biliares</t>
  </si>
  <si>
    <t>tomar 1 tableta via oral cada 12 horas tto 1 mes</t>
  </si>
  <si>
    <t>[HIDROSMINA] 200mg/1U</t>
  </si>
  <si>
    <t>PACIENTE DE 63 AÃOS  CON  INSUFICIENCIA  VENOSA C1 , CON HALLAZGOS  DESCRITOS  EN  EXAMEN  FISICO Y DUPLEX VENOSO, SE LE ORDENA MEDICAMENTO USADO EXCLUSIVAMENTE PARA PROTEGER DEL TODO LOS DISTINTOS VASOS SANGUINEOS; ESTE PARTICULARMENTE ACTUA SOBRE LOS VASOS SANGUINEOS PEQUEÃOS, DE ESTE MODO PROTEGE REDUCIENDO EL RIESGO DE FRAGILIDAD Y A SU VEZ LA PERMEABILIDAD DE ESTOS.</t>
  </si>
  <si>
    <t>HIPERSENSIBILIDAD A ALGUNOS DE SUS COMPONENTES.\nSE PUEDEN  PRESENTAN NÁUSEAS, MAREOS, DOLOR DE CABEZA (CEFALEA), CIERTA ACIDEZ, PÉRDIDA DEL APETITO\n</t>
  </si>
  <si>
    <t>[LEVOFLOXACINO] 500mg/1U</t>
  </si>
  <si>
    <t xml:space="preserve">PX PRESENTA RESULTADO ENDOSCOPIA: GASTRITIS ERITOMATOSA ANTRAL. PATOLOGIA: GASTRITIS CRONICA ASOCIADA A H PYLORI. SE FORMULA  LEVOFLOXACINA ESOMEPRAZOL Y AMOXACILINA COMO TERAPIA DE ERRADICACION DE LA BACTERIA H.PYLORY. </t>
  </si>
  <si>
    <t>TOMAR UNA TABLETA DIARIA POR 14 DIAS.</t>
  </si>
  <si>
    <t>[BIMATOPROST] 0,1mg/1ml</t>
  </si>
  <si>
    <t>PACIENTE CON GLAUCOMA PRIMARIO DE ANGULO ABIERTO, LO CUAL ESTUVO EN TRATAMIENTO CON MEDICAMENTO POS (TIMOLOL) PERO NO HUBO SUFICIENTE DISMINUCION DE LA PIO. PACIENTE VIENE EN TRATAMIENTO CON MEDICAMENTO COMERCIALES, NO PUEDE USAR MEDICAMENTO GENERICO YA  QUE CON ESTE NO HAY SUFICIENTE DISMINUCION DE LA PRESION INTRA OCULAR, SE RECETA TRATAMIENTO CON                    PARA UNA MAYOR DISMINUCION DE LA PIO SIN RIESGO A UNA PERDIDA VISUAL IRREVERSIBLE.\n\n\n\n\n\n\n\n\n\n</t>
  </si>
  <si>
    <t xml:space="preserve">aplicar una gota cada 24 horas de lumigan rc e ambbos ojos DURANTE 2 meses </t>
  </si>
  <si>
    <t>paciente con glaucoma quien requiere tratamiento</t>
  </si>
  <si>
    <t>usar 1 gota vada 12 horas por3 meses</t>
  </si>
  <si>
    <t>PACIENTE DE 52 AÃOS CON  INSUFICIENCIA  VENOSA C1 , CON HALLAZGOS  DESCRITOS  EN  EXAMEN  FISICO,SE LE ORDENA MEDICAMENTO USADO EXCLUSIVAMENTE PARA PROTEGER DEL TODO LOS DISTINTOS VASOS SANGUINEOS; ESTE PARTICULARMENTE ACTUA SOBRE LOS VASOS SANGUINEOS PEQUEÃOS, DE ESTE MODO PROTEGE REDUCIENDO EL RIESGO DE FRAGILIDAD Y A SU VEZ LA PERMEABILIDAD DE ESTOS.</t>
  </si>
  <si>
    <t>Solucion Oftalmica   LIBRE DE CONSERVADORES.  Frasco x 10 mL, 1  GOTA cada 8 Hora(s) en Ojo Izquierdo por 3 Mes(es)  Suministar: 2 Frasco(s)</t>
  </si>
  <si>
    <t>Solucion Oftalmica Frasco X 10 mL, 1  GOTA cada 12 Hora(s)  en Ambos ojos por 4 Mes(es)  Suministar: 3 Frasco(s)</t>
  </si>
  <si>
    <t>TRATAMIENTO DE APNEAS EN PREMATURO</t>
  </si>
  <si>
    <t>6 MG IV CADA 24 HORAS</t>
  </si>
  <si>
    <t>CON EL USO DE GLUCOPHAGE  XR  50  1000 MG SE LOGRA CONTROL METABOLICO EN EL PACIENTE DIABETICO, ADEMAS DISMINURI LA HBA1C,</t>
  </si>
  <si>
    <t>TOMAR 1 CADA DIA POR 90 DIAS</t>
  </si>
  <si>
    <t>NITROPRUSIATO</t>
  </si>
  <si>
    <t xml:space="preserve">persistencia de crisis hipertensiva </t>
  </si>
  <si>
    <t xml:space="preserve">labetalol esta indicado como TRATAMIENTO en la hipertension severa con sintomatologia NEUROLÃGICA  </t>
  </si>
  <si>
    <t xml:space="preserve">PREPARAR 6 AMPOLLAS EN 80 ML DE SUERO FISIOLÓGICO  PARA FORMAR SOLUCIÓN DE 200 ML E INFUNDIR A 4 ML POR HORA </t>
  </si>
  <si>
    <t>[ZINC] 10mg/5ml</t>
  </si>
  <si>
    <t>paciente con desnutricion aguda grave</t>
  </si>
  <si>
    <t>DAR 10 GRAMOS VIA ORAL CADA DIA</t>
  </si>
  <si>
    <t>MAS EFECTOS SECUNDARIOS GASTROINTESTINALES , MAS TAQUICARDIA</t>
  </si>
  <si>
    <t>INDICADO EN PRETERMINOS MENORES DE 34 SEMANAS COMO ESTIMULANTE DEL SNC PARA PREVENIR APNEAS DEL PREMATURO</t>
  </si>
  <si>
    <t>INDICADO EN PRETERMINOS  COMO ESTIMULANTE DEL SNC PARA PREVENIR APNEAS DEL PREMATURO HASTA LAS 34 SEMANAS CORREGIDAS</t>
  </si>
  <si>
    <t>iNSUFICIENCIA CARDIACA REFRACTARIA</t>
  </si>
  <si>
    <t>FALLA CARDIACA REFRACTARIA</t>
  </si>
  <si>
    <t>uNA TABLETA CADA 12 HORAS POR 30 DIAS</t>
  </si>
  <si>
    <t>fala para alcanzar rango terapeutico con warfarina</t>
  </si>
  <si>
    <t>Trombosis del ventriculo con alto potencial emboligeno sin respuesta terapeuttica con warfarina</t>
  </si>
  <si>
    <t>Un tableta cada 12 horas por un mes</t>
  </si>
  <si>
    <t>cifras glicemicas no controladas</t>
  </si>
  <si>
    <t xml:space="preserve">paciente con mal control METABÃLICO , con hemoglibinas glicosiladas por encima de 13 mgdl,,con medicamento pos , se inicia vildagliptina metformina con cifras glucemicas en control </t>
  </si>
  <si>
    <t>[CERTOLIZUMAB PEGOL] 200mg/1ml</t>
  </si>
  <si>
    <t>pte con espondilitis anquilosante con cuadro inicial de artralgias rigidez cervical y limitaciÃ³n de sus funciones articulares bajo terapia BIOLÃGICA hace varios meses que ACTÃA como inmunosupresor sobre la cascada inflamataria de la patologÃ­a lo que lleva a obtener control y REMISIÃn de la misma, mejorando la calidad de vida de la pte</t>
  </si>
  <si>
    <t>APLICAR DOS JERINGAS DE 200MG CADA UNA SC MENSUAL</t>
  </si>
  <si>
    <t xml:space="preserve">paciente con alto riesgo cardiovascular con hba1c mayor de 8, se decide adicionar idpp4 para mejor control </t>
  </si>
  <si>
    <t xml:space="preserve">paciente con hba1 mayor de 8 x ciento, con RIESGO casrdiovascular mayor al 15 xciento </t>
  </si>
  <si>
    <t xml:space="preserve">tomar una cada 12 horas </t>
  </si>
  <si>
    <t>Solucion Oftalmica Frasco X 5 mL, 1  GOTA cada 12 Hora(s)  en Ojo Izquierdo por 3 Mes(es)  Suministar: 2 Frasco(s)</t>
  </si>
  <si>
    <t>[RIOCIGUAT] 2,5mg/1U</t>
  </si>
  <si>
    <t>RUIDOS RESPIRATROIOS NORMALES</t>
  </si>
  <si>
    <t xml:space="preserve">ADEMPAS 1 TAB VO CADA 8 HORAS POR 14 DIAS </t>
  </si>
  <si>
    <t>PACIENTE CON ULCERA DE DECUBITO, QUE REQUEIRE COLAGENASA PARA OPTIMIZAR PROCESO DE DESBRIDAMIENTO Y CICATRIZACION</t>
  </si>
  <si>
    <t>APLICAR EN LESIONES CON CADA CURACION POR 30 DIAS</t>
  </si>
  <si>
    <t>[LACTULOSA] 3335mg/5ml</t>
  </si>
  <si>
    <t>PACIENTE CON CUADRO DE CONSTIPACION CRONICA QUE NO MEJORA CON EL USO DE OTROS LAXANTE</t>
  </si>
  <si>
    <t>DAR 10CC VO AL DIA POR 90 DIAS, 3 FRASCOS POR MES</t>
  </si>
  <si>
    <t>PACIENTE CON DOLOR NEUROPATICO SECUNDARIO A PARAPLEJIA, QUE REQUIERE MANEJO NEUROMODULADOR CON PREGABLINA</t>
  </si>
  <si>
    <t xml:space="preserve">DAR 1 TABLETA CADA 12 HORAS POR 90 DIAS </t>
  </si>
  <si>
    <t xml:space="preserve">PACIERNTE CON ENFERMEDAD ARTERIAL    MODERADA SE ORDEN AMANEJO CON CLOPIDOGREL ANTIAGREGANTE PARA MEJORAR CUADRO CLINICO Y DISMINUIOR RIESGO DE COMPLICACIONES </t>
  </si>
  <si>
    <t xml:space="preserve">TOMAR 1 DIARI APOR 90 DIAS </t>
  </si>
  <si>
    <t xml:space="preserve">PACIENTE FEMENINA CON ULCERA VARICOSA EN MIEMBRO INFERIORES DESDE HACE 30 AÃOS APROXIMADAMENTE  QUE A SIDO SOMETIDA A MÃLTIPLES TRATAMIENTO TÃPICOS  PERO NO A PRESENTADO MEJORÃA CLÃNICA SE ORDENA MANEJO CON NEPIDERMINA 75 MG INTRALESIONAL CADA 3 DÃAS POR 8 SEMANAS  </t>
  </si>
  <si>
    <t xml:space="preserve">NEPIDERMINA 75 MG INTRALESIONAL CADA 3 DÍAS POR 8 SEMANAS  TOTAL 24 VIALES  EPIPROT </t>
  </si>
  <si>
    <t>DAR UNA TABLETA EN LAS MAÑANAS,DAR UNA TABLETA EN LAS NOCHES POR DOS MESES.</t>
  </si>
  <si>
    <t>no logro un adecuado control metabolico con estos 2 medicamentos</t>
  </si>
  <si>
    <t>masculino de 66 aÃ±os con antecedentes de diabetes mellitus tipo 2 desde hace 15 aÃ±os ademas de hta y enfermedad renal cronica estadio 3b. no logrÃ³ un adecuado control de la diabetes con glibenclamida mas metformina por lo que desde hace 2 aÃ±os recibe sitagliptina mas metformina 50 mas 850 mg dia con lo cual se logro un excelente control de la diabetes. debe continuar esta combinacion para minimizar progresion de las complicaciones tardias de la diabetes.</t>
  </si>
  <si>
    <t>1 tableta cada dia.</t>
  </si>
  <si>
    <t xml:space="preserve">PACIENTE CON POP DE RETIRO DE MATERIAL DE OSTEOSINTESIS MAS IMPLANTE DE TUTORES EXTERNOS, ULCERAS VASCULARES EN MIEMBROS INFERIORES, CON CULTIVO DE SECRECIÃN DE TUTOR EXTERNO POSITIVO PARA PSEUDOMONA AERUGINOSA. COLISTINA Y CEFTOLOZANO TAZOBACTAM SON EL TRATAMIENTO DE ELECCIÃN PARA INFECCIONES POR BACILOS GRAM NEGATIVOS RESISTENTES A CARBAPENEM </t>
  </si>
  <si>
    <t>REALIZAR IMPREGNACION CON 300 MG</t>
  </si>
  <si>
    <t xml:space="preserve">PACIENTE CON POP DE RETIRO DE MATERIAL DE OSTEOSISNTESIS MAS IMPLANTE DE TUTORES EXTERNOS, CON CULTIVO POSITIVO DE SECRECIÃN DE TUTORES EXTERNOS PARA PSEUDOMONA AERUGINOSA. COLISTINA Y CEFTOLOZANO TAZOBACTAM ES EL TRATAMIENTO DE ELECCIÃN PARA EL MANEJO DE INFECCIONES POR BACILOS GRAM NEGATIVOS RESISTENTES A CARBAPENEM </t>
  </si>
  <si>
    <t>SE INDICA ACETAMINOFEN CON CODEINA COMO ALTERNATIVA PARA EL MANEJO DEL DOLOR ARTICULAR EN RODILLAS Y HOMBRO, POR FALLA A MEDICAMENTOS DEL PBS</t>
  </si>
  <si>
    <t>SE INDICA DIACEREINA COMO INHIBIDOR DE LA INTERLEUQUINA-1, COLAGENASA Y ESTROMELISINA, QUE DESEMPEÃAN UN IMPORTANTE PAPEL EN LA INFLAMACIÃN Y DEGRADACIÃN DEL CARTÃLAGO DE LAS ARTICULACIONES, MEJORANDO ALGUNOS SIGNOS Y SÃNTOMAS DE LA ARTROSIS COMO EL DOLOR Y LA FUNCIÃN ARTICULAR</t>
  </si>
  <si>
    <t>TOMAR 1 TABLETA AL DIA</t>
  </si>
  <si>
    <t xml:space="preserve">dolo espinal de dicil manejo. con dolor. cronico intratable </t>
  </si>
  <si>
    <t xml:space="preserve">tomar una tab cada 6 horas, por dos meses </t>
  </si>
  <si>
    <t>aplicar 1 gota cada 6 horas en cada ojo</t>
  </si>
  <si>
    <t>PACIENTE ASISTE A CONTROL - REFIERE ARDOR OCASIONAL EN AMBOS OJOS BIO ODI: CORNEA CLARA CA ESTRECHA, CRISTALINO CLARO, IRIDOTOMIAS PERMEABLES. PIO: 14/14 MMHG.  DX CIERRE ANGULAR PRIMARIO (SOSPECHA DE GLAUCOMA, OJO SECO PLAN: CARBOXIMETILCELULOSA 0.5% (CARMELUB 1 GOTA CADA 8 HE N AMBOS OJOS). ....LAS GOTAS OFTÃLMICAS LUBRICANTES GENERAN UN ALIVIO DEL ARDOR, IRRITACIÃN Y SEQUEDAD  DE LOS OJOS. ES UN GRAN COMPLEMENTO PARA LA SENSACIÃN DE PICOR DE OJOS, INCOMODIDAD Y VISIÃN BORROSA.</t>
  </si>
  <si>
    <t>APLICAR EN AMBOS  OJOS CADA 8 HORAS, USAR OPORTUNAMENTE, SE RECOMIENDA CARMELUB</t>
  </si>
  <si>
    <t>SE INDICA ACETAMINOFEN CON CODEINA COMO ALTERNATIVA PARA EL MANEJO DEL DOLOR ARTICULAR EN RODILLAS Y HOMBRO, POR FALLA TERAPÃUTICA A MEDICAMENTOS DEL PBS</t>
  </si>
  <si>
    <t xml:space="preserve">paciente con diagnostico de conjuntivitis alergica quien requiere tratamiento </t>
  </si>
  <si>
    <t>aplicar 1 gota cada 12 horas</t>
  </si>
  <si>
    <t>NO RESPUESTA</t>
  </si>
  <si>
    <t>INSUFIENCIA VENOSA SINTOMATICA</t>
  </si>
  <si>
    <t>TOMAR 1 TABLETA ORAL DIA POR 4 MESES</t>
  </si>
  <si>
    <t>BETAMETASONA|CLOTRIMAZOL</t>
  </si>
  <si>
    <t>[BETAMETASONA] 40mg/100ml ; [CLOTRIMAZOL] 1000mg/100ml ; [NEOMICINA] 500mg/100ml</t>
  </si>
  <si>
    <t>C29167</t>
  </si>
  <si>
    <t>LOCION</t>
  </si>
  <si>
    <t>PACIENTE FEMENINO DE 36 AÃOS DE EDAD REMITIDO DEL SERVICIO DE MEDICINA INTERNA ALERGIA A LOS AINES COMO EL IBUPROFENO, SAL DE FRUTAS CON DX DE URTICARIA SEVERA, RINITIS DE 6 AÃOS DE EVOLUCIÃN, TOS SECA PERSISTENTE ACUDE POR EDEMA FACIAL SECUNDARIO A MEDICAMENTOS SENSIBLE AL POLVO, OLORES FUERTES COMO DETERGENTES Y PERFUMES TRAE IGE 317. SE LE REALIZA TEST DE ALERGIA POSITIVO A ÃCAROS DEL POLVO CASERO, HONGOS DE LA HUMEDAD, PERRO Y CABALLO</t>
  </si>
  <si>
    <t>APLICAR EN LAS ZONAS AFECTADAS CADA 12 HORAS</t>
  </si>
  <si>
    <t>[FEXOFENADINA CLORHIDRATO] 120mg/1U</t>
  </si>
  <si>
    <t>APLICAR 1 TABLETA POR LAS NOCHES</t>
  </si>
  <si>
    <t>[QUETIAPINA] 100mg/1U</t>
  </si>
  <si>
    <t xml:space="preserve">paciente con un diagnostico de origen no organico, requiere autorizacion para cita control por psiquiatria </t>
  </si>
  <si>
    <t xml:space="preserve">dar una tableta cada 24 horas para 60 dias </t>
  </si>
  <si>
    <t xml:space="preserve">PROGRESO DE LA ENFERMEDAD E INFERTILIDAD </t>
  </si>
  <si>
    <t>[ULIPRISTAL ACETATO] 5mg/1U</t>
  </si>
  <si>
    <t xml:space="preserve">SE INDICA PARA CITOREDUCCION DE MIOMAS UTERINOS, EN PACIENTE CON INFERTILIDAD PARA PODER LOGRAR LA DESCOMPRENSION UTERINA </t>
  </si>
  <si>
    <t xml:space="preserve">TOMAR 1 CADA DIA </t>
  </si>
  <si>
    <t>PACIENTE FEMENINO DE 32 AÃOS DE EDAD ANTECEDENTES FAMILIARES NIEGA ANTECEDENTES PERSONALES RINITIS, ASMA NIEGA ALERGIA A MEDICAMENTOS NI ALIMENTOS REMITIDA POR ORL CON DX RINITIS, ASMA DE LARGA DATA LA CUAL REACCIONA A POLVO, CAMBIOS DE CLIMA, OLORES FUERTES . TRATADA CON LORATADINA , BECLOMETASONA CON LEVE MEJORIA SE REALIZA TEST DE ALERGIA POSITIVO A ÃCAROS DEL POLVO IGE 1850, EOSINOFILOS EN 10</t>
  </si>
  <si>
    <t xml:space="preserve">PERSISTENCIA DE FALLA CARDÍACA </t>
  </si>
  <si>
    <t>PACIENTE CON CARDIOPATIA ISQUEMICA  FE 18 % SE REAJUSTA MANEJO MEDICO SE INICIA VALSARTAN/SACUBITRIL PARA OPTIMIZACION DE FALLA CARDIACA COMO ESTA RECOMENDADO EN LAS GUIAS EUROPEAS DE MANEJO DE FALLA CARDIACA</t>
  </si>
  <si>
    <t xml:space="preserve">TOMAR MEDIA TABLETA O 25 MG CADA 12 HORAS POR 30 DAIS TOTAL TABLETAS 30 </t>
  </si>
  <si>
    <t>[LEVOSULPIRIDA] 25mg/1U</t>
  </si>
  <si>
    <t>paciente con diagnostico de DISPEPSIA funcional y fibrosis significativa.</t>
  </si>
  <si>
    <t>tomar 1 tableta antes del almuerzo.</t>
  </si>
  <si>
    <t>[ZINC SULFATO MONOHIDRATO] 20mg/5ml</t>
  </si>
  <si>
    <t>ADOLESCENTE DE 12 AÃOS DE EDAD HOSPITALIZADA EN CONTEXTO DE ADENITIS CERVICAL ACTUALMENTE CURSANDO CON CUADRO DE ENFERMEDAD DIARREICA  AGUDA DE ALTO GASTO POR LO CUAL AMERITA SULFATO DE ZINC COMO COADYUVANTE PARA LA RECONSTITUCION DE MUCOSA INTESTINAL</t>
  </si>
  <si>
    <t>SULFATO DE ZINC JARABE DE 20 MG. DAR 5 ML VIA ORAL CADA 12 HORAS POR 10 DIAS. TOTAL 1 FRASCO</t>
  </si>
  <si>
    <t>PACIENTE CON CUADRO CLINICO DE LARGO PERIODO DE EVOLUCION CARACTERIZADO POR OBSTRUCCION NASAL, RINORREA HIALINA CON MUCOSA CONGESTIVA, SECRESION , ESTORNUDOS RECURRENTE CON HIPERTROFIA DE CORNETES EN TRATAMIENTO SIN MEJORIA POR LO QUE SOLICITO MOMETASONA SPRAY CORTICOIDE LOCAL PARA DESINFLAMAR MUCOSA NASAL Y ERRADICAR PROCESO INFLAMATORIO Y ALERGICO</t>
  </si>
  <si>
    <t xml:space="preserve">RECOMENDACION ENTREGAR METASPRAY </t>
  </si>
  <si>
    <t xml:space="preserve">PACINETE CON PRESENCIA DE INSUFICIENCIA VENOSA  SUPERFICIAL CROICA  DE MMII EL CUAL NO ES CANDIDATA A CX POR LO CUAL LE ENVIAN MEDICAICON DIOSMINA PARA EL DOLOR. YA VALORADA POR CX VASCULAR </t>
  </si>
  <si>
    <t xml:space="preserve"> TOMA RUNA TAB VO CADA 12 HORAS  POR 90 DIAS  VIA ORAL </t>
  </si>
  <si>
    <t>no resultado satisfactorio con otras medicaciones</t>
  </si>
  <si>
    <t xml:space="preserve">paciente con diagnostico de lupus eritematoso sistemico y nefritis lupica con indicacion de utilizar hidroxicloroquina </t>
  </si>
  <si>
    <t xml:space="preserve">tomar una tableta via oral cada 24 horas </t>
  </si>
  <si>
    <t>pacienet alto riesgo de sangrado  y  dificil control para mantner el rtt</t>
  </si>
  <si>
    <t>pacienet con falalc ardiaca  y firbilacion auricular cronica con alto reisgod e sangrado, requeire terapia anticoagulante para disminuir riesgo cardioembolico.</t>
  </si>
  <si>
    <t>toamrla todos los dias</t>
  </si>
  <si>
    <t xml:space="preserve">PACIENTE CON DIAGNOSTICO DE FALLA CARDIACA CRONICA CON FEVI DEPRIMIDA QUIEN REQUIERE TERAPIA MEDICA OPTIMA EN CASA PARA EVITAR REINGRESOS HOSPITALARIOS E IMPACTAR EN MORTALIDAD. </t>
  </si>
  <si>
    <t xml:space="preserve">USO: TOMAR 12,5 MG  EQUIVALENTE A UN CUARTO DE LA TABLETA  CADA 24 HORAS DURANTE 90 DIAS. </t>
  </si>
  <si>
    <t xml:space="preserve">USO: 1 TABLETA CADA 24 HORAS DURANTE 90 DIAS. </t>
  </si>
  <si>
    <t>[EZETIMIBA] 10mg/1U ; [ROSUVASTATINA] 20mg/1U</t>
  </si>
  <si>
    <t>PACIENTE CON HIPERCOLESTEROLEMIA SEVERA, YA CON ESTUDIO GENETICO QUE CONFIRMA MUTACION HETEROCIGOTA DE LDLR, CON POBRE RESPUESTA A USO DE ESTATINAS A DOSIS ALTAS, POR LO QUE REQUIERE DE TERAPIA conjunta CON rosuvastatina ezetimibe LOMITAPIDE, ÃCIDOS OMEGA 3,6 Y 9 Y VITAMINA E PARA CONTROL DE NIVELES DE COLESTERO Y DIMINUIR RIESGO CARDIOVASCULAR</t>
  </si>
  <si>
    <t>ROSUVASTATINA 20 MG + EXETIMIBE 10 MG TABS. DAR 1 TAB VO DIARIA</t>
  </si>
  <si>
    <t>PACIENTE CON HIPERCOLESTEROLEMIA SEVERA, YA CON ESTUDIO GENETICO QUE CONFIRMA MUTACION HETEROCIGOTA DE LDLR, CON POBRE RESPUESTA A USO DE ESTATINAS A DOSIS ALTAS, POR LO QUE REQUIERE INCIIO DE TERAPIA CON LOMITAPIDE, ÃCIDOS OMEGA 3,6 Y 9 Y VITAMINA E PARA CONTROL DE NIVELES DE COLESTERO Y DIMINUIR RIESGO CARDIOVASCULAR</t>
  </si>
  <si>
    <t>OMEGAS 3, 6 Y 9 (EPACOR) CAPS. 1 CAP VO DIARIA</t>
  </si>
  <si>
    <t>VITAMIA E CAPS 400 UI. 1 CAPS VO DIARIA</t>
  </si>
  <si>
    <t xml:space="preserve"> para prevenir y tratar el dolor y la inflamaciÃ³n que pueden aparecer despuÃ©s de una operaciÃ³n de cataratas en los ojos.</t>
  </si>
  <si>
    <t xml:space="preserve">APLICAR 1 GOTA CADA 8 HORAS EN AMBOS OJOS POR 3 MESES </t>
  </si>
  <si>
    <t>[POLISACARIDO SEROTIPO 3 2,2Âµg&amp;POLISACARIDO SEROTIPO 6A 2,2Âµg&amp;POLISACARIDO SEROTIPO 9V 2,2Âµg&amp;POLISACARIDO SEROTIPO 23F 2,2Âµg&amp;POLISACARIDO SEROTIPO 6B 4,4Âµg&amp;POLISACARIDO SEROTIPO 18C 2,2Âµg&amp;PROTEINA TRANSPORTADORA CRM 197 32Âµg&amp;POLISACARIDO SEROTIPO 7F 2,2Âµg&amp;POLISACARIDO SEROTIPO 19F 2,2Âµg&amp;POLISACARIDO SEROTIPO 5 2,2Âµg&amp;POLISACARIDO SEROTIPO 14 2,2Âµg&amp;POLISACARIDO SEROTIPO 1 2,2Âµg&amp;POLISACARIDO SEROTIPO 19A 2,2Âµg&amp;POLISACARIDO SEROTIPO 4 2,2Âµg] 1Dosis/0,5ml</t>
  </si>
  <si>
    <t xml:space="preserve">PACIENTE INMUNOSUPRIMIDA POR TERAPIA BIOLOGICA. CON INDICACION DE VACUNACION SEGUN RECOEMNDACIONES DE GUIAS NACIONALES E INTERNACIONALES. </t>
  </si>
  <si>
    <t>DOLOR, MALESTAR GENERAL</t>
  </si>
  <si>
    <t xml:space="preserve">NO COTNOL CON MEDICAICON POS </t>
  </si>
  <si>
    <t>NO CONTOL CON MEDICIAON POS</t>
  </si>
  <si>
    <t xml:space="preserve">TOMAR UNA CADA 12 HRS </t>
  </si>
  <si>
    <t>no cotnrolprogresiond e sintomeas</t>
  </si>
  <si>
    <t>no control con medicaicon  pos</t>
  </si>
  <si>
    <t>tomar una cada 1 2hrs</t>
  </si>
  <si>
    <t>PACIENTE CON DIAGNOSTICO SINDROME DE OJO SECO EL CUAL AMERITA TRATAMIENTO DE LUBRICACION OCULAR PARA MEJORÃA DEL ARDOR Y ENROJECIMIENTO PRODUCIDA POR ESTA PATOLOGÃA EN MENCIÃN</t>
  </si>
  <si>
    <t xml:space="preserve">intolerancia gastrointestinal </t>
  </si>
  <si>
    <t xml:space="preserve">paciente con oebsida grado ii y dm tipo 2 con antecedente de cirugia bariatrica , reganancia de peso e intolerancia gastrointestinal a metformina </t>
  </si>
  <si>
    <t xml:space="preserve">aplicar 1.8 mg subcutaneos  despues de desayuno </t>
  </si>
  <si>
    <t xml:space="preserve"> PACIENTE DE 59 AÃOS CALOR, PARESTESIAS Y VARICES DE LOS MIEMBROS INFERIORES QUE CONSULTA CON MEDICINA GENERAL Y SE DERIVA PARA VALORACION POR CX VASCULAR,SE LE  ORDENA MEDICAMENTO CON EL FIN DE AUMENTAR EL TONO VENOSO, Y POR LO TANTO PUEDE REDUCIR LA CAPACITANCIA VENOSA, LA DISTENSIBILIDAD Y LA EXTASIS, ESTO AUMENTA EL RETORNO VENOSO Y REDUCE LA PRESIÃN VENOSA.</t>
  </si>
  <si>
    <t>PACIENTE QUE HACE 24 HORAS PRESENTA TRAUMA CON MATERIAL VEGETAL CON RAMA DE ARBOL EN EL OJO IZQUIERDO, CON POSTERIOR ARDRO, DOLOR Y MOLESTIASOD. OJO TRANQUILOS, CORNEA TRASPARENTE, ANGULO ABIERTO, CAMARA 1/2, PNCR 0.3      CRISTALINO TRASPARENTE      PIO 13 DE AG      FO. RETINA APLICADAOI  OJO HUIPEROMICO PEQUEÃA HERIDA CONJUNTIVAL NASAL DE 3 MM , CORNEA TRASPARENTE CON ABRASION A HORA 7, ANGULO ABIERTO, CAMARA 1/2, PNCR 0.3CRISTALINO TRASPARENTE    FO. SANA, RETINA APLICADA</t>
  </si>
  <si>
    <t>PACIENTE REQUIERE MEDICAMENTO Vigamox 0.5 % Gotas Oftalmico 5 Ml</t>
  </si>
  <si>
    <t>[PARACETAMOL] 10mg/1ml</t>
  </si>
  <si>
    <t xml:space="preserve">paciente  en su pop de laparotomia exploratoria  a quien se le ordena manejo analgesico con paracetamol  por estado  postquirurgico. </t>
  </si>
  <si>
    <t xml:space="preserve">paracetamol 500 mg cada 6 horas para  manejo de dolor </t>
  </si>
  <si>
    <t>[TERBINAFINA] 1g/100g</t>
  </si>
  <si>
    <t>PACIENTE PORTADORA DE  PIT VERSICOLOR Y ACNE SEVERO DIAGNOSTICADOS MEDIANTE BP191206-11, SE SOLICITA KETOCONAZOL CHAMPU, TERBINAFINA CREMA Y PEROXIDO DE BENZOILO 5 PORCIENTO EN GEL Y EVALUAR EN 2 MESES</t>
  </si>
  <si>
    <t>NINGUNA</t>
  </si>
  <si>
    <t>[KETOCONAZOL] 2g/100ml</t>
  </si>
  <si>
    <t>C42983</t>
  </si>
  <si>
    <t>JABONES Y CHAMPU</t>
  </si>
  <si>
    <t>[BENZOIL PEROXIDO] 5g/100g</t>
  </si>
  <si>
    <t>PUEDE DECOLORAR LA ROPA Y EL CABELLO NO APLICAR CERCA A LOS OJOS,BOCA, OIDOS Y OREJAS</t>
  </si>
  <si>
    <t>control del metabolismo de los glucogenos, disminuyendo el riesgo cardiovascular</t>
  </si>
  <si>
    <t>[GATIFLOXACINO] 5mg/1ml</t>
  </si>
  <si>
    <t>Solucion Oftalmica Frasco X 5 mL, 1  GOTA cada 2 Hora(s) en Ojo Izquierdo por 10 Dia(s)  Suministar: 2 Frasco(s)</t>
  </si>
  <si>
    <t xml:space="preserve">PACIENTE CON ENFERMEDAD DIARREICA AGUDA MAYOR DE 5 AÃOS QUIEN REQUIERE COMPLEMENTO CON SULFATO DE ZINC COMO COADYUVANTE  EN MANEJO DE ENFERMEDAD DIARREICA </t>
  </si>
  <si>
    <t xml:space="preserve">DAR 5 CC VIA ORAL CADA 12 HORAS </t>
  </si>
  <si>
    <t>PACIENTE PRETERMINO DE 32 SEMANAS CORREGIDAS, QUIEN POR SU GRADO DE INMADUREZ CEREBRAL Y PULMONAR PRESENTA ALTA\nPROBABILIDAD DE REALIZAR EPISODIOS DE APNEAS, QUE PONEN EN RIESGO LA VIDA DEL PACIENTE.</t>
  </si>
  <si>
    <t xml:space="preserve">APLICAR 13MG VIA ORAL CADA 24 HORAS </t>
  </si>
  <si>
    <t>paciente con DIAGNOSTICO de glaucoma quien requiere tratamiento</t>
  </si>
  <si>
    <t>aplicar una gota cada 12 horas durante 3 meses</t>
  </si>
  <si>
    <t>[BIMATOPROST] 0,3mg/1ml ; [TIMOLOL] 5mg/1ml</t>
  </si>
  <si>
    <t>Solucion Oftalmica. Frasco x 3 mL Frasco x 3 mL,  1 GOTA  cada 12 Hora(s) en  Ambos ojos por 3 Mes(es)  Suministar: 6 Frasco(s)</t>
  </si>
  <si>
    <t>[INFLIXIMAB] 100mg/1U</t>
  </si>
  <si>
    <t>PACIENTE CONOCIDO EN EL SERVICIO DE LARGA DATA , EN SEGUIMIENTO EN EL PABLO TOBÃN URIBE POR EL DR\nGABRIEL MOSQUERA KLINGER POR PANCOLITIS ULCERATIVA EN TERAPIA BIOLOGICA, SIN ESTEROIDES . SIN DOLOR ,\nDOS DEPOSICIONES ACUOSAS , SIN SANGRE SIN FLEMA , S1 E3 DE MONTREAL . EN ESTOS MOMENTOS MESALAZINA\n1 GR EN SOBRE CADA 8 HORAS , ( SALOFALK GRANULADO 3 GR DIA )\n AZATIOPRINA 100 MG VO INFLIXIMAB 5 MG /KG / DOSI . SE INDICA MIPRES</t>
  </si>
  <si>
    <t>400 MG     EV       CADA  8 SEMANAS .  X  6 MESES</t>
  </si>
  <si>
    <t>MO MEJORA</t>
  </si>
  <si>
    <t>[MESALAZINA] 1000mg/1U</t>
  </si>
  <si>
    <t xml:space="preserve">UN  SOBRE CADA 8 HORAS X    6 MESES </t>
  </si>
  <si>
    <t>paciente con hipotension severa con noreprina dosis maxima, por lo cual, se ordena iniciar vasopresina 2uh.</t>
  </si>
  <si>
    <t>APLICAR 1 GOTA CADA 6 HORAS EN CADA OJO</t>
  </si>
  <si>
    <t>no control de glicemias y aumento de peso</t>
  </si>
  <si>
    <t>paciente con dm2 con sobrepeso sin control de glicemias con glibenclamida y aumento de peso secundario requiere medicamento que no impacte en peso corporal</t>
  </si>
  <si>
    <t xml:space="preserve">tomar 1 cada 12 horas por 3 meses </t>
  </si>
  <si>
    <t>sin exito terapeutico</t>
  </si>
  <si>
    <t>[MIRTAZAPINA] 30mg/1U</t>
  </si>
  <si>
    <t>LA PRESENCIA DE SÃNTOMAS DERIVADOSDEL DESEQUILIBRIO NORADRENERGICO Y DOPAMINERGICO EXIGE EL USO DE UN ANTIDEPRESIVO DUAL YA QUE LOS ISRS SON ABSOLUTAMENTE INEFICACES PARA RESOLVER ESTAS SINTOMATOLOGIAS . ESTE CUADRO PONE EN PELIGRO LAS VIDA DE LA PACIENTE Y DE QUIEN LA RODEA</t>
  </si>
  <si>
    <t>POBRE RESPUESTA A LOS ANTIDEPRESIVOS  ISRS POR LO QUE SE RECOMIENDA CONTINUAR CON MIRTAZAPINA 30 MGS AL DIA</t>
  </si>
  <si>
    <t>paciente con diagnostico de glaucoma quien  REQUIERE TRATAMIENTO</t>
  </si>
  <si>
    <t>aplicar una gota cada 12 horas</t>
  </si>
  <si>
    <t xml:space="preserve">NO ES UN SUSTANCIA QUE GENERE DEPENDENCIA O ADICCIÃN FÃSICA, MENOS SÃNDROME DE ABSTINENCIA. LA TOXINA BOTULÃNICA NO GENERA PLACER O SENSACIONES FÃSICAS. LA PERSONA PUEDE EXPERIMENTAR INDIRECTAMENTE UNA SENSASIÃN DE CONFORMIDAD AL VER QUE SE LE FORMAN MENOS ARRUGAS AL GESTICULAR O FRUNCIR LA CARA. LA DURACIÃN DE SUS EFECTOS ES DE 4 A 6 MESES. MUCHAS PERSONAS QUE QUIEREN MANTENER LOS EFECTOS SE LO APLICAN 2 A 3 VECES POR AÃO. NO SE CONSIGUEN MAYORES EFECTOS APLICÃNDOLO ANTES DE QUE SUS EFECTOS SE </t>
  </si>
  <si>
    <t>Administración inmediata</t>
  </si>
  <si>
    <t>TOXINA CLOSTRIDIUM BOTULINUM TIPO A 4.8NG EQ. A POLVO LIOFILIZADO PARA RECONSTITUIR A SOL. INY. 100 UI APLICACION DE 70UIEN MUSCULOS COMPROMETIDOS</t>
  </si>
  <si>
    <t>PACIENTE FEMENINO DE 78 AÃOS CON DIATONIA CERVILCA LATEROCOLIS DERECHA  TEMBLOR CEFALICO EN NONO DISCAPACITANTE , SE DEBE APLICAR TOXINA BOTULINICA TIPO A 500 UNIDADES CON GUIA ELECTROMIOGRAFICA</t>
  </si>
  <si>
    <t xml:space="preserve"> TOXINA BOTULINICA TIPO A 500 UNIDADES CON GUIA ELECTROMIOGRAFICA</t>
  </si>
  <si>
    <t>PACIENTE CON FALLA CARDIACA EN ESTADIO AVANZADO QUE CONSULTA POR AGUDIZACION DE SINTOMAS CONSIDERO DEBE CONTINUAR CON SACUBITRIL VALSARTAN COMO MANEJO DE FALLA CARDIACA</t>
  </si>
  <si>
    <t>TOMAR 1 TABLETA VIA ORAL CADA 12 HORAS</t>
  </si>
  <si>
    <t>[BICALUTAMIDA] 50mg/1U</t>
  </si>
  <si>
    <t xml:space="preserve">CANCER DE PROSTATA </t>
  </si>
  <si>
    <t xml:space="preserve">TOMAR UNA TABLETA CADA DIA POR 3 MESES </t>
  </si>
  <si>
    <t xml:space="preserve">MINIMIZAR RIESGO DE PROGRESIÃN DE DAÃO GLAUCOMATOSO.  SE ORDENA MEDICAMENTO DE MANERA PERMANENTE, YA QUE DE NO SER TRATADO EL GLAUCOMA CON LLEVA A DAÃOS EN EL NERVIO  ÃPTICO Y CUANDO ESTO SUCEDE ES IRREVERSIBLE, RAZÃN POR LA CUAL HAY QUE MANTENER LA PRESIÃN INTRAOCULAR DENTRO DE LÃMITES NORMALES, PORQUE AUNQUE NO SE CONSIGA RECUPERAR VISIÃN EVITA QUE SE PIERDA PROGRESIVAMENTE LA QUE SE TIENE. </t>
  </si>
  <si>
    <t xml:space="preserve">DORZOPT GOTAS </t>
  </si>
  <si>
    <t>presencia de sintomas extrapiramidales</t>
  </si>
  <si>
    <t>paciente con conductas de CARÃCTER PSICÃTICO que ponen en peligro la integridad y de quienes la rodean. MOLÃCULA que disminuye el riesgo de SÃNTOMAS EXTRA PIRAMIDALES</t>
  </si>
  <si>
    <t>paciente con MEJORÍA CLÍNICA, DISMINUCIÓN de IRRITABILIDAD y AGRESIÓN se recomienda  con risperidona 1 mgs al DÍA</t>
  </si>
  <si>
    <t>NO CONTROL METABOLICO ADECUADO</t>
  </si>
  <si>
    <t xml:space="preserve">PACIENTE CON DIABETES MELLITUS TIPO II DE DIFICIL CONTROL </t>
  </si>
  <si>
    <t>TOMAR UNA TABLETA ORAL CADA 12 HORAS DURANTE 3 MESES</t>
  </si>
  <si>
    <t>ESCITALOPRAM</t>
  </si>
  <si>
    <t>Sin mejoria de ansiedad ni quejas cognitivas</t>
  </si>
  <si>
    <t xml:space="preserve">Paciente de 79 aÃ±os de edad, sintomas depresivos de mas de 10 aÃ±os de evolucion, sin mejoria con isrs y consumo de tabaco asociado a los sintomas depresivos y ansiosos. </t>
  </si>
  <si>
    <t>una tableta cada mañana con el desayuno</t>
  </si>
  <si>
    <t>para prevenir y tratar el dolor y la inflamaciÃ³n que pueden aparecer despuÃ©s de una operaciÃ³n de cataratas en los ojos.</t>
  </si>
  <si>
    <t>APLICAR 1 GOTA CADA 8 HORAS EN EL EL OJO IZQUIERDO</t>
  </si>
  <si>
    <t>CODINDICACION</t>
  </si>
  <si>
    <t>DESC_CODINDICACION</t>
  </si>
  <si>
    <t>Manejo de pacientes pediátricos con nefritis lúpica.</t>
  </si>
  <si>
    <t>TRASTORNO AFECTIVO ORGÁNICO EN ADULTOS</t>
  </si>
  <si>
    <t>TRATAMIENTO DE ENFERMEDAD INJERTO CONTRA HUÉSPED AGUDA Y CRÓNICA EN TRASPLANTE DE PROGENITORES HEMATOPOYÉTICOS EN ADULTOS</t>
  </si>
  <si>
    <t>DESC_TIPOPREST</t>
  </si>
  <si>
    <t>CAUSAS11</t>
  </si>
  <si>
    <t>CAUSAS12</t>
  </si>
  <si>
    <t>PROPBSUTILIZADO</t>
  </si>
  <si>
    <t>DESC_PROPBSUTILIZADO</t>
  </si>
  <si>
    <t>PROPBSDESCARTADO</t>
  </si>
  <si>
    <t>DESC_PROPBSDESCARTADO</t>
  </si>
  <si>
    <t>RZNCAUSAS51</t>
  </si>
  <si>
    <t>DESCRZN51</t>
  </si>
  <si>
    <t>RZNCAUSAS52</t>
  </si>
  <si>
    <t>DESCRZN52</t>
  </si>
  <si>
    <t>CAUSAS7</t>
  </si>
  <si>
    <t>CODCUPS</t>
  </si>
  <si>
    <t>DESC_CODCUPS</t>
  </si>
  <si>
    <t>CANFORM</t>
  </si>
  <si>
    <t>CADAFREUSO</t>
  </si>
  <si>
    <t>CODFREUSO</t>
  </si>
  <si>
    <t>DESC_CODFREUSO</t>
  </si>
  <si>
    <t>CANT</t>
  </si>
  <si>
    <t>CANTTOTAL</t>
  </si>
  <si>
    <t>CODPERDURTRAT</t>
  </si>
  <si>
    <t>DESC_CODPERDURTRAT</t>
  </si>
  <si>
    <t>Única</t>
  </si>
  <si>
    <t xml:space="preserve">IMPLANTACIÓN O SUSTITUCIÓN DE PRÓTESIS COCLEAR CON PRESERVACIÓN DE RESTOS AUDITIVOS </t>
  </si>
  <si>
    <t xml:space="preserve">EVITAR QUE LA ENFERMEDAD PROGRESE Y MEJORAR LA CALIDAD DE VIDA DEL PACIENTE </t>
  </si>
  <si>
    <t xml:space="preserve">USO PERMAMENTE Y CONTROLES </t>
  </si>
  <si>
    <t xml:space="preserve">CONTROLAR LOS SÃNTOMAS Y EVITAR QUE LA ENFERMEDAD PROGRESE </t>
  </si>
  <si>
    <t xml:space="preserve">NEURO ONE </t>
  </si>
  <si>
    <t>INSERCIÓN DE LENTE INTRAOCULAR FÁQUICO EN CÁMARA POSTERIOR</t>
  </si>
  <si>
    <t>PACIENTE ACTUALMENTE CON AFAQUIA UNILATERAL QUIEN REQUIERE IMPLANTE DE LENTE ARTISAN PARA EVITAR  MAYOR DETERIORO DE SU PATOLOGIA Y PERDIDA IRREVERSIBLE DE LA VISION</t>
  </si>
  <si>
    <t xml:space="preserve"> IMPLANTE DE LENTE  ARTISAN OJO DERECHO </t>
  </si>
  <si>
    <t>ESTROBOSCOPIA LARÍNGEA</t>
  </si>
  <si>
    <t>PACIENTE CON CUADRO DE ALTERACION EN VOZ PROBABLE COMPONENTE DISTONICO EN CUERDAS VOCALES, REQUEIRE REVISION PARA DESCARATR OTRAS PATOLOGIAS, SE SOLICITA VIDEOESTROBOSCOPIA LARINGEA.</t>
  </si>
  <si>
    <t>ESOFAGOGASTRODUODENOSCOPIA [EGD] CON O SIN BIOPSIA</t>
  </si>
  <si>
    <t>GASTRECTOMÍA VERTICAL [MANGA GÁSTRICA] POR LAPAROSCOPIA</t>
  </si>
  <si>
    <t>ALTO RIESGO DE ARRITMIAS MALIGNAS, IMA , ACV, TEP , TVP , COMA HIPEROSMOLAR , APNEA DEL SUEÃO , CANCER DE OVARIO , CANCER DE COLON, PSEUDO TUMOR CEREBRALIS , MUERTE SÃBITA. POR LO QUE ES CANDIDATA A SLEEVE GASTRICO POR VIDEO LAPAROSOPIA SEGUN CRITERIOS DE ACOCIB, INH , OMS , SE LE EXPLICA A LA PACIENTE QUE ES UNA CIRUGIA RESTIRCTIVA QUE SE REALIZA POR SALUD Y NO CON FINES ESTÃTICOS , POR LO QUE DEBE COMPLIR A CABALIDAD CON LA DIETA POP,IMC:42.61 COMORBILIDADES.</t>
  </si>
  <si>
    <t xml:space="preserve">VALORACIONES POR GRUPO MULTIDISCIPLINARIO: QUIENES COINCIDEN PARA TTO QUIRURGICO DE LA OBESIDAD </t>
  </si>
  <si>
    <t>EDUCACIÓN GRUPAL EN SALUD, POR NUTRICIÓN Y DIETÉTICA</t>
  </si>
  <si>
    <t>PACIENTE CON OBESIDAD GRADO III CON FRACASO EN EL MANEJO NUTRICIONAL CON DIETAS, TRASTORNOS METABÃLICOS SECUNDARIOS COMO ARTRALGIAS LUMBALGIA APNEA DEL SUEÃO, TALLA 175 CM PESO 138 KG IMC 45  ES LLEVADO A COMITÃ POR CLÃNICA DE OBESIDAD PARA DEFINIR MANEJO TERAPEUTICO CON CIRUGIA DE GASTRECTOMIA VERTICAL MANGA GÃSTRICA POR LAPAROSCOPIA CON EL FIN DE DISMINUIR LAS COMPLICACIONES DE LOS SÃNDROMES METABOLICOS PADECIDOS Y EL RIESGO DE MUERTE SUBITA. TIENE PROTOCOLO COMPLETO.</t>
  </si>
  <si>
    <t>DIETA LIQUIDA Y FRACCIONADA EN 6 PORCIONES 5 DÍAS ANTES DEL PROCEDIMIENTO. AUTORIZACION CLINICA BONADONNA</t>
  </si>
  <si>
    <t>BAIPÁS O DERIVACIÓN O PUENTE GÁSTRICO POR LAPAROSCOPIA</t>
  </si>
  <si>
    <t>RIESGO DE ALTO RIESGO DE ARRITMIAS MALIGNAS, IMA , ACV, TEP , TVP , COMA HIPEROSMOLAR , APNEA DEL SUEÃO , CANCER DE OVARIO , CANCER DE COLON,  PSEUDO TUMOR CEREBRALIS , MUERTE SÃBITA.  INDICE  DE QUETELET + COOMORBILIDADES   ORTOPEDICAS  , CARDIOVASCULARES  POR LO   QUE ES CANDIDATA A SLEEVE GASTRICO POR VIDEO LAPAROSOPIA  SEGUN CRITERIOS DE ACOCIB, INH , OMS IMC: 37.5 KG/ T2 + COMORBILIDADES</t>
  </si>
  <si>
    <t>E LE EXPLICA A LA PACIENTE QUE ES UNA CIRUGIA   RESTIRCTIVA QUE SE REALIZA POR SALUD  Y NO CON FINES ESTÉTICOS , POR LO QUE DEBE COMPLIR A  CABALIDAD CON LA DIE</t>
  </si>
  <si>
    <t>COLONOSCOPIA TOTAL</t>
  </si>
  <si>
    <t>INSERCIÓN DE DISPOSITIVO EN INTESTINO GRUESO VÍA ENDOSCÓPICA</t>
  </si>
  <si>
    <t xml:space="preserve">PACIENTE MULTICONSULTANTE , HA ESTADO EN URGENCIAS EN VARIAS EN OCASIONARES , QUE VIENE CON ANTECEDENTES DOLOR EN FII, CON IRRADIACIÃON HACIA PROXIMAL , Y RETROESTERNAL QUE NO NO SEDE AL US DE TRIMEBUTINA , DIAGNOSTICADA DE SII, HA PERDIDO DE 5 KG\nDESDE LA ÃLTIMA CONSULTA , YA TIENE ECOGRAFIA- TOMOGRAFIA DE ABDOMEN TOTAL DENTRO DE LIMITES\nNORMALES . COLONOSCOPIA , EVDA : GASTRITIS CRÃNICA FOLICULAR HP PYLORI NEGATIVA , T3 1,22 TSH LIGERAMENTE\nELEVADA 6,52 SANGRE OCULTA EN HECES NEGATIVA , </t>
  </si>
  <si>
    <t xml:space="preserve">VÁLIDA PARA ENDOSCOPIA DESPUÉS DE DUODENO\n( ENTEROSCOPIA MEDIANTE CÁPSULA ENDOSCOPCA ) </t>
  </si>
  <si>
    <t>Sucesiva</t>
  </si>
  <si>
    <t xml:space="preserve">PACIENTE CON ANTECEDENTES DE COLITIS ULCERATIVA HACE    6 AÃOS  DE EVOLUCION QUE VENIA SIENDO TRATADA EN  MEDELLIN.  ULTIMA COLONSOCOPIA DEL  21-09-2018: COLONSCOPIA INCOMPLETA  POR ESTERNOSIS   CRITICA  A NOVEL DEL SIGMOIDUES M: BP PROCTO SIGMOIDITIS ULCERADA EN  ESTUDIO INCOMPLETA  CIO , CROHN ?  BIOSPSA : BANDA FIBROTICA   A  NIVEL EDL RECTO   EN ESOTOS MOMENTOS  CON          4  DEPOSISCIONES LIAUIDAS  SIN SANGRE  ,  EN OCASIONES   CON   FLEMA  PARA UNA ESCALA DE MONTREAL A DE  E2  S 1 .  </t>
  </si>
  <si>
    <t>VALIDO PARA  CAPSULA ENDOSCÓPICA :   ENTEROSCOPIA ENDOSCOPIA  DESPUES DE DUODENO CUPS  451302\t</t>
  </si>
  <si>
    <t>CORDOCENTESIS VÍA PERCUTÁNEA</t>
  </si>
  <si>
    <t>PACIENTE G1 P0 CON EMBARAZO DE 26.3 SEM, CON ECOCARDIOGRAMA FETAL CON CARDIOPATIFA FETAL COMPLEJA, CON SITUS INDIFERENCIADO, CANAL AV, VENTRICULO UNICO, MALPOSICION DE GRANDES VASOS. SE DEBE DESCARTAR CURSE CON CROMOSOMOPATIA ASOCIADA A MALFORMACION POR LO CUAL SE INDICA REALIZACION DE CORDOCENTESIS PARA CARIOTIPO FETAL CON BANDEO G  FISH 22Q11</t>
  </si>
  <si>
    <t>REALIZACION DE CARIOTIPO FETAL</t>
  </si>
  <si>
    <t>ECOGRAFÍA DE ABDOMEN (MASAS ABDOMINALES Y DE RETROPERITONEO)</t>
  </si>
  <si>
    <t>RESECCIÓN DE LESIÓN O TUMOR ABDOMINAL O PÉLVICO EN FETO POR LAPAROTOMÍA</t>
  </si>
  <si>
    <t xml:space="preserve">paCIENTE PRETERMINO 36 SEMANAS MASA ABDOMINAL CON REPORTE DE TOMOGRAFIA IMÃGENES QUISTÃCAS DE CONTORNOS DEFINIDOS ADYACENTES A NIVEL DEL EPIGASTRIO E HIPOCONDRIO DERECHO QUE DESPLAZAN ASAS INTESTINALES  CON DIAMETROS MAYORES DE 5X 3.5 CM Y 5.6X7.5X10CM LA LESION ESTA EN CONTACTO CON EL TECHO DE LA VEJIGA \nCONCLUSION LESIONES QUISTICAS QUE PUDEN CORRESPONDER : 1. QUISTES ENTERICOS 2. QUISTES ANEXIALES DERECHOS  3. DUPLICACION INTESTINAL ILEAL EXTRAMESENTERICA </t>
  </si>
  <si>
    <t xml:space="preserve">LLEVAR A CIRUGIA PARA RESECCION DE MASA </t>
  </si>
  <si>
    <t>PACIENTE CON HIGROMA ABDOMINAL VALORADO POR CIRUGIA QUIEN CONSIDERA NECESARIO PROCEDIMIENTO DE RESECCION DEL MISMO POR CIRUGIA LAPAROSPCOPIA PARA DISMINUIR SANGRADO Y RIESGO DE MUERTE SECUNDARIA</t>
  </si>
  <si>
    <t>LAPAROSCOPIA DIAGNOSTICA Y RESECCION DE HIGROMA ABDOMINAL POR LAPAROSCOPIA</t>
  </si>
  <si>
    <t>ESTUDIO DE CITOGENÉTICA EN BIOPSIA</t>
  </si>
  <si>
    <t xml:space="preserve">paciente con sospecha de mieloma multiple, se solicita estudio de citogenetica en medula osea para deteccion de mutacion de alto riesgo. </t>
  </si>
  <si>
    <t xml:space="preserve">estudios de citogenetica en medula osea para deteccion de mutaciones. </t>
  </si>
  <si>
    <t>OXALATOS EN ORINA O EN SANGRE</t>
  </si>
  <si>
    <t>PACIENTE  CON ANTECEDENTE DE LITIASIS RENAL CON SEGUIMIENTO POR NEFROLOGÃA, SE SOLICITA OXALATO EN ORINA DE 24 HORAS PARA DESCARTAR LA EXISTENCIA DE HIPEROXALURIA Y DE ESTA MANERA CONOCER EL PATRÃN LITOGENO DEL PACIENTE.\n\n</t>
  </si>
  <si>
    <t xml:space="preserve">oxalatos en orina de 24 horas </t>
  </si>
  <si>
    <t>CALCIO AUTOMATIZADO EN ORINA DE 24 HORAS</t>
  </si>
  <si>
    <t>CITRATOS EN ORINA DE 24 HORAS</t>
  </si>
  <si>
    <t xml:space="preserve">PCTE DE 9 AÃOS CON NEFROLITIASIS BILATERAL SIN AUN DOCUMEN TARSE HIPERCALCIURIA </t>
  </si>
  <si>
    <t xml:space="preserve">RECOLECCION DE ORINA  DE 24 H </t>
  </si>
  <si>
    <t>PACIENTE  CON ANTECEDENTE DE LITIASIS RENAL CON SEGUIMIENTO POR NEFROLOGÃA, SE SOLICITA CITRATOS EN ORINA DE 24 HORAS PARA DESCARTAR LA EXISTENCIA DE HIPOCITRATURIA Y DE ESTA MANERA CONOCER EL PATRÃN LITOGENO DE LA PACIENTE</t>
  </si>
  <si>
    <t xml:space="preserve">citratos en orina de 24 horas </t>
  </si>
  <si>
    <t xml:space="preserve">PACIENTE CON CALCULO DEL RIÃÃN SE ORDENA CITRATO EN ORINA DE 24 HORAS </t>
  </si>
  <si>
    <t>HACER CITRATO EN ORINA DE 24 HORAS RECOGER MUESTRA DE ORINA PARA HACER ESTE EXAMEN</t>
  </si>
  <si>
    <t>PRO PÉPTIDO ATRIAL NATRIURÉTICO [PRO-BNP] (PÉPTIDO CEREBRAL NATRIURÉTICO)</t>
  </si>
  <si>
    <t>sospecha de insuficiencia cardiaca descompensada . se requiere estudio</t>
  </si>
  <si>
    <t>se solicita propeptido atrial natriuretico</t>
  </si>
  <si>
    <t>PACIENTE HIPERTENSO DIABETICO QUE CONSULTA POR DETERIORO DE CLASE FUNCIONAL SE SOSPECHA DE FALLA CARDIACA SE SOLICITA PRO BNP PARA MEJOR CARATERIZACION</t>
  </si>
  <si>
    <t>GUIAS ESC FALLA CARDIACA 2016</t>
  </si>
  <si>
    <t>PÉPTIDO ATRIAL NATRIURÉTICO [BNP] [PÉPTIDO CEREBRAL NATRIURÉTICO]</t>
  </si>
  <si>
    <t>PACIENTE CON ANTECEDENTE NO CLARO DE CARDIOPATIA ISQUEMICA QUE CONSULTA CON CLINICA DE FALLA CARDIACA POR LO QUE SE SOLICITA BNP PARA MEJOR CARATERIZACION</t>
  </si>
  <si>
    <t>sospechja de falla cardiaca</t>
  </si>
  <si>
    <t>MONITOREO DE pH ESOFÁGICO EN 24 HORAS [pHMETRÍA] CON IMPEDANCIOMETRÍA</t>
  </si>
  <si>
    <t xml:space="preserve">PACIENTE QUE VIENE CON    A CONSULTA  CON  RESULTADOS DE  BP :  GASTRITIS  ANTRAL  MODERADA SIN ACTIVIDIDAD:     CON  POCA ADHERENCIA AL TTO MANTIENE  HIPO INDICO  DESLANZOPRAZOL ,   AMITRIPTILINA  , RECOMDNACIONES  DIETÃTICAS CITA CONTROL EN  4 MESES , PH METRIA CON  IMPEDACIOMETRIA  A DESCARTAR ESOFAGO HIPERSENSIBLE  Y CARACTERIZAR EL TIPO DE ERGE , </t>
  </si>
  <si>
    <t>SUSPENDER IBP Y  PROCINETICOS  7 DIAS ANTES DE LA PRUEBA</t>
  </si>
  <si>
    <t xml:space="preserve">MONITORIZACIÓN CONTINUA DE GLUCOSA  </t>
  </si>
  <si>
    <t>diabetes tipo 1, 4 aÃ±os de evolucion.en terapia intensiva con insulina lantus mas apidra. presenta hipoglicemias leves en la noche y madrugada que han requerido ajustes de insulinas requiere monitoreo de glucometrias frecuente se formula sensor para glucometro free style .monitorizacion frecuente de glucometrÃ­as que no requiere puncion capilar excepto en situaciones extremas.duracion de cada sensor 2 semanas</t>
  </si>
  <si>
    <t>requiere escaneo de glucometrias con ensor free style .duración de cada sensor 2 semanas</t>
  </si>
  <si>
    <t>ARTERIOGRAFÍA CORONARIA</t>
  </si>
  <si>
    <t>ULTRASONIDO INTRAVASCULAR DIAGNÓSTICO</t>
  </si>
  <si>
    <t>1.-ESTENOSIS INTERMEDIA DEL SEGMENTO OSTIAL DEL TRONCO PRINCIPAL DELA CORONARIA IZQUIERDA\n2.- ENFERMEDAD ARTERIA CORONARIA SEVERA DE UN VASO: OCLUSIÃN DEL SEGMENTO DISTAL DE LA ARTERIA DESCENDENTE ANTERIOR. PERSISTENCIA DEL BUEN RESULTADO ANGIOGRAFICO DE LOS STENT PREVIAMENTE IMPLANTADO EN EL SEGMENTO MEDIO DISTAL DE LA ARTERIA DESCENDENTE ANTERIOR.  \n</t>
  </si>
  <si>
    <t>SE SOLICITA ECOGRAFIA VASCULAR INTRACORONARIA (IVUS) CON SONSA OPTICROSS 40 HZ.</t>
  </si>
  <si>
    <t>1.- ENFERMEDAD ARTERIAL CORONARIA SEVERA DE DOS VASOS + RAMOS SECUNDARIOS: ESTENOSIS SEVERA DEL SEGMENTO PROXIMAL Y SEGMENTO MEDIO DE LA ARTERIA DESCENDENTE ANTERIOR + ESTENOSIS SEVERA DEL SEGMENTO PROXIMAL DE LA ARTERIA DESCENDENTE POSTERIOR + ESTENOSIS SEVERA DEL OSTIUM Y SEGMENTO PROXIMAL DEL RAMO INTERMEDIO  2.- ESTENOSIS MODERADA VERSUS SEVERA  DEL SEGMENTO DISTAL DEL TRONCO DE LA CORONARIA IZQUIERDA.</t>
  </si>
  <si>
    <t>ECOGRAFIA INTRACORONARIA (IVUS)</t>
  </si>
  <si>
    <t>PSICOTERAPIA INDIVIDUAL POR PSICOLOGÍA</t>
  </si>
  <si>
    <t>ADMINISTRACIÓN [APLICACIÓN] DE PRUEBA NEUROPSICOLÓGICA (CUALQUIER TIPO) (CADA UNA)</t>
  </si>
  <si>
    <t>mal desempeÃ±os escolar</t>
  </si>
  <si>
    <t>planear desarrollo educativo</t>
  </si>
  <si>
    <t>no existe homologo</t>
  </si>
  <si>
    <t xml:space="preserve">impulsividad, baja tolerancia, desinteres escolar, bajo seguimiento de normas, puerilidad, comportamientos no acordes con la edad. </t>
  </si>
  <si>
    <t>ss: pruebas neuropsicologicas. para evaluar procesos del pensamiento. IMPULSIVIDAD, BAJA TOLERANCIA, DESINTERES ESCOLAR, BAJO SEGUIMIENTO DE NORMAS, PUERILIDAD,</t>
  </si>
  <si>
    <t>ADULTO MAYOR CON CUadro de declive cognitivo de tipo amnesico de curso de evolucion 1 aÃ±o, con la EVALUACIÃN neuropsicologica se identifica el perfil neuro cognitivo del adulto, es decir la presencia de alteraciones objetivas de memoria  o de otras funciones cognitivas superiores, se identificara posible perfil del hipocambio,se establecera si los olvidos OBEDECEN a un proceso PATOLÃGICO o son de CARÃCTER benigno</t>
  </si>
  <si>
    <t>realizar 1 prueba semanal durante 30 dias</t>
  </si>
  <si>
    <t>dificultades escolares, comportamentales, no sigue normas, miente con frecuencia, historias fantasticas. comportamientos no acordes con edad cronologica</t>
  </si>
  <si>
    <t>ss: prueba neuropsicologica, evaluar procesos del pensamiento</t>
  </si>
  <si>
    <t>MASCULINO DE 7 aÃ±os de edad con IMPRESIÃN diagnostica discapacidad intelectual moderado, asociado a dificultad par la RETENCIÃN de la INFORMACIÃN inmediata, ha repetido TRANSICIÃN y primero de primaria, presenta dificultad para la escritura y RECONOCIMIENTO de los NÃMEROS y letras. se recomienda la APLICACIÃN de la prueba para determinar nivel de compromiso en sus funciones mentales superiores y su incidencia en el ÃREA cognitiva COMPORTA MENTAL</t>
  </si>
  <si>
    <t>realizar 1 prueba cada semana durante 2 meses</t>
  </si>
  <si>
    <t>impulsividad, baja tolerancia, comportamientos infantiles para la edad, no prevee el peligro, agresivo con pares. considerando explorar procesos del pensamiento e inteligencia</t>
  </si>
  <si>
    <t>ss PRUEBA NEUROPSICOLÓGICA (CUALQUIER TIPO) (CADA UNA). eXPLORAR PROCESOS DEL PENSAMIENTO E INTELIGENCIA</t>
  </si>
  <si>
    <t>no existe alternativa en pbsupc</t>
  </si>
  <si>
    <t>aplicacion de prueba neuropsicologica</t>
  </si>
  <si>
    <t>NO EXISTE ALERNATIVA EN PBSUPC</t>
  </si>
  <si>
    <t>APLICACION DE PRUEBA NEUROPSICOLOGICA</t>
  </si>
  <si>
    <t>NO EXISTE ALTERNATIVA EN PBSUPC</t>
  </si>
  <si>
    <t>SE REQUIERE APLICACIÃN DE PRUEBAS NEUROPSICOLOGICAS PARA DETERMINAR PERFIL NEUROCOGNOSCITIVO POR PRESENTAR DIFICULTADES EN EL APRENDIZAJE Y DE COMPARTIMENTO. NO ACATA ORDENES .</t>
  </si>
  <si>
    <t>ADMINISTRACIÓN DE PRUEBAS NEUROPSICOLOGICAS PARA DETERMINAR PERFIL NEUROCOGNOSCITIVO</t>
  </si>
  <si>
    <t>MASCULINO DE 8 AÃOS DE EDAD CON DX DE DÃFICIT DE ATENCIÃN HIPERACTIVIDAD, ACTUALMENTE CON DIFICULTADES EN EL NIVEL DE PARTICIPACIÃN Y FUNCIONAMIENTO DE SUS ACTIVIDADES Y HABILIDADES DE LA VIDA DIARIA, DESCRIBE QUE PRESENTA DIFICULTADES, DIFICULTADES EN CONTROL INHIBITORIO, POCO REGULADO, REQUIERE LA PRUEBA CON EL PROPÃSITO DE ESTABLECER SU CAPACIDAD INTELECTUAL, GLOBAL, ADEMAS DE DETERMINAR SU FUNCIONAMIENTO POR DOMINIOS SUPERIORES COGNITIVOS</t>
  </si>
  <si>
    <t>REALIZAR 1 PRUEBA SEMANAl durante 2 meses</t>
  </si>
  <si>
    <t>NO EXISTE HOMOLOGO</t>
  </si>
  <si>
    <t>COMPORTAMIENTO REITERATIVO, BAJA TOLERANCIA, IMPULSIVIDAD, DIFICULTADES RELACIONALES, PUERILIDAD. COMPORTAMIENTOS NO ACORDES CON EDAD CRONOLOGICA</t>
  </si>
  <si>
    <t>SS. PRUEBAS NEUROPSICOLOGICAS, EVALUAR PROCESOS DEL PENSAMIENTO E INTELIGENCIA</t>
  </si>
  <si>
    <t xml:space="preserve"> REQUIERE APLICACIÃN DE PRUEBAS NEUROPSICOLOGICAS PARA DETERMINAR PERFIL NEUROCOGNOSCITIVO POR PRESENTAR ALTERACIONES ENE L APRENDIZAJE ESCOLAR , NO LEE NI TOMA DICTADO</t>
  </si>
  <si>
    <t xml:space="preserve">  ADMINISTRACIÓN  APLICACIÓN DE PRUEBAS NEUROPSICOLOGICAS PARA DETERMINAR PERFIL NEUROCOGNOSCITIVA</t>
  </si>
  <si>
    <t>impulsividad, baja tolerancia, no prevee el peligro, pobre manejo de la frustraccion, con crisis agresivas. comportamientos no acordes con edad cronologica</t>
  </si>
  <si>
    <t>ss: pruebas neuropsicologicas, explorar procesos del pensamiento e inteligencia</t>
  </si>
  <si>
    <t>se requiere aplicaciÃ³n de pruebas neuropsicolÃ³gicas para determinar perfil neurocognoscitivo por presentar alteraciones en el aprendizaje escolar</t>
  </si>
  <si>
    <t xml:space="preserve">ADMINISTRAcion  de  aplicación de pruebas neuropsicológicas para determinar perfil neurocognoscitivo </t>
  </si>
  <si>
    <t>impulsividad, baja tolerancia, dificultades relacionales con pares, brusco, no prevee el peligro. comportamientos no acordes con la edad.</t>
  </si>
  <si>
    <t>ss: prueba neuropsicologica. explorar procesos del pensamiento e inteligencia</t>
  </si>
  <si>
    <t>EMISIONES OTOACÚSTICAS</t>
  </si>
  <si>
    <t>SE UTILIZA AMPLIAMENTE EN PROGRAMAS DE DETECCIÃN DE PROBLEMAS DE AUDICIÃN EN RECIÃN NACIDOS, Y REPRESENTA UN AVANCE IMPORTANTE EN LA DETECCIÃN DE PROBLEMAS AUDITIVOS EN NIÃOS PEQUEÃOS.</t>
  </si>
  <si>
    <t>PUEDE AYUDAR A DETECTAR FALTAS DE AUDICIÓN NEUROSENSORIALES Y HACER RESALTAR TRASTORNOS AUDITIVOS QUE AFECTEN LA VÍA HACIA EL OÍDO INTERNO.ES RÁPIDO Y NO DUELE</t>
  </si>
  <si>
    <t>POTENCIALES EVOCADOS MIOGÉNICOS VESTIBULARES CERVICALES</t>
  </si>
  <si>
    <t>IDENTIFICACIÃN E INTERVENCIÃN TEMPRANA PARA LA PÃRDIDA DE AUDICIÃN INFANTIL. LA PERDIDA AUDITIVA PUEDE AFECTAR LA CAPACIDAD DE UN NIÃO PARA DESARROLLAR SU COMUNICACION, LENGUAJE Y DESTREZAS SOCIALE. CUANDO MAS RAPIDO RECIBAN AYUDA LOS NIÃOS CON PERDIDA AUDITIVA, MAS PROBABLE ES QUE LOGREN TODO SU POTENCIAL.</t>
  </si>
  <si>
    <t>RESULTA IMPRESCINDIBLE QUE EL NIÑO ESTÉ DORMIDO EN EL MOMENTO EN QUE SE REALICE LA PRUEBA,</t>
  </si>
  <si>
    <t>TELETERAPIA CON ACELERADOR LINEAL (PLANEACIÓN COMPUTARIZADA TRIDIMENSIONAL Y SIMULACIÓN VIRTUAL) TÉCNICA RADIOTERAPIA GUÍADA POR IMÁGENES [IGRT]</t>
  </si>
  <si>
    <t xml:space="preserve">paciente con diagnostico de carcinoma adenoide quisitio. se trata de reirradiacion. </t>
  </si>
  <si>
    <t xml:space="preserve">paciente quien RECIBIRÁ tratmaiento igrt por tratarse reirradiacion. </t>
  </si>
  <si>
    <t>ESTUDIO COMPUTARIZADO DE LA MARCHA</t>
  </si>
  <si>
    <t xml:space="preserve">PACIENTE CON DEFORMIDAD EN MIEMBROS INFERIORES ASOCIADAS A SECUELA NEUROLOGICA POR MIELOMENINGOCELE, PIE PLANO VALGO SEVERO, COLAPSO MEDIAL DE LOS PIES, PRESENTA DIFICULTAD PARA LA MARCHA </t>
  </si>
  <si>
    <t>LLEVAR RX RECIENTES, HISTORIA CLÍNICAS DE MÉDICOS TRATANTES</t>
  </si>
  <si>
    <t xml:space="preserve">PACIENTE, CON ANTECEDENTE DE RETASO DEL DESARROLLO MOTOR Y PIES PLANOS VALGOS INESTABLES. SE ORDENA LABORATORIO DE MARCHA COMPUTARIZADO CON BAROPODOMETRIA PARA DETERMINAR DE QUE CIRUGIAS SE BENEFICA LA PACIENTE PARA MEJORAR SU PATRON DE MARCHA Y EVITAR SECUELAS COMO ARTROSIS A LARGO PLAZO.  </t>
  </si>
  <si>
    <t>CON BAROPODOMETRIA.</t>
  </si>
  <si>
    <t>HEMOGRAMA IV (HEMOGLOBINA HEMATOCRITO RECUENTO DE ERITROCITOS ÍNDICES ERITROCITARIOS LEUCOGRAMA RECUENTO DE PLAQUETAS ÍNDICES PLAQUETARIOS Y MORFOLOGÍA ELECTRÓNICA E HISTOGRAMA) AUTOMATIZADO</t>
  </si>
  <si>
    <t>PROCALCITONINA SEMIAUTOMATIZADO O AUTOMATIZADO</t>
  </si>
  <si>
    <t>PACIENTE FEMENINO CON CARDIOPATIA CONGÃNITA CURSANDO CON INSUFICIENCIA RESPIRATORIA AGUDA, CANDIDATO A CORRECCION QUIRURGICA Y SOSPECHA DE PROCESO INFECCIOSO PULMONAR AGUDO POR LO QUE SE SOLICITA PROCALCITONINA CON EL OBJETIVO DE DESCARTAR PROCESO INFECCIOSO AGUDA QUE CONTRAINDIQUE LA CIRUGIA.</t>
  </si>
  <si>
    <t>NINGUNA EN ESPECIAL</t>
  </si>
  <si>
    <t>PACIENTE CON ADENITIS ABSCEDADA EN CUELLO CON PERSISTENCIA DE AUMENTO DE VOLUMEN DE TAMAÃO Y DE IMAGENES DE COLECCION EN RESONANCIA MANGNETICA PESE A MANEJO ANTIBIOTICO INSTAURADO, SE SOLICITA PROCALCITONINA PARA EVALUAR COMPROMISO SISTEMICO EN REACTANTE DE FASE AGUDA</t>
  </si>
  <si>
    <t>PACIENTE CON CUADRO SUGESTIVO DE SEPSIS. SE CONSIDERA POR ESPECIALIDAD REQUERIMIENTO DE ESTUDIO</t>
  </si>
  <si>
    <t>SE SOLICITA PROCALCITONINA SEMIAUTOMATIZADA O AUTOMATIZADA</t>
  </si>
  <si>
    <t xml:space="preserve">PACIENTE QUIEN CURSÃ CON BACTEREMIA POR P. AERUGINOSA AMPC, ACTUALMENTE CON PRESENCIA DE SIRS. SE SOLICITA ESTUDIO CONTROL </t>
  </si>
  <si>
    <t>SEGUIR INDICACIONES</t>
  </si>
  <si>
    <t>CALPROTECTINA SEMIAUTOMATIZADO O AUTOMATIZADO</t>
  </si>
  <si>
    <t>UN CADA 6 MESES</t>
  </si>
  <si>
    <t>BRCA1 Y BRCA2 SECUENCIACIÓN COMPLETA</t>
  </si>
  <si>
    <t xml:space="preserve">CANCER DE MAMA EIV, TRIPLE NEGATIVA EN TRATAMIENTO CON QUIMIOTERAPIA ,REALIZO 4 CICLOS DE AC ,Y 12 SEMANAS DE PACLITAXEL SEMANAL, CON ESTUDIOS QUE REVELAN ENFERMEDAD LOCOREGIONAL MAMA IZDA, NO HAY LESIONES METASTASICAS EN PULMON Y SOLO EXISTE 1 LESION EN HIGADO QUE NO TIENE ETIOLOGIA DEFINIDA, SOLICITO TOMOGRAFIA DE EMISON DE POSITRONES PARA EVALUAR LAS LESIONES METASTASICAS A DISTANCIA, ADEMAS SE DA NUEVA LINEA DE TRATAMIENTO POR ENFERMEAD IRRESECABLE, SE SOLICITA BRCA 1 Y BRCA 2 SERICO </t>
  </si>
  <si>
    <t xml:space="preserve">SE SOLICITA BRCA1 Y BRCA2 SECUENCIACIÓN COMPLETA A NIVEL SERICO </t>
  </si>
  <si>
    <t>Toxoplasma gondii IDENTIFICACIÓN REACCIÓN EN CADENA DE LA POLIMERASA</t>
  </si>
  <si>
    <t>ESTUDIO DE TOXOPLASMOSIS CONGENITA</t>
  </si>
  <si>
    <t>A PARTIR DE SEMANA 22</t>
  </si>
  <si>
    <t>INMUNOTERAPIA CON EXTRACTO ALERGÉNICO POR VÍA SUBCUTÁNEA.</t>
  </si>
  <si>
    <t>PACIENTE MASCULINO DE 56 AÃOS DE EDAD REMITIDO DEL SERVICIO DE OTORRINO SIN ANTECEDENTE FAMILIAR DE ALERGIAS NIEGA ALERGIA A LOS MEDICAMENTOS, NI ALIMENTOS CON DX DE RINITIS DE 20 AÃOS DE EVOLUCIÃN SENSIBLE AL POLVO, OLORES FUERTES COMO EL HUMO HA RECIBIDO TTO CON LORATADINA CON ESCASA MEJORIA SE TEST DE ALERGIA POSITIVO A ÃCAROS DEL POLVO CASERO IgE 389 NORMAL 100.</t>
  </si>
  <si>
    <t>APLICAR UNA DOSIS MENSUAL SIN PERDER CONTINUIDAD</t>
  </si>
  <si>
    <t>PACIENTE FEMENINO DE 24 AÃOS DE EDAD REMITIDO DEL SERVICIO DE MEDICINA INTERNA HIPERSENSIBILIDAD A LOS AINES COMO EL IBUPROFENO NAPROXENO EDEMA FACIAL URTICARIA TAQUICARDIA Y A LA CEFALEXINA IGUALES SINTOMAS ACUDE POR EDEMA FACIAL SIN IDENTIFICAR LA CAUSA CON DX DE RINITIS Y URTICARIA DE 6 AÃOS DE EVOLUCIÃN SENSIBLE AL POLVO, OLORES FUERTES.</t>
  </si>
  <si>
    <t>PACIENTE FEMENINO DE 14 AÃOS DE EDAD REMITIDO DEL SERVICIO DE PEDIATRÃA NIEGA HIPERSENSIBILIDAD  A LOS MEDICAMENTOS Y ALIMENTOS ACUDE CON  TOS SECA PERSISTENTE, RINORREA HIALINA  ESTORNUDOS EN SALVA CON DX DE RINITIS Y URTICARIA DE 5 AÃOS DE EVOLUCIÃN SENSIBLE AL POLVO, OLORES FUERTES. ANTECEDENTE FAMILIAR DE ALERGIAS, MAMA CON RINITIS SE REALIZA TEST DE ALERGIA POSITIVO PARA AVISPA, MOSQUITO, ÃCAROS DEL POLVO CASERO Y HORMIGAS HEMO 600 DE EOSINOFILOS ABSOLUTOS IGE 2.068   20</t>
  </si>
  <si>
    <t>PACIENTE DE 38 AÃOS DE EDAD REMITIDO DEL SERVICIO DE NEUMOLOGIA ANT FAMILIARES: ABUELA ASMA ALERGIA A MEDICAMENTOS: KENACORT ALIMENTOS : NIEGA PRESENTANDO CUADRO DE ASMA SEVERA DE 3 AÃOS DE EVOLUCIÃN, ACOMPAÃADO DE  RINITIS ESTORNUDOS  EN SALVA, QUE SE INTENSIFICA A CAMBIOS DE CLIMAS BRUSCOS IgE: 192.6 UI/ML NORMAL 100 EOSINOFILOS 1.78% NORMAL 6 ABSOLUTOS SE REALIZA TEST DE ALERGIA EL CUAL REPORTA POSITIVO A ÃCAROS DEL POLVO CASERO</t>
  </si>
  <si>
    <t>PACIENTE MASCULINO DE 6 AÃOS DE EDAD REMITIDO DEL SERVICIO DE DERMATOLOGIA PAPA DERMATITIS CONSULTA POR DERMATITIS Y ASMA  DE 1 AÃOS DE EVOLUCIÃN ADEMÃS DE RINITIS CON EPISTAXIS A REPETICIÃN A LA EXPOSICIÃN A POLVO HUMEDAD LA LORATADINA LE PRODUCE URTICARIA IGE: 34.0 UI/ML NORMAL HASTA 60 TEST DE ALERGIA POSITIVO PARA HONGOS DE LA HUMEDAD, ÃCAROS DEL POLVO CASERO, CEREALES, MALEZA, FIBRAS TEXTILES</t>
  </si>
  <si>
    <t xml:space="preserve">PACIENTE MASCULINO 20 AÃOS DE EDAD ANTECEDENTES DE ARRITMIA EN ESTUDIO ANTECEDENTES DE HIPERSENSIBILIDAD A BECLOMETASONA CONSULTA POR RINITIS DE LARGA DATA A LA EXPOSICIÃN A POLVO HUMEDAD CAMBIOS DE CLIMA ADEMÃS EL NEUMOLOGO LE ORDENO UNA ESPIROMETRIA PARA DESCARTAR ASMA YA QUE REFIERE DOLOR TORÃCICO HA RECIBIDO TRATAMIENTO CON BECLOMETASONA REFIRIENDO MEJORIA CLÃNICA SE LE REALIZA TEST DE ALERGIA POSITIVO A ÃCAROS DEL POLVO  CASERO, HONGOS DE LA HUMEDAD, MOSQUITOS, HORMIGAS Y PLUMAS </t>
  </si>
  <si>
    <t>PACIENTE FEMENINO DE 60 AÃOS DE EDAD REMITIDO DEL SERVICIO DE MEDICINA INTERNA HIPERSENSIBILIDAD A LOS AINES COMO EL DICLOFENACO, IBUPROFENO ALIMENTOS COMO EL POLLO CON DX DE RINITIS CON COMPROMISO OCULAR Y URTICARIA DE 8 MESES DE EVOLUCIÃN SENSIBLE AL POLVO, OLORES FUERTES. HA RECIBIDO TTO CON LORATADINA CON ESCASA MEJORIA ANTECEDENTE FAMILIAR DE ALERGIAS, MAMA CON RINITIS TRE IG E 280. SE REALIZA TEST DE ALERGIA POSITIVO A ÃCAROS DEL POLVO</t>
  </si>
  <si>
    <t>PACIENTE DE 39 AÃOS DE EDAD CON DX DE RINITIS ALERGICA PERSISTENTE SEVERA. coexiste asma alergica moderada DX CLINICO CONFIRMADO POR PRUEBA INTRAEPIDERMICA DE ALERGIASCON AEROALERGENOS Y ALIMENTOS QUE SE DOCUMENTO COMO POSITIVA PARA ACAROS DEL MEDIO AMBIENTE Y MOHOS POR LO ANTERIOR SE RECOMIENDAPROTOCLO DE INMUNOTERAPIA CON EXTRACTO ALERGENICO, VACUNAS TERAPEUTICAS PARA LA ALERGIA INDICADAS EN LAS AFECCIONES ALERGICAS CON\nNULA RESPUESTA A MUCHOS TTOS FARMACOLOGICOS</t>
  </si>
  <si>
    <t>aplicar una dosis mensual por 3 meses</t>
  </si>
  <si>
    <t>PRUEBA INTRAEPIDÉRMICA DE ALERGIA CON ESCARIFICACIÓN O PUNTURA (AEROALERGENOS ALIMENTOS VENENOS DE INSECTOS O MEDICAMENTOS)</t>
  </si>
  <si>
    <t>PACIENTE  masculi  DE 25 AÃOS DE EDAD  COPN CUADRO DE VARIOS MESES DE EVOLUCION CARACTERIZADO  POR RINORREA HIALINA,    ESTORNUDOS,  EN TRATAMIENTO REIERATIVO  ANTIHISTAMINICOS, ANTIFLAMATORIOS DE LA MUCOSA   CON ESCASS RESPUESTAS CLINICAS, SE LE REALIZA TEST DE ALERGIA  QUE MUESTRA SENSIBILIZACION FRENTE A LOS ACAROS DEL POLVO, GRAMINEAS ++ CUCARACHA++ PELO DE GATO +++ PELO DE PERRO, SE REQUIERE TRATAMIENTO DE INMUNOTERAPIAS  CON EXTRACTO ALERGENICO  PARA LOGRAR UNA TERAPIA DE HIPOSENSIBILIZACI</t>
  </si>
  <si>
    <t xml:space="preserve">se le indica aplicar una dosis mensual subcutaneo de inmunoterapias con extracto alergenico para provocar tolerancia alos alergenos </t>
  </si>
  <si>
    <t>PACIENTE FEMENINO DE 45 AÃOS DE EDAD REMITIDO DEL SERVICIO DE OTORRINO HIPERSENSIBILIDAD AL PESCADO ACUDE POR DERMATITIS ATOPICA CON DX DE RINITIS Y URTICARIA DE 20 AÃOS DE EVOLUCIÃN SENSIBLE AL POLVO, OLORES FUERTES (FAB, CIGARRILLO) HA RECIBIDO TTO CON LORATADINA CON ESCASA MEJORIA SIN ANTECEDENTE FAMILIAR DE ALERGIA SE REALIZA TEST DE ALERGIA POSITIVO A ÃCAROS DEL POLVO MOSQUITO, HORMIGAS, CUCARACHAS, PLUMAS</t>
  </si>
  <si>
    <t>HEMOGRAMA I (HEMOGLOBINA HEMATOCRITO Y LEUCOGRAMA) MANUAL</t>
  </si>
  <si>
    <t>INDICADO EN LA INVESTIGACION DE ERRORES DEL METABOLISMO</t>
  </si>
  <si>
    <t>INDICADO EN LA EN LA INVESTIGACION DE ERRORES DEL METABOLISMO.</t>
  </si>
  <si>
    <t>PRONUTUTILIZADO</t>
  </si>
  <si>
    <t>DESCRZN54</t>
  </si>
  <si>
    <t>DXENFHUER</t>
  </si>
  <si>
    <t>DESC_DXENFHUER</t>
  </si>
  <si>
    <t>DXVIH</t>
  </si>
  <si>
    <t>DESC_DXVIH</t>
  </si>
  <si>
    <t>DXCAPAL</t>
  </si>
  <si>
    <t>DESC_DXCAPAL</t>
  </si>
  <si>
    <t>DXENFRCEV</t>
  </si>
  <si>
    <t>DESC_DXENFRCEV</t>
  </si>
  <si>
    <t>DXDESPRO</t>
  </si>
  <si>
    <t>DESC_DXDESPRO</t>
  </si>
  <si>
    <t>TIPPPRONUT</t>
  </si>
  <si>
    <t>DESC_TIPPPRONUT</t>
  </si>
  <si>
    <t>DESCPRODNUTR</t>
  </si>
  <si>
    <t>DESC_DESCPRODNUTR</t>
  </si>
  <si>
    <t>CODFORMA</t>
  </si>
  <si>
    <t>DESC_CODFORMA</t>
  </si>
  <si>
    <t>CODVIAADMON</t>
  </si>
  <si>
    <t>DESC_CODVIAADMON</t>
  </si>
  <si>
    <t>DOSIS</t>
  </si>
  <si>
    <t>NOPRESCASO</t>
  </si>
  <si>
    <t>Sin Diagnostico</t>
  </si>
  <si>
    <t>Estándar - Distribución normal de la dieta</t>
  </si>
  <si>
    <t>Ensure liquido</t>
  </si>
  <si>
    <t>Lata</t>
  </si>
  <si>
    <t>Oral</t>
  </si>
  <si>
    <t>PACIENTE CON CUADRO DE DESNUTRICION PROTEICOCALORICA SEVERA QUE REQUIERE SUPLEMENTO NUTRICIONAL PARA OPTIMIZAR CONDICIONES MUSCULOESQUELETICAS</t>
  </si>
  <si>
    <t>Botella</t>
  </si>
  <si>
    <t>ENSURE LÃQUIDO BOTELLA 237 ML   #270 USO: TOMAR 1 CADA 8 HORAS. FÃRMULA POR 3 MESES</t>
  </si>
  <si>
    <t>Sustitutos de una comida principal - 150 a 300 kcal no deben sobrepasar las 1200 kcal al día.</t>
  </si>
  <si>
    <t>Ensure advance Líquido</t>
  </si>
  <si>
    <t>ENSURE ADVANCE LIQUIDO BOTELLA DE 237ML #270, ADMINISTRAR  1 BOTELLA CADA 8 HORAS POR 3 MESES</t>
  </si>
  <si>
    <t>PACIENTE MASCULINO DE 53 AÃOS DE EDAD DISCAPACITADO EN SILLA DE RUEDAS CON DX DESNUTRICION MODERADA, PESO: 45 KG TALLA:165 IMC:16.5 , PRESENTA DEPLECION DE MASA MUSCULAR MODERADA, INAPETENTE, NO TIENE CAMBIO SIGNIFICATIVO EN SU PESO. SE RECOMIENDA ENSURE ADVANCE PARA LA RECUPERACIÃN NUTRICIONAL DEL PACIENTE.</t>
  </si>
  <si>
    <t>TOMAR 1 UNID 237 ML CADA 12 HORAS DURANTE 3 MESES.</t>
  </si>
  <si>
    <t>Diagnóstico Confirmado</t>
  </si>
  <si>
    <t>PACIENTE FEMINA DE 17 AÃOS 1 MES DE EDAD, CON DIAGNOSTICO DE  LEUCEMIA LINFOBLASTICA AGUDA. ACTUALMENTE CON DIFICULTAD PARA LOGRAR GANANCIA DE PESO Y CON PESO: 42.1 KG TALLA:167CM IMC:15.1 //T/E:0.6 IMC/E:-2.5 // DIAGNOSTICO NUTRICIONAL SEGUN RESOLUCION 2465: DELGADEZ // LABORATORIOS:LDH 125 T4 1.4 TSH 0.01 HB:12.4 HCTO:37.8 GPT:10 GOT:16 // SE REALIZA COMPLEMENTACIÃN NUTRICIONAL QUE CUBRA EL 40 POR CIENTO DEL REQUERIMIENTO DE ENERGÃA Y NUTRIENTES. \n\n</t>
  </si>
  <si>
    <t xml:space="preserve">SUMINISTRAR 3 TOMAS DIARIAS DE 237 ML </t>
  </si>
  <si>
    <t>DNT Aguda - FTLC Formula terapeutica lista para el consumo 500kc/92g.</t>
  </si>
  <si>
    <t>Plumpy NUT</t>
  </si>
  <si>
    <t>Sobre</t>
  </si>
  <si>
    <t xml:space="preserve">PACIENTE FEMENINA DE 8 MESES DE EDAD, EN PROCESO DE RECUPERACION NUTRICIONAL, CUENTA CON ANTECEDENTES MÃDICOS: POR BAJO PESO Y OTITIS MEDIA. NACIDA A TÃRMINO CON PN:2800G TALLA:50CM. CUENTA CON MEDIDAS PESO: 6.7 KG // TALLA: 72 CM // PC:42.5 CM // P/T:-2.5  T/E:0.9 //  DIAGNOSTICO NUTRICIONAL SEGÃN RESOLUCIÃN 2465: DESNUTRICION AGUDA MODERADA  // SE REALIZA COMPLEMENTACION NUTRICIONAL QUE CUBRE EL 30 POR CIENTO DEL REQUERIMIENTO DIARIO DE ENERGIA Y NUTRIENTES. </t>
  </si>
  <si>
    <t xml:space="preserve">SUMINISTRAR MEDIO SOBRE DE FTLC AL DIA </t>
  </si>
  <si>
    <t>Alta en Proteína - Proteína mayor al 20% de la energía total</t>
  </si>
  <si>
    <t>Ensure clinical</t>
  </si>
  <si>
    <t>AUMENTAR APORTE DE PROTEÃNAS Y NUTRIENTES BÃSICOS, PARA MEJORA ESTADO NUTRICIONAL Y DEFENSAS DE LA PACIENTE PARA DISMINUIR APARICIÃN DE INFECCIONES RESPIRATORIAS, DISMINUIR EXACERBACIONES, HOSPITALIZACIONES Y DAR MEJOR CALIDAD DE VIDA.</t>
  </si>
  <si>
    <t xml:space="preserve">TOMAR 1 BOTELLA, VÃA ORAL, AL DÃA TODOS LOS DÃAS. POR 5 MESES. </t>
  </si>
  <si>
    <t>Ensure polvo</t>
  </si>
  <si>
    <t xml:space="preserve">PACIENTE DE 62 AÃOS CON ANTECEDENTES DE CA GASTRICO AVANZADO, ANEMIA CRONICA, DESNUTRICION PROTEICO CALORICA QUE CONSULTA EN COMPAÃIA DE FAMILIAR PARA SOLICITAR FORMULACION DE ENSURE ADVANCE COMO COMPLEMENTO NUTRICIONAL, FAMILIAR REFIERE QUE LO HA ESTADO COMPRANDO PERO NO TIENE LOS MEDIOS ECONOMICOS PARA ADQUIRURLO. </t>
  </si>
  <si>
    <t xml:space="preserve">DISOLVER 3 MEDIDAS EN 200 CC DE AGUA Y AGITAR HASTA DISOLVER </t>
  </si>
  <si>
    <t>Diabetes - Baja carga de carbohidratos</t>
  </si>
  <si>
    <t>Glytrol</t>
  </si>
  <si>
    <t>Tetraprisma</t>
  </si>
  <si>
    <t>FEMENINA DE 59 AÃOS DE EDAD - CON CABELLOS QUEBRADIZOS â  PIEL  SECA âDEFICIT NOTORIO DE TEJIDO ADIPOSO Y PERDIDA DE MASA MUSCULAR â PERDIDA DE LA DENTADURA. REFIERE NO UTILIZA PROTESIS DENTAL --  SIN EDEMA.  PALIDEZ FACIAL-  PESO:  40 KG TALLA: 1.54 CM IMC: 16.9 CLASF.  NUTRICIONAL:  DELGADEZ    MODERADA  CON HTA  DMT2</t>
  </si>
  <si>
    <t>TOMAR  1 CAJITA DE  250 ML CADA  12 HORAS.- DURANTE  3 MESES.</t>
  </si>
  <si>
    <t>Renal Prediálisis - Estadios 2,3,4 Baja en proteína, fósforo y electrolitos.</t>
  </si>
  <si>
    <t>Nepro BP</t>
  </si>
  <si>
    <t>Sonda</t>
  </si>
  <si>
    <t>PACIENTE FEMENINA, D E78 AÃOS DE EDAD CON DIAGNOSTICOS CLINICOS CONOCIDOS, BAJO MANEJO MEDICO EN LA UNIDAD.PACIENTE CON\nSONDA NASOGASTRICA CON ESCASO RESIDUO. EN EL DIA DE HOY EN RONDA MEDICA SE INDICA INICIO DE SOPORTE ENTERAL TOTAL A\nTARVES DE SONDA NASOGASTRICA PARA ALIMENTACION.\n\nPLAN: MANTENER CON SOPORTE PARENTERAL TOTAL HASTA TOLERANCIA DE FORMULA NUTRICIONAL NEPRO BP POR 237 M, AYUDANDO A MANTENER ESTADO NUTRCIIONAL DE LA PACIENTE.</t>
  </si>
  <si>
    <t>FORMULA NUTRICIONAL NEPRO BP POR 237 ML UNA UNIDAD CADA 6 HORAS A TRAVÃS DE SONDA NASOGASTRICA PARA ALIMENTACION.</t>
  </si>
  <si>
    <t>Fórmulas especiales para niños (lactantes, niños de corta edad y niños)</t>
  </si>
  <si>
    <t>Pediasure Polvo</t>
  </si>
  <si>
    <t xml:space="preserve">ACTUALMENTE MADRE DE LA PCTE REFIERE LEVE MEJORÃA DEL APETITO DESDE EL MES DE DICIEMBRE, DEBIDO A QUE LA PEDIATRA LE FORMULÃ SULZINC 3 FRASCOS Y SULFATO FERROSO, EN LA VALORACIÃN ANTROPOMETRICA MAMA COMENTA QUE SU ULTIMO PESO ERA DE 13 KG, A LA FECHA SE OBTUVO PESO: 13 KG, TALLA: 1,02 MTS, IMC: DELGADEZ, SE INDICA SOPORTE NUTRICIONAL PARA AUMENTAR APORTE CALORICO Y CUBRIR LOS REQUERIMIENTOS DEL GASTO BASAL METABÃLICO </t>
  </si>
  <si>
    <t xml:space="preserve">TOMAR 1 VASO AL DÃA COMO MERIENDA, DISOLVER 5 CUCHARADAS EN 180 ML DE AGUA </t>
  </si>
  <si>
    <t>PACIENTE FEMENINA DE 86 AÃOS DE EDAD CON DX PESO ADECUADO, PESO: 52,5 KG TALLA: 155 IMC:21. 8. PRESENTA ALZHEIMER, INAPETENTE, NO RECIBE ALIMENTOS SOLIDOS, SOLO LICUADOS Y SOPAS. SE RECOMIENDA NUEVAMENTE ENSURE ADVANCE PARA EVITAR DESCOMPENSACION, NO LE FUERON ENTREGADOS LOS QUE SE LE ORDENARON ANTERIORMENTE.</t>
  </si>
  <si>
    <t>PACIENTE MASCULINO DE 81 AÃOS DE EDAD CON DX ADECUADO PESO, PESO: 45 KG TALLA: 156 IMC:18 , PRESENTA PALIDEZ FACIAL, ES UN PACIENTE QUE SOLO REALIZA UNA COMIDA AL DIA POR SU PRECARIA SITUACION ECONOMICA Y DE ABANDONO, NO TIENE DENTADURA LO QUE LE DIFICULTA LA INGESTA DE ALIMENTOS, DEPLECION DE MASA MUSCULAR MODERADA. SE RECOMIENDA ENSURE ADVANCE PARA LA RECUPERACION DE SU ESTADO NUTRICIONAL.</t>
  </si>
  <si>
    <t>TOMAR 1 UNID 237 ML CADA 8 HORAS DURANTE 3 MESES.</t>
  </si>
  <si>
    <t>Renal Diálisis - Alta en proteína y modificada en micronutrientes para neutralizar pérdidas por diálisis.</t>
  </si>
  <si>
    <t>Nepro AP</t>
  </si>
  <si>
    <t>PACIENTE CON DIAGNOSTICOS CLINICOS ANTES MENCIONADOS, BAJO MANEWJO MEDICO EN LA UNIDAD DE CUIDADOS INTENSIVO PEDIATRICO,\nSE OBSERVA EN CAMA, DELICADAS CONDICIONES GENERALES, BAJO VENTILACION MECANICA, ABDOMEN LEVEMENTE DISTENDIDO, SONDA\n237 ml.</t>
  </si>
  <si>
    <t>formula nutrciional nepro ap por 237 ml una unidad cada 6 horas a travÃ©s de sonda nasogÃ¡strica para alimentaciÃ³n.,</t>
  </si>
  <si>
    <t xml:space="preserve">PACIENTE FEMENINA DE 109 AÃOS DE EDAD MOVILIZADA EN SILLA DE RUEDAS CON DX DE ADECUADO PESO, PESO: 44 TALLA: 150 IMC:19 , PRESENTA AUSENCIA TOTAL DE SU DENTAUDRA, DEPLECION DE MASA MUSCULAR MODERADA, PALIDEZ FACIAL, INAPETENTE. SOLO RECIBE LICUADOS Y SOPAS, NO LE FUERON ENTREGADOS LOS ENSURE QUE SE LE ORDENO EN SU ANTERIOR CONSULTO, MOTIVO POR EL CUAL SE RENUEVA LA ORDEN PARA MANTENER SU ESTADO NUTRICIONAL Y EVITAR DESCOMPENSACION. </t>
  </si>
  <si>
    <t>USO: TOMAR 1 UNID 237 ML CADA 12 HORAS DURANTE 3 MESES.</t>
  </si>
  <si>
    <t xml:space="preserve">PACIENTE CON RETARDO MENTAL Y ASOCIADO DESNUTRICION PROTEICO CALORICA QUE REQUIERE SOPORTE NUTRICIONAL </t>
  </si>
  <si>
    <t xml:space="preserve">DAR 30 GR  DE PEDIASURE DISUELTO EN AGUA CADA DIA </t>
  </si>
  <si>
    <t xml:space="preserve">PACIENTE MASCULINO EN SU OCTAVA DECADA DE LA VIDA, INGRESO A LA UNIDAD EN EL CONTEXTO DE INSUFICIENCIA RESPIRATORIA REQUIRIENDO VENTILACION MECANICA NO INVASIVA, SECUNDARIO A EDEMA AGUDO DE PULMON DE ORIGEN CARDIOGENICO, CON CIFRAS TENSIONALES ELEVADAS EN RANGO DE SEVERIDADvaloradao por metodo global SUBJETIVO ENCONTRANDOLA BAJO VENTILACION MECANICA CON SONDA ORORGASTRICA PARA RECIBIR ALIMENTACION POR LO QUE REQUIERE SOPORTE NUTRICIONAL ENTERAL PARA ASEGURAR UN ADECUADO APORTE CALRICO. </t>
  </si>
  <si>
    <t>pasar a razÃ³n  de 79 cc por hora</t>
  </si>
  <si>
    <t xml:space="preserve">paciente de 59 aÃ±os, diabÃ©tico con sonda gÃ¡strica para alimentaciÃ³n por alteraciÃ³n del estado de conciencia. requiere ALIMENTO LÃQUIDO PARA USOS NUTRICIONALES ESPECIALES, COMPLETO Y BALANCEADO, HIPERPROTEICO para cubrir requerimientos </t>
  </si>
  <si>
    <t>75 ml por hora por sonda. corresponde al Ã¡mbito hospitalario internaciÃ³n, se realiza por urgencia ya que no hay relaciÃ³n entre ips y asegurador</t>
  </si>
  <si>
    <t>se le vuelve a realizar la formula por que la eps mando a la paciente, poe el cambio de pagador de la formulas</t>
  </si>
  <si>
    <t xml:space="preserve">tomar 237cc dos vecesdia por tres meses </t>
  </si>
  <si>
    <t>paciente conciente, orientado, en malas condiciones generales , en malas condiciones musculo-nutricionales, palidez cutane generalizada\ntolerando oxigeno ambiente, tolerando via oral solo con dieta liquida completa de forma asistida , se le indica soporte nutricional para asegurar un adecuado aporte calorico \n</t>
  </si>
  <si>
    <t xml:space="preserve">dar una cada 8 horas. </t>
  </si>
  <si>
    <t>Diagnóstico No Confirmado</t>
  </si>
  <si>
    <t>Ensure advance</t>
  </si>
  <si>
    <t>PACIENTE ADULTA MAYOR CON PERDIDA DEL APETITO, DNT PROTEICO CALORICA, QUIEN NO TUVO GANANCIA DE PESO DESDE EL ULTIMO CONTROL, POR TANTO DE PRESCRIBE COMPLEMENTO ALIMENTARIO.</t>
  </si>
  <si>
    <t>DAR 2 TOMAS AL DIA UN POR LA MAÃANA Y UNA POR LA NOCHE</t>
  </si>
  <si>
    <t>Evaluada por la junta de profesionales y fue aprobada</t>
  </si>
  <si>
    <t>Densidad Calórica - 1 a 2 kcal/mL</t>
  </si>
  <si>
    <t>Ensure plus HN</t>
  </si>
  <si>
    <t>PACIENTE QUE SE ENCUENTRA CON MUY POCA TOLERANCIA A LA VIA ORAL, CON DIETA NORMAL, SIN EMBARGO REFIERE PERDIDAD DE\nAPETITO Y POCA INGESTA DE NUTRIENTES, NIEGA NAUSEAS, EMESIS, REFIERE DOLOR ABDOMINAL, EL DIA DE HOY REFIERE MEJOR\nTOLERANCIA POR ALIMENTOS DE CONSISTENCIA LICUADA, SE DIALOGA CON MEDICO EN TURNO EL CUAL INFORMA DEPLECION MUSCULAR,\nDETERIOROR FISICO, SE INDICA ENSURE PLUS HN BOTELLA\nLIQUDIA POR 237 MILILITROS, 1 BOTELLA CADA 12 HORAS.\n</t>
  </si>
  <si>
    <t>1 BOTELLA CADA 12 HORAS POR 30 DIAS.</t>
  </si>
  <si>
    <t>PRODUCTO DE SOPORTE NUTRICIONAL</t>
  </si>
  <si>
    <t>NEPRO BP LATA 237 ML. USO: DAR 1 LATA VIA ORAL CADA 8 HORAS POR 10 DIAS #30 LATAS\n</t>
  </si>
  <si>
    <t xml:space="preserve">Paciente con choque septico de foco abdominal con soporte vasoactivo con noradrenalina en destete, en manejo antibiÃ³tico con meropenem, hemocultivos con proteus mirabilis BLEA, sin embargo, por soporte vasoactivo continÃºa con meropenem. Soporte ventilatorio invasivo por traqueostomÃ­a en paso a tienda de traqueostomÃ­a de forma escalonada. Con mejorÃ­a de gasto urinario, azoados estables. Nuevos epsiodios de hipoglucemia, se inicia soporte nutricional enteral. </t>
  </si>
  <si>
    <t xml:space="preserve">ensure 5 bolos al dia. </t>
  </si>
  <si>
    <t>JEFE EN TURNO INFORMA VIA TELEFONICA COLOCACIOON DE SONDA NASOGASTRICA CERRADA PARA ALIMENTACION, POR LO QUE SE INDICA\nINICIO DE SOPORTE NUTRICIONAL ENTERAL PARA LO QUE SE CONSIDERA FORMULA NUTRICIONAL ALIMENTO LIQUIDO PARA USO ESPECIAL\nEN PACIENTES CON REQUERIMIENTOS AUMENTADOS DE CALORIAS Y NITROGENO, CON TOLERANCIA LIMITADA Y SACIEDAD TEMPRANA, ENSURE\nPLUS HN BOTELLA LIQUDIA POR 237 MILILITROS, SE INICIA CON UNA BOTELLA CADA 12 HOAS Y SE AUMENTA SEGUN TOLERANCIOA HASTA\nLLEGAR A 1 BOTELLA CADA</t>
  </si>
  <si>
    <t>1 BOTELLA CADA 6 HORAS POR 30 DIAS.</t>
  </si>
  <si>
    <t>Aminoácidos libres</t>
  </si>
  <si>
    <t>Abound</t>
  </si>
  <si>
    <t>Paciente con choque septico de foco abdominal con soporte vasoactivo con noradrenalina en destete, en manejo antibiÃ³tico con meropenem, hemocultivos con proteus mirabilis BLEA, sin embargo, por soporte vasoactivo continÃºa con meropenem. Soporte ventilatorio invasivo por traqueostomÃ­a en paso a tienda de traqueostomÃ­a de forma escalonada. Con mejorÃ­a de gasto urinario, azoados estables. Nuevos epsiodios de hipoglucemia, se inicia soporte nutricional enteral, se adiciona abound por desnutricion.</t>
  </si>
  <si>
    <t>1 sobre cada 12 horas</t>
  </si>
  <si>
    <t>Keto VOLVE</t>
  </si>
  <si>
    <t xml:space="preserve">paciente con epilepsia refractaria , no control con uso de levetiracetam, oxcarbazepina  y topiramato  persistiendo con crisis diarias    razon por la cual se inicio dieta cetogenica </t>
  </si>
  <si>
    <t xml:space="preserve">ketovolve  tomar    150 gramos al dia  15 latas al mes   y  45  latas para tres meses  </t>
  </si>
  <si>
    <t>SOPORTE NUTRICIONAL</t>
  </si>
  <si>
    <t>NEPRO BP LATA 237 ML. USO: DAR 1 UNIDAD VIA ORAL CADA 8 HORAS POR 10 DIAS #30 UNIDADES\n</t>
  </si>
  <si>
    <t xml:space="preserve">paciente    prescolar   de   3  aÃ±os  de  edad,   con  dnt   aguda  moderada.  con   peso  actual  de    11.  5  kilos    y  talla   93cm.    con  perimetro  braquial  de  10  cm.   en  alto  riesgo  de  muerte  por  dnt.   con  varias  patologias  asociadas  requiere  soporte   nutricional    ftlc  plumpynut  1  sobre al  dia  por   3  meses. </t>
  </si>
  <si>
    <t xml:space="preserve">dar  1  sobre  al  dia  por     3  meses   total  sobres   90   unidades.   dar  el  sobre   cautelosamente  durante  todo  el  dia. </t>
  </si>
  <si>
    <t>PACIENTE  CON  DX DE  DNT  AGUDA  MODERADA  CON  ANTECEDENTE  DE   PREMATURIDAD  NACIO  CON  PESO MUY  BAJO  AL  NACER  DE   1340  GR  CON  PESO  ACTUAL  DE   9.9 KILOS  Y  83  CM,  DE  TALLA  CON  PERIMETRO  BRAQUIAL  DE   10  CM  CON  ALTO  RIESGO  DE MUERTE  POR  DNT.   ,  SE  OBSERVA  PACIENTE  CON     SIGNOS  DE  DNT.  PALIDEZ  EN  MUCOSAS ,   ESCASA  MASA  MUSCULAR.    RETRASO  EN  SU  DESARROLLO  POR  SECUELAS DE  LA  DNT  CRONICA.   REQUIERE  SOPORTE   NUTRICIONAL   FTLC  PLUMPYNUT . DIA</t>
  </si>
  <si>
    <t>DAR  1  SOBRE  AL  DIA  POR   3  MESES  ,  TOTAL  SOBRES  90  UNIDADES.  CUMPLIR  ALIMENTACION   ENTERAL  E  HIPERPROTEICA.</t>
  </si>
  <si>
    <t>Pediasure Líquido</t>
  </si>
  <si>
    <t>Requiere para soportar la ventilacion mecanica y esfuerzo respiratorio</t>
  </si>
  <si>
    <t>via oral 6 am y 3 pm y 9 pm</t>
  </si>
  <si>
    <t xml:space="preserve">PACIENTE DE 62 AÃOS CON REGULAR APETITO,\nMIELITIS AGUDA TRANSVERSA OPTICA, NIEGA \nCONTROL DE ESFINTERES POR LO QUE TIENE SONDA\nURINARIA; DESNUTRICION PROTEICO CALORICA. \nCONSUME 3 TIEMPOS DE COMIDA AL DIA EN \nPEQUEÃAS CANTIDADES, 3 DOSIS DE ENSURE \nADVANCE 3 VECES AL DIA PARA COMPLEMENTAR \nKCAL NO INGERIDAS EN ALIMENTACION ARTESANAL. </t>
  </si>
  <si>
    <t>3 DOSIS AL DIA MAS DIETA BLANDA HIPOGRASA</t>
  </si>
  <si>
    <t>ENSURE BOTELLAS 237 ML 1 CDA 12 HORAS POR 3 MESES #180\nDAR UNA BOTELLA CADA 12 HORAS 2 VECES AL DIA 60 AL MES 180 PARA LOS 3 MESES\n</t>
  </si>
  <si>
    <t>PACIENTE ANCIANO FRAGIL CON DESNUTRICION PROTEICOCALORICA</t>
  </si>
  <si>
    <t>ALIMENTO HIPERPROTEICO, DENSAMENTE CALÃRICO CON HMB Y ALTO CONTENIDO DE VITAMINA D, PARA USO ESPECIAL EN ADULTO MAYOR CON DESNUTRICIÃN MODERADA A SEVERA</t>
  </si>
  <si>
    <t xml:space="preserve">FORMULA NUTRICIONAL LISTA PARA EL CONSUMO, ENSURE ADVANCE LIQUIDO BOTELLA DE 237ML #180, ADMINISTRAR  1 BOTELLA CADA 12 HORAS POR 3 MESES </t>
  </si>
  <si>
    <t>L-CITRULINA NM</t>
  </si>
  <si>
    <t>Frasco</t>
  </si>
  <si>
    <t>deposicion con pintas de sangre, sin distension ni emesis por lo cual se toma cropologico que reporto sangre oculta y azucares reductores positivos , recien nacido atermino con cardiopatia</t>
  </si>
  <si>
    <t>VÃ­a oral ( fÃ³rmula prematuro extensamente hidrolizada) - Dar 70cc cada 3 horas y/o lactancia materna (164cc/kg/dÃ­a)</t>
  </si>
  <si>
    <t>Glucerna 1.0</t>
  </si>
  <si>
    <t>se, considera iniciar suplemento nutricional, para recuperar, masa corporal, mejorar, estado nutricional, completar sus requerimientos nutricionales, contrarrestar hiper catabolismo de PROTEÃNAS.</t>
  </si>
  <si>
    <t>tomar, dos dosis al da, lejos de las raciones principales, durante dos meses.</t>
  </si>
  <si>
    <t>FEMENINA DE 10.8M CON  PALIDEZ EN ROSTRO -  PIEL SECA  -  UÃAS EN BUEN ESTADO Y  BIEN PLANTADAS â DEFICIT EN TEJIDO ADIPOSO Y POCA MASA MUSCULAR â SIN EDEMA.  PESO:  26.5  KG    TALLA: 1.40 CM  I.M.C.:\t13.5  CLAS.  NUTRICIONAL: DELGADEZ MODERADA.  PACIENTE QUE TENIA FORMULADO POR TRES MESES PERO POR CAMBIO DE FARMACIA SOLO LE ENTREGARON 1 ENTREGA.  PENDIENTE DOS ENTREGA. POR PETICIÃN DE LA EPS  ADEMAS POR EL ESTADO NUTRICIONAL DE LA PACIENTE  NUEVAMENTE SE ENVIA., PARA COMPLETAR EL TRATAMIENTO</t>
  </si>
  <si>
    <t xml:space="preserve">se recomienda tomar  1 botella  cada  12 horas durante  60 dias  </t>
  </si>
  <si>
    <t>Prowhey Renal crónico</t>
  </si>
  <si>
    <t>paciente con enfemredad renal cronica estadio 5, datos de desutriciom , sarcopena, anemia, hipoalbuminemia, se deja suplemento nutricional para paciente renal</t>
  </si>
  <si>
    <t>tomar 1 sobre diario via oral diario</t>
  </si>
  <si>
    <t>PACIENTE FEMENINA DE 78 AÃOS DE EDAD CON DX DESNUTRICION MODERADA, PESO: 35 KG TALLA: 143 IMC: 17.1, INAPETENTE, PRESENTA PALIDEZ FACIAL, DEPLECION DE MASA MUSCULAR MODERADA, SE RECOMIENDA ENSURE ADVANCE PARA LA RECUPERACIÃN DE SU ESTADO NUTRICIONAL.</t>
  </si>
  <si>
    <t>PACIENTE FEMENINA DE 91 AÃOS DE EDAD CON DX DESNUTRICION MODERADA, PESO: 45,5 KG TALLA: 160 IMC: 17.7, PRESENTA DEPLECION DE MASA MUSCULAR MODERADA, NO REALIZA LAS COMIDAS PRINCIPALES DE FORMA ADECUADA YA QUE ES UNA PACIENTE QUE VIVE SOLA, QUE LE REGALAN LOS ALIMENTOS SUS VECINOS CUANDO PUEDEN, TIENE AUSENCIA Y MAL ESTADO DE SU DENTADURA. SE RECOMIENDA ENSURE ADVANCE PARA LA RECUPERACIÃN DE SU ESTADO NUTRICIONAL.</t>
  </si>
  <si>
    <t>TOMAR 1 UNID 237 ML CADA 8 HORAS DURANTE 3 MESES</t>
  </si>
  <si>
    <t>Nutren 1.5</t>
  </si>
  <si>
    <t xml:space="preserve">PACIENTE ESTABLE EN REGULARES CONDICIONES MUSCULONUTRICIONALES, CURSANDO CON POP DE TORACOSTOMIA DERECHA, PLEUROTOMIA, SHOP SEPTICO, DESNUTRICION PROTEICO CALORICA, CON REQUERIMIENTO DE SUPLEMENTACION NUTRICIONAL OPTIMIZANDO APORTES NUTRICIONALES, </t>
  </si>
  <si>
    <t>SUMINISTRAR TERAPIA NUTRICIONAL ENTERAL VIA ORAL CADA 8 HORAS</t>
  </si>
  <si>
    <t>se solicita alimento para recuperar estado nutricional del paciente</t>
  </si>
  <si>
    <t>tomar 1 botella diaria por 3 meses</t>
  </si>
  <si>
    <t>Ensure fibra liquido</t>
  </si>
  <si>
    <t xml:space="preserve">EDAD.22 aÃ±os, peso  :40 kilos  , imc:15.5  ,  talla 162 cm </t>
  </si>
  <si>
    <t>se recomienda dar ensure liquido 237 ml  ,por via oral :1 dosis cada 12 horas , por 9o dias ,son 180 botellas: 1 por la maÃ±ana y otra por la noche.</t>
  </si>
  <si>
    <t xml:space="preserve">Paciente con antecedente de LES, BAJO PESO DESNUTRCIION Peso: 35 talla 1.50 IMC 15, carciona papilar de tiroides variante folicular , tirodiectomia completada en 2 tiempos (2012-2013) , dosis ablativa con 150 mcui de iodo. Bajo levotiroxina a 175 mcgr dia. leucopenia leve se aguarda correcciÃ³n de hipotiroidismo para descartar este como su causa. carbonato de calcio 600 mas vita d 400 ui x2. Control en 3 mese. Se solicita nuevo hemograma. Control. bajo peso se deriva a nutricioN </t>
  </si>
  <si>
    <t xml:space="preserve">TOMAR 2 AL DIA VIA ORAL </t>
  </si>
  <si>
    <t xml:space="preserve">paciente con enfermedad renal cronica  desntrucion proteico calorica , hipoalbuminemia, dejo suplemento nutricional para paciente renal </t>
  </si>
  <si>
    <t xml:space="preserve">tomar 1 sobre disuelto en agua 200ml  diario </t>
  </si>
  <si>
    <t>PACIENTE FEM DE 78 AÃOS DE EDAD CON DX DM + HTA + CARDIOPATIA + ACV ISQUEMICO + GASTROSTOMIA</t>
  </si>
  <si>
    <t>4 DIARIOS</t>
  </si>
  <si>
    <t>Osmolite HN 1.2</t>
  </si>
  <si>
    <t>DIAGNOSTICO  Trauma raquimedular (C4) CON  IMC=22.14  eutrofico A riesgo de desnutricion aguda.TIENE traqueostomia\ncon ventilacion mecanica (hidrotrach,ANTE LA IMPOSIBILIDAD DE RECIBIR VIA ORAL REQUIERE NUTRICION POR GASTROSTOMIA QUE ASEGURE APORTE DE MACRO Y MICRONUTRIENTES CON SEGURIDAD MICROBIOLOGICA\n\n</t>
  </si>
  <si>
    <t>PASAR UNA LATA DE 237 MILILITROS CADA 3 HORAS POR GASTROSTOMIA</t>
  </si>
  <si>
    <t>Infatrini</t>
  </si>
  <si>
    <t>paciente con antecedente de encefalopatia hipoxico isquemica y retraso del desarrollo psicomotor con desnutricion cronica secundaria, amerita manejo con soporte nutricional con infatrini</t>
  </si>
  <si>
    <t>PACIENTE CON ANTECEDENTE DE ENCEFALOPATIA HIPOXICO ISQUEMICA Y RETRASO DEL DESARROLLO PSICOMOTOR CON DESNUTRICION CRONICA SECUNDARIA, AMERITA MANEJO CON SOPORTE</t>
  </si>
  <si>
    <t>DAR 237ML CADA 8 HORAS POR 90 DIAS</t>
  </si>
  <si>
    <t>Paciente con diagnÃ³stico principal confirmado, con requerimientos aumentados en calorÃ­as y nitrÃ³geno, con tolerancia limitada al volumen y saciedad temprana, quien requiere suplementar su nutricion, con alimento vÃ­a sonda de gastrostomia que permita cubrir requerimientos nutricionales, promover balance positivo de nitrÃ³geno, como parte integral del tratamiento, prevenir complicaciones asociadas a desnutricion y reducir la morbimortalidad.\n</t>
  </si>
  <si>
    <t xml:space="preserve">dar 1 botella cada 6 horas </t>
  </si>
  <si>
    <t>MASCULINO DE  66 AÃOS â CON PIEL  SECA --  SIN EDEMA EN MIEMBROS  â DEFICIT EN TEJIDO ADIPOSO Y POCA MASA MUSCULA  - CLAVICULAS SALIENTES -  COSTILLAS MARCADAS â SIN DENTADURA - TOLERANDO VIA ORAL â Y O2 AMBIENTE. PESO: 50 KG TALLA: 1.73 CM IMC: 16.7\nCLASF.  NUTRICIONAL: DELGADEZ MODERADA\n</t>
  </si>
  <si>
    <t xml:space="preserve"> TOMAR  237 ML-   CADA  12 HORAS â (2 BOTELLAS AL DIA) DURANTE  3 MESES</t>
  </si>
  <si>
    <t>ENTEREX DB-CAL</t>
  </si>
  <si>
    <t xml:space="preserve">PACIENTE CON  DX  MEDICO: DIABETES  MELLITUS  TIPO 2 DX  NUTRICIONAL  PESO  58  KG, TALLA 165  CM,  IMC 21.4 ,PERDIDA  DE  PESO,  SE  SOLICITA  SUPLEMENTO  NUTRICIONAL  ENTEREX  DB CAL  LIQUIDO  DAR  CADA   12  HORAS  POR  90  DIAS, , TOTAL  180  BOTELLAS. </t>
  </si>
  <si>
    <t>SE  RECOMIENDA  ENTEREX  DB  CAL ,  DAR  CADA  12  HORAS  POR  90  DIAS,  TOTAL 180  BOTELLAS, 60  POR MES.</t>
  </si>
  <si>
    <t>Pediasure clinical</t>
  </si>
  <si>
    <t xml:space="preserve">paciente femenina de 9 aÃ±os 6 meses  de edad ,control B24X ,desde 2014 ,TRASMISIÃN VERTICAL dx realizado a sus 4 aÃ±os, paraclinicos  21/01/2020: Carga viral 18546 copias, LCD4: 460  cÃ©lulas,Dx nutricional riesgo de retraso en la talla , indicador trazador T/E entre -1DES Y - 2DES , IMC 16 ,, anemia , adenopatias cervicales , palidez mucocutanea teniendo en cuenta que ingesta calorico proteica es insuficiente y sus condiciones musculo nutricionales , se recomienda iniciar  terapia nutricional </t>
  </si>
  <si>
    <t>alimento completo,densamente calÃ³rico,para uso especial en niÃ±os con requerimientos energÃ©ticos elevados se indica botella por 220 ml cada 12 horas por 60 dÃ­as</t>
  </si>
  <si>
    <t>DATOA ANTROPOMETRICOS  PESO ESTIMADO: 50 kg, TALLA: 168 cms, IMC: 17, PESO IDEAL 63K ANALISIS\nPACIENTE MASULINOCONOCIDO POR EL SERVICIO QUIEN HAMOSTRADO MEJORIA EN SU ESTADONUTRICIONAL TOLERANDO ADECUADAMENTE EL TRATAMIENTO NUTRICIONAL INSTAURADO CON DISMINUCION DE SUS DEPOSICICIONE Y AUMENTO DE 2 KILOS DE PSOS. AUN CON SIGNOS DE DESGSTE PROTEICO ENERGETICO. RQUEIRE SOPORTE NUTRICIONAL \n</t>
  </si>
  <si>
    <t xml:space="preserve">suminsitrar 1 botella 220ml cada 12 horas </t>
  </si>
  <si>
    <t>Enterex Powder Polvo</t>
  </si>
  <si>
    <t xml:space="preserve">PACIENTE DX MEDICO, ENFERMEDAD DE  ALZAHIMER ,  ENFERMEDAD  CEREBRO VASCULAR, ISQUIMIA  CEREBRAL,  ANEMIA , HTA DX  NUTRICIONAL  PESO  ACTUAL  39 KG, TALLA 152  CM,  IMC 16.9 DNT  MODERADA,  SE  SOLICITA  SUPLEMENTO  NUTRICIONAL, , ENTEREX  POWDER POLVO  1000 G ,laTA   DAR  CADA  12  HORAS  POR  90  DIAS   </t>
  </si>
  <si>
    <t>55,8</t>
  </si>
  <si>
    <t xml:space="preserve">SE  RECOMIENDA  MEZCLAR 55.8,GRAMOS  DE  POLVO , EN  1  VASO  DE  AGUA , DOS  VECES  AL  DIA  EN  LAS  MERIENDAS, PARA  UN  TOTAL 10.044 GRAMOS  POR 90  DIAS, </t>
  </si>
  <si>
    <t>PACIENTE EN EL MOMENTO CON RINOFARINGITIS AGUDA, CONJUNTIVITIS BACTERIANA, ACTIVA, REACTIVA, EN TRATAMIENTO PARA LIGERA ANEMIA MICROCITICA E HIPOCROMICA Y CON RIESGO DE BAJO PESO, SE ORDENA CONTINUAR SUPLEMENTACION DE HIERRO Y CONTINUA EN CONTROL CON NUTRICION.\n</t>
  </si>
  <si>
    <t>DAR LA DOSIS INDICADA SOLAMENTE Y POR EL TIEMPO ESTABLECIDO</t>
  </si>
  <si>
    <t>PACIENTE EN EL MOMENTO CON RINOFARINGITIS AGUDA, CONJUNTIVITIS BACTERIANA, ACTIVA, REACTIVA, EN TRATAMIENTO PARA LIGERA ANEMIA MICROCITICA E HIPOCROMICA Y CON RIESGO DE BAJO PESO, SE ORDENA CONTINUAR SUPLEMENTACION DE HIERRO, CLORFENIRAMINA, GENTAMICINA OFTALMICA, VITAMINA C, SE ORDENA SUPLENTACION CON PEDIASURE POR 90 DIAS, CONTINUA EN CONTROL CON NUTRICION.\n</t>
  </si>
  <si>
    <t>dar la dosis ordenada una sola vez al dia y por el tiempo estipulado</t>
  </si>
  <si>
    <t xml:space="preserve">EDAD: 5 AÃOS, 4 MESES , PESO:  18, 5 KILOS , TALLA :112.5 CM , IMC :14.8 </t>
  </si>
  <si>
    <t>SE RECOMIENDA DAR  PEDIASURE  LIQUIDO 237 ML , VIA ORAL : 1 DOSIS CADA 12 HORAS,POR 90 DIAS , SON 180 BOTELLA : 1 POR LA MAÃANA Y OTRO POR LA NOCHE</t>
  </si>
  <si>
    <t>EDAD: 6 AÃOS, PESO: 18 KILOS ,  TALLA : 112 CM  , IMC : 12,5    , C,B : 18,3  CM</t>
  </si>
  <si>
    <t>SE RECOMIENDA DAR PEDIASURE LIQUIDO 237 ML POR VIA VORAL .                    1 DOSIS CADA 12 HORAS,POR 90 DIAS,SON 180 BOTELLA1 POR LA MAÃANA Y OTRA POR LA NOC</t>
  </si>
  <si>
    <t xml:space="preserve">PACIENTE FEMENINA DE 4 AÃOS 11 MESES DE EDAD CON DX PESO ADECUADO PARA LA TALLA Y RETRASO EN TALLA. ANTECEDENTE DE ACONDROPLASIA. PRESENTA INAPETENCIA, SE RECOMIENDA PEDIASURE PARA LA RECUPERACIÃN DE SU ESTADO NUTRICIONAL. </t>
  </si>
  <si>
    <t>PACIENTE CON DESNUTRICIÃN CRÃNICA POR DISTROFIA MUSCULAR, DIFICULTAD PARA LA DEGLUCIÃN POR LO QUE SE ALIMENTA CON SUPLEMENTO</t>
  </si>
  <si>
    <t xml:space="preserve">47 GRAMOS DISUELTO EN LIQUIDO CADA DÃA POR 4 MESES LATAS PARA 1 MES: 6 LATAS TOTAL DE TTO PARA 4 MESES 24 LATAS </t>
  </si>
  <si>
    <t xml:space="preserve">PACIENTE FEMENINA DE 1 AÃO 10 MESES DE EDAD CANALIZADA POR NEFROLOGIA CON DIAGNOSTICO NUTRICIONAL DNT AGUDA MODERADA DX MEDICO ACIDOSIS METABÃLICAS </t>
  </si>
  <si>
    <t>SUMINISTRAR 92 GRAMOS CADA 12 HORAS DURANTE 1 MES</t>
  </si>
  <si>
    <t>PACIENTE FEMENINA DE 84 AÃOS ,DX ACV ISQUEMICO ,EN SILLA DE RUEDAS , DX NUTRICIONAL DESNUTRICION MODERADA,SE OBSERVA FRANCA PERDIDA DE MASA MUSCULAR ,IMC 18,CIRCUNFERENCIA PANTORRILLA 26 CM ,,SU INGESTA CALORICO PROTEICA ES INSUFICIENTE PARA CUBRIR SUS REQUERIMIENTOS , SE RECOMIENDA INICIAR TERAPIA NUTRICIONAL , ALIMENTO HIPERPROTÃICO, DENSAMENTE CALÃRICO CON HMB Y ALTO CONTENIDO DE VITAMINA D, ESPECIAL PARA ADULTO MAYOR EN ADULTO MAYOR CON DESNUTRICIÃN MODERADA</t>
  </si>
  <si>
    <t>Alimento hiperprotÃ©ico, densamente calÃ³rico con HMB y alto contenido de vitamina D, botella por 220 ml cada 12 horas por 90 dias</t>
  </si>
  <si>
    <t>Alimento para uso especial en adulto con desnutriciÃ³n moderada a severa en condiciÃ³n de hospitalizaciÃ³n y/o con reciente alta hospitalaria. ES UNA FÃ³rmula nutricional completa, densamente calÃ³rica, hiperproteica y con alto contenido de Vitamina D, con FOS y CaHMB.</t>
  </si>
  <si>
    <t>TOMAR UNA BOTELLA 3 VECES AL DIA</t>
  </si>
  <si>
    <t>ENSURE PLUS, EstÃ¡ diseÃ±ado para personas que estÃ¡n en riesgo nutricional o que experimentan pÃ©rdida de peso involuntaria, ya que es una fÃ³rmula nutricional alta en calorÃ­as (1.5 kcal/ml), completa y balanceada que contiene una combinaciÃ³n de proteÃ­nas, 28 vitaminas y minerales y un balance adecuado de Ã¡cidos grasos Omega 3 y Omega 6. Es ideal para ayudarte a mejorar tu estado nutricional y a ganar peso y/o mantener un peso saludable.</t>
  </si>
  <si>
    <t>DAR 4 LATAS AL DIA POR SNG</t>
  </si>
  <si>
    <t>SOPOTE NUTRICIONAL, PACIENTE CON ANTECEDENTES DEICC FEVI 48 %, ERC ESTADISO 3, IAM, IMC 28. PACIENTE INGRESA CON Dx DE INSUFICIENCIA RESPIRATORIA , SIND BRONCOOBSTRUCTIVAS, EN VENTILACION MECANCIA, IMPOSIBILIDAD DEL USO DE LA V.O, REQUIERE INICIO DE SOPORTE NUTRICIONAL ENTERAL POR SNY, CON ENSURE CLINICAL INDICADA EN SNY. NO HAY HOMOLOGO EN EL POS. FORMULA NUTRICIONAL QUE APORTA MACRO Y MICRONUTRIENTES, CUBRE REQUERIMIENTOS NUTRICIONALES.</t>
  </si>
  <si>
    <t>SNY</t>
  </si>
  <si>
    <t>PACIENTE ESTABLE HEMODINAMICAMENTE EN SEGUIMIENTO NUTRICIONAL PACIENTE POP DE LAPARATOMIA EXPLORATORIA, CON BOLSA DE BOGOTA, CON REQUERIMIENTO DE SUPLEMENTACION NUTRICIONAL OPTIMIZANDO APORTES PROTEICO PARA REPLESION Y CICATRIZACION,</t>
  </si>
  <si>
    <t>SUMINISTRAR DIETA BLANDA HIPERPROTEICA HIPERCALORICA FRACCIONADA A 6 TIEMPOS DE COMIDA, MAS SUPLEMENTACION NUTRICIONAL CADA 8 HORAS</t>
  </si>
  <si>
    <t>PACIENTE CON DIAGNOSTICO PRINCIPAL CONFIRMADO QUIEN REQUIERE ASISTENCIA POR NUTRICION Y DIETETICA CON ALIMENTOS LIQUIIDOS COMPLETOS Y BALANCEAO VÃA ORAL COMO PARTE INTEGRAL DEL TRATAMIENTO PARA BAJO PARA LA EDAD GESTACIONAL SEGÃN PROTOCOLO PARA MANTENER LA FUNCION INMUNE , PREVENIR COMPLICACIONES ASOCIADAS A LA MALNUTRICION Y REDUCIR LA MORBILIDAD Y LA MORTALIDAD EN EL INFANTE.</t>
  </si>
  <si>
    <t xml:space="preserve">2 DOSIS DIARIA CADA 12 HORAS DURANTE UN PERIODO DE 60 DIAS CON UNA CANTIDAD DE 120 BOTELLAS </t>
  </si>
  <si>
    <t xml:space="preserve">Paciente con diagnÃ³stico principal confirmado, quien requiere consulta de control o de seguimiento por nutriciÃ³n y dietÃ©tica (CUPS 890306), con alimento a base de proteÃ­na de alta calidad, lÃ­pidos, carbohidratos, vitaminas y minerales, con el fin de brindar una nutriciÃ³n completa y balanceada, prevenir complicaciones asociadas a malnutriciÃ³n y reducir la morbimortalidad. </t>
  </si>
  <si>
    <t xml:space="preserve">DILUIR 45 GR EN 190 ML DE AGUA, 2 VECES AL DIA. </t>
  </si>
  <si>
    <t>Prowhey NET</t>
  </si>
  <si>
    <t>Paciente de 30 aÃ±os con Dx.Ca de mama metastÃ¡sico histologicamente confirmado desde 30/08/19. Estadio: IV ProgresiÃ³n en SNC, pulmÃ³n y cavidad nasal derecha, ovario, con alto riesgo nutricional. requiere esta fÃ³rmula para complementar los aportes de calorÃ­as y nutrientes aportado por los alimentos, para prevenir deterioro nutricional y complicaciones asociadas y mejorar calidad de vida.</t>
  </si>
  <si>
    <t>2 vasos de 240mL con 63g cada vaso o 5 medidas rasas. uso ambulatorio no priorizado.</t>
  </si>
  <si>
    <t>PACIENTE  DE 101  AÃOS,  DX  MEDICO. , INCONTINENCIA  URINARIA, SECUELAS  DE  FRACTURA  DE  CADERA, DIFICULTAD  PARA  DEGLUTIR, BAJO  PESO,. DX NUTRICIONAL  PESO  ACTUAL: 48 KG. TALLA: 167 CM, IMC: 17.7, DNT  SEVERA,  SE  SOLICITA SUPLEMENTO  NUTRICIONAL  ENTEREX POWER  POLVO 1000 Gr. lata , dosis 55.8 gramos, via  oarl. dar  cada  12  horas  por  90  dias, mezclar 55.8 gramos de  polvo en  un  vaso  de  agua,dos  veces  al  dia,  en  meriendas, para  un  total  de 10.044 gramos  por 90 dias,</t>
  </si>
  <si>
    <t>se  recomienda  mezclar 55.8 gramos de  polvo en un vaso de  agua dos  veces  al  dia , en  las  meriendas para  un  total  de  10.44 gramos por 90 dias.</t>
  </si>
  <si>
    <t>PACIENTE MASCULINO DE 14 AÃOS 4 MESES DE EDAD CON DX DESNUTRICION SEVERA Y RIESGO DE RETRASO EN TALLA, PESO: 36.6 KG TALLA: 155 IMC: 15,2 . PRESENTA PALIDEZ FACIAL, INAPETENTE, NO REALIZA DE FORMA ADECUADA LAS COMIDAS PRINCIPALES. SE RECOMIENDA PEDIASURE PARA LA RECUPERACION DE SU ESTADO NUTRICIONAL.</t>
  </si>
  <si>
    <t xml:space="preserve">DesnutriciÃ³n proteico calorico </t>
  </si>
  <si>
    <t xml:space="preserve">Dar 237 ml cada 8 horas tratamiento por tres meses </t>
  </si>
  <si>
    <t xml:space="preserve">PACIENTE CON EPILEPSIA MULTIFOCAL REFRACTARIA NO CONTROL A PESAR DE POLITERAPIA CON MAS DE 5 ANTICONVULSIVANTES DE PRIMERA Y SEGUNDA LINEA , REQUIRIO INICIO DE DIETA CETOGENICA </t>
  </si>
  <si>
    <t>KETOVOLVE POLVO 300 G DENSIDAD CALORICA 1 A 2 KCAL/ML LATAS NUMERO 27 VENTISIETE\nDAR 90 GRAMOS DE KETOVOLVE AL DIA 9 LATAS DE 300 GRAMOS AL MES 27 LAT</t>
  </si>
  <si>
    <t>PACIENTE FEMEMINA DE 74 AÃOS DE EDAD CON DX DESNUTRICION LEVE, PESO: 444,4 TALLA: 161 IMC: 17.1 . INAPETENTE, PRESENTA DEPLECION DE MASA MUSCULAR MODERADA, PALIDEZ FACIAL. SE RECOMIENDA ENSURE ADVANCE PARA LA RECUPERACION DE SU ESTADO NUTRICIONAL.</t>
  </si>
  <si>
    <t>se solicita alimento completo para recuperar estado nutricional del paciente</t>
  </si>
  <si>
    <t>tomar 2 botellas diarias por 3 meses</t>
  </si>
  <si>
    <t xml:space="preserve">PACIENTE  FEMENINO  DE   1  AÃO  7 MESES, DX  MEDICO: ANEMIA DNT  AGUDA,, INFECCION  DE  VIAS  URINARIAS,DX NUTRICIONAL:   PESO  ACTUAL: 90 KG, TALLA 80 CM ,SE  SOLICITA  FTLC  FORMULA  TERAPEUTICA  LISTA   PARA  EL  CONSUMO,FORMULA   A BASE  DE SOYA  DE  MANI  LIPIDOS VITAMINAS,, SOBRE  POR 92 GR, TOMAR  2 SOBRES  DIARIOS, CADA  12 HORAS,POR 2 MESES, CANTIDAD  120  SOBRES. </t>
  </si>
  <si>
    <t>SE  RECOMIENDA   FORMULA  FTLC , SOBRE 92 GRAMOS, TOMAR 2 SOBRES DIARIOS, CADA 12  HORAS, POR 2 MESES,  CANTIDAD 120  SOBRES.</t>
  </si>
  <si>
    <t>PACIENTE MASCULINO DE 1 AÃO Y 1 MES DE EDAD, CON ANTECEDENTES DE NACIDO PRETERMINO DE 36 SEG Y PESO DE 1900G, ACTUALMENTE CUENTA CON PESO: 8 KG // TALLA: 76 CM // PC:44CM // P/T:-2.3  T/E:0.1 //  DIAGNOSTICO NUTRICIONAL SEGÃN RESOLUCIÃN 2465: DESNUTRICION AGUDA MODERADA // LABORATORIOS: HB:11.8  VCM:74.3 HCM:24 // REQUIERE COMPLEMENTO NUTRICIONAL QUE CUBRA EL 50 POR CIENTO DEL REQUERIMIENTO DIARIO DE ENERGIA Y NUTRIENTES. \n\n</t>
  </si>
  <si>
    <t xml:space="preserve">SUMINISTRAR 1 SOBRE AL DIA </t>
  </si>
  <si>
    <t>PACIETNE CIN PCI ESPASTICA CON DIFICULTAD PARA LA DEGLUCION Y GANACIA DE PESO.</t>
  </si>
  <si>
    <t>DAR 5 MEDIDAS EN 1 VASO CON AGUA 2 VECES AL DIA</t>
  </si>
  <si>
    <t>se solicita alimento para recuperar estado nutricional del paciente con desnutricion</t>
  </si>
  <si>
    <t>tomar 1 botella  diaria por 3 meses</t>
  </si>
  <si>
    <t>Paciente con diagnÃ³stico de desnutriciÃ³n proteico calÃ³rica severa que requiere suplemento nutricional para optimizar condiciones musculares</t>
  </si>
  <si>
    <t>Dar 1 botella cada 8 horas al dÃ­a por 90 dias</t>
  </si>
  <si>
    <t xml:space="preserve">PACIENTE CON DIAGNOSTICO  DESNUTRICIÃN SEVERA, TIENE UN PESO DE 33 KILOS Y CON IMC 15.2 REQUIERE SOPORTE NUTRICIONAL DE FORMA TEMPORAL PARA RECUPERAR EL ESTADIO NUTRICIONAL </t>
  </si>
  <si>
    <t xml:space="preserve">TOMAR 5 MEDIDAS EN AGUA CADA 12 HORAS ADICIONAL A LAS COMIDAS PROGRAMADAS DEL DIA DURANTE 3 MESES </t>
  </si>
  <si>
    <t xml:space="preserve">Santiago, lactante mayor de 16 meses, con diagnÃ³sticos anotados, estancia prolongada por falla respiratoria cronica, permanece estable, sin deterioro clÃ­nico, requiere soporte nutricional por gatsrostomia. </t>
  </si>
  <si>
    <t xml:space="preserve">PACIENTE CON DIAGNOSTICO DE DESNUTRICION PROTEICOCALORICA SEVERA, ASOCIADO A LINFOMA DE HODKING, QUIEN EN LOS ULTIMOS TRES MESES  HA TENIDO PERDIDA DE PESO APROXIMADAMENTE 10 KG CON TALLA DE 1.82 Y PESO DE 56KG IMC: 16.9, CONTINUA CON PERDIDA DE PESO A PESAR DE LOS AJUSTES DIETARIOS, NO HAY DISPONIBLE NINGUNA NUTRICION EN EL PLAN DE BENEFICIOS EN Salud, por lo cual se decide continuar con ensure clinical 220 ml cada 24 horas </t>
  </si>
  <si>
    <t xml:space="preserve">alimento hiperproteico, densamente calÃ³rico con hmb y alto contenido de vitamina d, para uso especial en adulto mayor con desnutriciÃ³n moderada a severa. </t>
  </si>
  <si>
    <t>Prowhey TRR</t>
  </si>
  <si>
    <t>FEMENINA DE  69 AÃOS, VALORACION NUTRICIONAL  Y ADECUACIÃN DE PLAN ALIMENTARIO. IDX. DESNUTRICIÃN  PROTEICA-CALORICA CON ANTECEDENTES DE HTA Y ENFERMEDAD RENAL CRÃNICA ESTADIO 5, POCO APETITO,  PARACLÃNICOS FUERA DE METAS PROPUESTAS, HEMOGLOBINA  8.3, PESO ACTUAL: 47.5 KG, CON PERDIDA DE PESO DE 7.6 KGR EN 3.0 MES, IMC: 17.5%, SE REQUIERE SUPLEMENTACION PROWHEY TRR, ALTA DENSIDAD CALORICA 1.5 KCAL Y BAJO EN ELECTROLITOS COMO PARTE DEL TRATAMIENTO Y PREVENIR COMPLICACIONES Y MORBIMORTALIDAD</t>
  </si>
  <si>
    <t xml:space="preserve">ALIMENTO PARA PROPÃSITO ESPECIAL CON ENFERMEDAD RENAL CRÃNICA ESTADIO 5,  DIÃLISIS, DILUIR  1 SOBRE EN 180 CC DE AGUA Y TOMAR A LAS 10 AM DE LA MAÃANA </t>
  </si>
  <si>
    <t>Paciente con diagnÃ³stico principal confirmado, quien requiere complementar su nutriciÃ³n con alimento completo y balanceado a base de proteÃ­na 15% VCT, vitaminas y minerales, incluye antioxidantes, vÃ­a oral, como parte integral del tratamiento para prevenir complicaciones que aumentan la estancia hospitalaria, favorecer adecuados desenlaces clÃ­nicos  y reducir la morbimortalidad.</t>
  </si>
  <si>
    <t xml:space="preserve">diluir 45 gramos en 190 ml de agua, 2 veces al dia. </t>
  </si>
  <si>
    <t>PACIENTE  DE  12  AÃOS 6  MESES, DX  NUTRICIONAL PESO ACTUAL: 27 KG, TALLA 138 CM,RIESGO  DNT  AGUDA, SE SOLICITA  SUPLEMENTO  NUTRICIONAL PEDIA     SURE   BOTELLA  LIQUIDA  237  MIL. DAR  CADA  12   HORAS  POR  90  DIAS, TOTAL  180  BOTELLAS, SON  60  POR  MES.</t>
  </si>
  <si>
    <t>SE  RECOMIENDA  PEDIA SURE  BOTELLA  LIQUIDA  DE  237  MIL,  DAR  CADA  12  HORAS  POR  90  DIAS,  TOTAL  180  BOTELLAS, 60  BOTELLAS  POR  MES.</t>
  </si>
  <si>
    <t>se, considera seguir con suplemento nutricional, para recuperar, masa corporal, mejorar degluciÃ³n, inapetencia, estado nutricional, anemia, completar sus requerimientos nutricionales, contrarrestar hiper catabolismo de proteÃ­nas</t>
  </si>
  <si>
    <t>suministrar dos dosis diarias, lejos de las raciones principales, durante dos mese.</t>
  </si>
  <si>
    <t>ACTUALMENTE LA PCTE PRESENTA APETITO DISMINUIDO, RECIBE DIETA DE CONSISTENCIA LIQUIDA ESPESA Y ESPERADICAMENTE BLANDA POR TRASTORNO DEGLUTORIO, EN LA ANAMENSIS ALIMENTARIA SE OBSERVA ALIMENTACION FRACCIONADA 5 VECES AL DIA PEROP TODO LICUADO, LO CUAL NO CUBRE LOS REQUERMEINTOS DEL GASTO BASAL METABOLICO. EN LA VALORACION ANTROPOMETRICA SE OBTUVO CB: 16, CC: 12, CP: 23, LR: 45, ABD: 73, ESCP: 6, PESO: 38 KG, TALLA: 1.56 MTS, IMC: 15, DX NUTRICIONAL: DESNUTRICION PROTEICO CALORICA SEVERA</t>
  </si>
  <si>
    <t>53,5</t>
  </si>
  <si>
    <t xml:space="preserve">TOMAR 3 VASOS AL DÃA COMO MERIENDA </t>
  </si>
  <si>
    <t>paciente con dnt en segumiento de busqueda patologia . requiere suplemento nutricional para evitar complicaciones</t>
  </si>
  <si>
    <t>dar una botella cada 12 horas</t>
  </si>
  <si>
    <t>Ensure compact</t>
  </si>
  <si>
    <t>paciente masculino de 48 aÃ±os dx B24X  ,paraclinicos de :08/10/2019: Carga viral : &lt;40 Copias , LCD4 587 cÃ©lulas,Dx nutricional riesgo de delgadez , IMC 19 ,  al evaluar masa muscular se observa al examen fÃ­sico compromiso moderado , circunferencia de la pantorrilla 27 cm,nsuficiente ingesta calorico proteica , se recomienda iniciar terapia nutricional alimento completo, hiperprotÃ©ico, densamente calÃ³rico</t>
  </si>
  <si>
    <t>alimento completo, hiperprotÃ©ico, densamente calÃ³rico botella por 125 ml cada 24 horas por 60 dÃ­as</t>
  </si>
  <si>
    <t xml:space="preserve">MENOR TRAÃDO POR LA ABUELA  A CONTROL  NUTRICIONAL,   SE VALORA AL MENOR  PESO 10,KG  TALLA 85 CMS  PC  45 CMS  DX  P/T  RIESGO D DNT AGUDA  T/E  RIESGO DE TALLA BAJA  PC NORMAL  NO EVOLUCIONA PESO Y TALLA. SE MOTIVA  A LA ABUELA   DEL MENOR   SOBRE  NUTRICIÃN BALANCEADA SEGÃN COSTUMBRES   DE LA REGIÃN, DIETA COMPLETA EQUILIBRADA SALUDABLE ADECUADA CON REFRIGERIOS  DOS VECES  AL DÃA, PREVENCIÃN DE ACCIDENTES EN EL  HOGAR.,  SE REITERA LA  IMPORTANCIA DE AFECTO, LAS ACTIVIDADES LUDICAS  Y JUEGOS </t>
  </si>
  <si>
    <t xml:space="preserve">DAR 1 DOASIS CADA 12 HORAS  PARA DAR CONTINUIDAD AL TRATAMIENTO ASISTIR A CONTROL </t>
  </si>
  <si>
    <t>Fresubin HP Energy</t>
  </si>
  <si>
    <t>EasyBag</t>
  </si>
  <si>
    <t>PACIENTE EN REGULARES CONDICIONES CLINICAS, CON REQUERIMIENTO DE SOPORTE VENTILATORIO INVASIVO, CURSANDO CONSHOCK SEPTICO FOCO PULMONAR EN MODULACIÃN, INSUFICIENCIA RESPIRATORIA TIPO I E VENTILACION MECANICA,NEUMONIA GRAVE DE LA COMUNIDAD EN MANEJO,EMPIEMA DERECHO DRENADO ,POP TORACOPLASTIA ,DECORTIZACION  + PLEURECTOMIA PARIETAL DERECHA CON TOMA DE MUESTRA ,ANEMIA DE CELULAS FALCIFORMES EN TRATAMIENTO, POP TORACOSTOMIA CERRADA DERECHA (13/01/2020),ULCERAS CRONICAS EN MIEMBROS INFERIORES. \n</t>
  </si>
  <si>
    <t>SUMINISTRAR TERAPIA NUTRICIONAL ENTERAL POR SONDA OROGASTRICA A 44CC HORA,</t>
  </si>
  <si>
    <t>paciente con paralisis cerebral y desnutricion proteico calorica con defecto de deglucion quien requiere formula complementaria de recuoeracion nutricional</t>
  </si>
  <si>
    <t>dar 1 botella cada 12 horas x 2 meses</t>
  </si>
  <si>
    <t>ENSURE CLINICA BOTELLA 220 ML. USO. DAR 1 UNIDAD VIA ORAL CADA 8 HORAS POR 20 DIAS #60 UNIDADES\n</t>
  </si>
  <si>
    <t>Pulmonar - Alto aporte de proteína y moderado aporte en grasa.</t>
  </si>
  <si>
    <t>Pulmocare</t>
  </si>
  <si>
    <t xml:space="preserve">ACIENTE MASCULINO DE 62 AÃOS CON DX CLINICO TUMOR MALIGNO DEL PULMON - DISNEA - FISTULA BRONCOPLEURAL POR COMPROMISO TUMORAL EN BRONQUIO PARA LOBULO SUPERIOR - DERRAME PLEURAL EN AFECCIONES EN AFECCIONES CLASIFICADAS EN OTRA PARTE - ANEMIA NO ESPECIFICADA - NIEGA HTA - NIEGA DM - DESNUTRICION PROTEICOCALORICA MODERADA EN EL EXAMEN FISICO SE OBSERVA PRECESO DEPLETORIO MODERADO - PERDIDA DE MASA MUSCULAR Y TEJIDO ADIPOSO - PIEL PALIDA - MUCOSAS SECAS - CABELLO DE APARIENCIA NORMAL - </t>
  </si>
  <si>
    <t>1 lata cada 8 horas por 90 dias</t>
  </si>
  <si>
    <t>Modulos de proteina, carbohidratos, lipidos</t>
  </si>
  <si>
    <t>CASILAN PRO</t>
  </si>
  <si>
    <t xml:space="preserve">PACIENTE CON DESNUTRICION CRONICA  INDICADOR TALLAEDAD DEBAJO DE 2 DS , REQUIERE SOPORTE NUTRICIONAL DE MANERA TEMPORAL CON MODULO DE PROTEINAS PATRA FAVORECER CRECIMIENTO EN TALLA </t>
  </si>
  <si>
    <t xml:space="preserve">DAR 2 MEDIDAS DEL PRODUCTO DISUELTAS EN LOS LÃQUIDOS DE LA DIETA JUGOS O SOPAS CADA 8 HORAS DURANTE 90 DIAS </t>
  </si>
  <si>
    <t xml:space="preserve">PACIENTE CON DIAGNOSTICO DE DESNUTRICIÃN PROTEICOCALORICA MODERADA, QUIEN HA TENIDO AUMENTO MÃNIMO DE PESO ESTOS ÃLTIMOS TRES MESES, CON TALLA DE 1.47 CMT Y PESO DE 30KG IMC: 14.2, POR LO CUAL SE CONTINUA SUMPLEMENTACION CON ENSURE LIQUIDO 2 DIARIOS CADA 12 HORAS, CON EL FIN DE APORTAR MACRO NUTRIENTES NECESARIOS QUE NO SON SUFICIENTES CON LOS APORTADOS EN LA DIETA </t>
  </si>
  <si>
    <t xml:space="preserve">ALIMENTO A BASE DE PROTEÃNAS, VITAMINAS Y MINERALES. NUTRICIÃN COMPLETA Y BALANCEADA </t>
  </si>
  <si>
    <t>PACIENTE CON INSUFICIENCIA RENAL, HIPERTENSION ARTERIAL, Y ISQUEMIA CEREBRAL</t>
  </si>
  <si>
    <t xml:space="preserve">DARDOSIS UNICA POR 90 DIAS </t>
  </si>
  <si>
    <t xml:space="preserve">paciente con desnutricion aguda moderada , sin deterioro clinico evidente que amerite hospitalizacion , puede realizar  recuperacion  nutricional en casa  con aporte de ftlc 150kcl kg  dia  previa realziacion de pruena de apetito con medio sobre </t>
  </si>
  <si>
    <t>no</t>
  </si>
  <si>
    <t xml:space="preserve">pacinete en cama con antecedentes de acv hemorragico y desnutricion proteicoclorica moderada </t>
  </si>
  <si>
    <t xml:space="preserve">tomar una botella cada 12 horas dutante un mes via oral </t>
  </si>
  <si>
    <t>se, considera iniciar suplemento nutricional,para recuperar, masa corporal, mejorar degluciÃ³n, inapetencia, estado nutricional, completar sus requerimientos nutricionales, contrarrestar hiper catabolismo de proteÃ­nas.</t>
  </si>
  <si>
    <t>suministrar dos dosis diarias, lejos de las raciones principales, durante dos meses.</t>
  </si>
  <si>
    <t>adolescente con antecedente de atresia pulmonar en regular estado musculonutricional, palidez facial, delgadez visible, peso de 41 kg, talla: 155, imc: 17</t>
  </si>
  <si>
    <t>tomar 237 ml cada 12 horas</t>
  </si>
  <si>
    <t xml:space="preserve">paciente masculino de 32 aÃ±os,,dx B24X,  paraclinicos  ingreso 16/01/2020  carga  viral  3191  copias ,LCD4 308 copias ,Dx nutricional  desnutriciÃ³n  moderada IMC 15 ,  circunferencia  de la  pantorrilla  27 cm   al  examen  fÃ­sico ,se  observa  perdida  de  masa  muscular,su ingesta  calorico  proteico  no  cubre  requerimientos  se  recomienda  iniciar  terapia  nutricional para  cubrir  requerimientos  y  evitar  catabolismo  se  indica alimento  completo, hiperprotÃ©ico, densamente calÃ³rico </t>
  </si>
  <si>
    <t>Fortini vainilla</t>
  </si>
  <si>
    <t>PACIENTE MASCULINO DE 3 AÃOS Y 6 MESES ASISTE A CITA DE PRIMERA VEZ CON NUTRICION EN COMPAÃÃA DE SU MADRE KATLYN SANTOS, REMITIDO POR BAJO PESO, DX DE BASE HIPOTONIA CONGENITA. ACTUALMENTE EL PCTE PRESENTA BUEN APETITO, EN LA VALORACION ANTROPOMETRICA SE OBTUVO PESO: 12KG, TALLA: 92 CMS, T/E: -1 A -2 RIESGO DE RETRASO EN TALLA, P/E: -2 DESNUTRICION GLOBAL, P/T: -1 A -2 RIESGO DE DESNUTRICION AGUDA MODERADA, SE INDICA SOPORTE NUTRICIONAL PARA AUMNETAR INGESTA CALORICA Y RECUPERAR ESTADO NUTRICION</t>
  </si>
  <si>
    <t>42,7</t>
  </si>
  <si>
    <t xml:space="preserve">TOMAR 2 VASOS AL DÃA, DISOLVER 7 CUCHARADAS EN 110 ML DE AGUA POR CADA TOMA </t>
  </si>
  <si>
    <t xml:space="preserve">\nMASCULINO DE 71 AÃOS DE EDAD, INGRESO A LA UNIDAD EN EL CONTEXTO DE ACCIDENTE CEREBRO VASCULAR A CLASIFICAR, BAJO VENTILACION MECANICA VALORADA POR METODO GLOBAL SUBETIVO ENCONTRABDOLA BAJO VNTILACION MECANICA CON SONDA ORORGASTRICA PARA RECIBIR ALIMENETACION POR LO QUE SE LE INIDCA SOPORTE NUTRICIONAL </t>
  </si>
  <si>
    <t>pasar a razÃ³n de 79 cc por hora</t>
  </si>
  <si>
    <t>Supportan drink</t>
  </si>
  <si>
    <t xml:space="preserve">  PACIENTE CON  DX   CA  GASTRICO   CON   QUIMIOTERAPIAS    TRATAMIENTO  EN SINCELEJO.  PACIENTE  CON  PALIDEZ  EN  MUCOSAS.    CON   PERDIDA  DE PESO  Y  DE   APETITO    REQUIERE  SOPORTE    NUTRICIONAL   PARA    APORTAR  CALORIAS   Y  PROTEINAS   QUE  REQUIERE LA  PACIENTE   POR  SU  ALTO  GASTO  CALORICO      EN  SU PROCESO  DE  QUIMIOTERAPIAS.    REQUIERE    DE  MANERA  URGENTE  DEBIDO  A  QUE   ESTA  PRESENTANDO  DESCENSOS BRUSCOS  DE  HEMOGLOBINA QUE  COMPLICAN  SU  ENFERMEDAD. </t>
  </si>
  <si>
    <t xml:space="preserve">TOMAR 1  BOTELLA    DE  SUPPORTAN   DRINK    CADA  8  HORAS  POR      2  MESES  HORARIO  DE   6  AM.   2 PM.     10  PM.  TOTAL   BOTELLAS     180   UNIDADES.  </t>
  </si>
  <si>
    <t xml:space="preserve">EDAD:1 AÃO 5 MESES , PES0 :9.740 GRAMOS ,  TALLA :  78.5 CM  , C. CEF :  44,5 CM C.B: 14 CM                                                         </t>
  </si>
  <si>
    <t>SE RECOMIENDA DAR : PEDIASURE LIQUIDO 237 ML 1 DOSIS  POR VIA ORAL, CADA 24 HORAS, SON 90 BOTELLA</t>
  </si>
  <si>
    <t>PACIENTE CON MULTIPLES COMORBILIDADES EL CUAL CURSA CON ENFERMEDAD DE\nALZHEIMER DEMENCIA Y DESNUTRICION ADEMAS DE HTA  EL CUAL AHORA ESTA\nCOMPLETAMENDE DEPENDIENTE PARA REALIZAR TODAS SUS ACTIVIDADES DIARIAS\nCOTIDIANAS, EN VISTA DE LO ANTERIOR PACIENTE ESTA EXPUESTO A MULTIPLES INFECCIONES\nQUE PODRIAN PONER EN RIESGO SU VIDA ,POR TAL MOTIVO SE INDICA ENSURE ADVANCE QUE ES UN BUEN SUPLEMENTO DIETARIO PARA ESTE TIPO DE  DESNUTRICION QUE MEJORAN SU ESTADO METABOLICO Y MEJORAN LA SARCOPENIA ACTUAL.</t>
  </si>
  <si>
    <t>TOMAR  1  BOTELLA  CADA  12  HORAS  POR  6  MESES</t>
  </si>
  <si>
    <t>Fresubin 2 kcal drink</t>
  </si>
  <si>
    <t xml:space="preserve">paciente femenina de 63 aÃ±os,paraclinicos 03/12/2019: Carga  viral : &lt;40 Copias , LCD4: 1509 CÃ©lulas,Dx nutricional desnutriciÃ³n  proteico  calorica leve    riesgo de  sarcopenia,franca  deplecion de masa muscular ,circunferencia de la pantorrilla 27 cm ,inseguridad alimentaria,insuficiente ingesta proteica ,requiere  alimentaciÃ³n normocalorica hipercalorica  ,  hiperproteica,se  indica  terapia  nutricional  para  cubrir  requerimientos y evitar avance de catabolismo   </t>
  </si>
  <si>
    <t xml:space="preserve">formula  polimerica  se recomienda alimento  hiperproteico  densamente calorico botella 200 ml  cada 12 horas por 60 dÃ­as </t>
  </si>
  <si>
    <t xml:space="preserve">PACIENTE con DESNUTRICIÃN calorica proteica con un imc de 15kgm2 </t>
  </si>
  <si>
    <t>diluir 30 gramos de polvo emn 150cc de liquida tomar cada 8 horas  tambien se puede DILUIR en jugos no citricos</t>
  </si>
  <si>
    <t>â¢ DesnutriciÃ³n calÃ³rica o proteica EN PACIENTE CON ERC ESTADIOS 2,3 Y 4\n</t>
  </si>
  <si>
    <t>LO DESCRITO</t>
  </si>
  <si>
    <t>Alimento para uso especial en adulto mayor con desnutriciÃ³n moderada a severa en condiciÃ³n de hospitalizaciÃ³n y/o con reciente alta hospitalaria.</t>
  </si>
  <si>
    <t>Dieta lÃ­quida completa, hipercalÃ³rica e hipoproteica con hidratos de carbono de absorciÃ³n lenta</t>
  </si>
  <si>
    <t>ADULTO MAYOR FEMENINA DE 91 AÃOS QUE SE ENCUENTRA CON DX DE DESNUTRICION PROTEICO CALORICA MODERADA EVIDENCIADA POR PERDIDA DE PESO DE 10% EN 5 MESES, DEPLECIÃN SEVERA DE LA RESERVA GRASA Y MUSCULAR EVIDENCIADA AL EXAMEN FÃSICO EN CLAVÃCULAS, BRAZOS Y PIERNAS, ADICIONALMENTE TIENE INGESTA DE ALIMENTOS QUE CUBRE MENOS DEL 75% DE LOS REQUERIMIENTOS DIARIOS POR LO CUAL REQUIERE SOPORTE NUTRICIONAL PARA UN ADECUADO APORTE DE NUTRIENTES.</t>
  </si>
  <si>
    <t>SUMINISTRAR 1 LATA CADA 12 HRS</t>
  </si>
  <si>
    <t xml:space="preserve">paciente con secuelas  severas de trauma craneoencefalico , traquo y gastrostomia, escaras sacras , DESNUTRICIÃN proteico calorica, requere nutricion avanzada </t>
  </si>
  <si>
    <t xml:space="preserve">usar 5 botellas  al dia  pasarlas reemplazo de comidas principales </t>
  </si>
  <si>
    <t>ADULTO MAYOR FEMENINO DE 96 AÃOS QUE SE ENCUENTRA CON DX DE  PESO INSUFICIENTE DEPLECIÃN LEVE DE LA RESERVA GRASA Y MUSCULAR EVIDENCIADA AL EXAMEN FÃSICO EN CLAVÃCULAS, BRAZOS Y PIERNAS, ADICIONALMENTE TIENE INGESTA DE ALIMENTOS QUE CUBRE MENOS DEL 50% DE LOS REQUERIMIENTOS DIARIOS, REGULAR INGESTA DE ALIMENTOS DE ORIGEN PROTEICO, POR EL CUAL CONTINUA CON  SOPORTE NUTRICIONAL PARA UN ADECUADO APORTE DE NUTRIENTES</t>
  </si>
  <si>
    <t>SUMINISTRART 1 LATA CADA 12 HRS</t>
  </si>
  <si>
    <t>PACIENTE FEMENINO DE 71 AÃOS DE EDAD CON ANTECEDENTES DE ESQUIZOFRENIA- OSTEOPOROSIS CRÃNICA,  EN MALAS CONDICIONES MUSCULO-NUTRICIONALES, DELGADEZ VISIBLE, AUSENCIA DE PANICULO ADIPOSO, PALIDEZ FACIAL CON\nPOCA TOLERANCIA A LA VÃA ORAL\nPESO 40 Kg TALLA 160 CM PER-BRAQUIAL:18,3 cm  IMC 15.6 DIAGNOSTICO NUTRICIONAL DESNUTRICIÃN PROTEICO CALORICA SEVERA, EL DÃA 27 DE NOVIEMBRE DE 2019 SE GENERÃ  MIPRES EL CUAL SE DILIGENCIA NUEVAMENTE POR ORDEN DE SU EPS\n</t>
  </si>
  <si>
    <t xml:space="preserve">SUMINISTRAR DOS BOTELLA DIARIAS, UNA  A LAS 8 AM Y LA OTRA A LAS 8 PM POR VÃA ORAL, SE RECOMIENDA AGITAR ANTES DE CONSUMIR, EN UN TIEMPO DE 20 MINUTOS LENTAMEN </t>
  </si>
  <si>
    <t>PACIENTE FEMENINA CON DIAGNOSTICOS CLINICOS ANTES MENCIONADOS. SE VALORA EN EL DIA DE HOY SE OBSERVA EN CAMA, MALAS CONDICIONES GENERALES, ENCAMADA,BAJO TRATAMIENTO MEDICO EN LA UNIDAD DE CUIDADOS INTENSIVOS, BAJO VENTILACION MECANICO,ESTADO POS RREANIMACION CARDIOPULMONAR,. EN EL DIA DE HOY MEDICO EN TURNO INDICA INICIO DE SOPORTE ENTERAL TOTAL. ANTECEDENTE DE DIABETES MELLITUS. SE INDICA FORMULA NUTRICIONAL GLUCER POR 250 ML</t>
  </si>
  <si>
    <t>FORMULA NUTRICIONAL GLUCERNA POR 250 ML CADA 6 HORAS A TRAVÃS DE SONDA OROGASTRICA</t>
  </si>
  <si>
    <t>DESCCAUSAS4</t>
  </si>
  <si>
    <t>CODSERCOMP</t>
  </si>
  <si>
    <t>DESC_CODSERCOMP</t>
  </si>
  <si>
    <t>DESCSERCOMP</t>
  </si>
  <si>
    <t>TIPOTRANS</t>
  </si>
  <si>
    <t>DESC_TIPOTRANS</t>
  </si>
  <si>
    <t>REQACOM</t>
  </si>
  <si>
    <t>TIPOIDACOMALB</t>
  </si>
  <si>
    <t>DESC_TIPOIDACOMALB</t>
  </si>
  <si>
    <t>NROIDACOMALB</t>
  </si>
  <si>
    <t>PARENTACOMALB</t>
  </si>
  <si>
    <t>DESC_PARENTACOMALB</t>
  </si>
  <si>
    <t>NOMBALB</t>
  </si>
  <si>
    <t>CODMUNORIALB</t>
  </si>
  <si>
    <t>CODMUNDESALB</t>
  </si>
  <si>
    <t>PACIENTE CON DIAGNOSTICO DE INCONTINENCIA FECAL Y URINARIA QUIEN REQUIERE PAÃALES DESECHABLES PARA OPTIMIZAR CONDICIONES DE HIGIENE</t>
  </si>
  <si>
    <t>PAÑALES</t>
  </si>
  <si>
    <t>PAÃOS DESECHABLES TENA SLIP TALLA L CAMBIAR  3 VECES AL DIA #270 POR 3 MESES.</t>
  </si>
  <si>
    <t>PAÑOS DESECHABLES TENA SLIP TALLA L CAMBIAR  3 VECES AL DIA #270 POR 3 MESES.</t>
  </si>
  <si>
    <t>PAÃALES DESECHABLES TALLA L ADULTOS TENNA SLIP # 270,    CAMBIAR PAÃAL 3 VECES AL DIA POR 30 DIAS, DURANTE 90 DIAS</t>
  </si>
  <si>
    <t>PAÑALES DESECHABLES TALLA L ADULTOS TENNA SLIP # 270,    CAMBIAR PAÑAL 3 VECES AL DIA POR 30 DIAS, DURANTE 90 DIAS</t>
  </si>
  <si>
    <t xml:space="preserve">PACIENTE CON DISTROFIA MUSCULAR, IMPOSIBILIDAD DE CAMINAR Y DEGLUCIÃN, INCONTINENCIA POR LA DISTROFIA MUSCULAR. </t>
  </si>
  <si>
    <t>PAÃAES USO: 3 PAÃALES AL DIA90 PAÃALES MES PARA UN TOTAL DE 360 PARA 4 MESES</t>
  </si>
  <si>
    <t xml:space="preserve">PACIENTE CON DISTROFIA MUSCULAR, INCONTINENCIA DE ESFITERES, E IMPOSIBILIDAD PARA LA DEGLUCION. </t>
  </si>
  <si>
    <t>PAÑAES USO: 3 PAÑALES AL DIA90 PAÑALES MES PARA UN TOTAL DE 360 PARA 4 MESES</t>
  </si>
  <si>
    <t xml:space="preserve">Incontinencia urinaria y fecal </t>
  </si>
  <si>
    <t>PaÃ±ales desechables tena slip talla m colocar uno cada 8 horas tratamiento por tres meses</t>
  </si>
  <si>
    <t xml:space="preserve">INCONTINENCIA URINARIA Y FECAL </t>
  </si>
  <si>
    <t>PAÑALES DESECHABLES TENA SLIP TALLA M COLOCAR UNO CADA 8 HORAS TRATAMIENTO POR TRES MESES</t>
  </si>
  <si>
    <t>paciente con enfermedad de parkinson, postrada en cama con escaras sacras</t>
  </si>
  <si>
    <t>paÃ±ales deschables tena slip talla xl uso: 3 paÃ±ales diario por 3 meses</t>
  </si>
  <si>
    <t>paciente postrada en cama por su enfermedad de bases, quien esta al cuidado de familiares, con escara sacra</t>
  </si>
  <si>
    <t>colocar 3 veces al dia asi mismo la crema anti escara a base de oxido de zing o sulfadiazida de plata</t>
  </si>
  <si>
    <t>1-\tPAÃALES DESECHABLES TENNA SLIP TALLA L PARA 4 CAMBIOS AL DIA POR 3 MESES #360\nCAMBIAR CADA 6 HORAS 4 VECES AL DIA 120 AL MES 360 PARA LOS 3 MESES\n</t>
  </si>
  <si>
    <t>1-\tPAÑALES DESECHABLES TENNA SLIP TALLA L PARA 4 CAMBIOS AL DIA POR 3 MESES #360\nCAMBIAR CADA 6 HORAS 4 VECES AL DIA 120 AL MES 360 PARA LOS 3 MESES\n</t>
  </si>
  <si>
    <t>1-\tPAÃALES DESECHABLES TENNA SLIP TALLA M PARA 3 CAMBIOS AL DIA POR 3 MESES #270</t>
  </si>
  <si>
    <t>1-\tPAÑALES DESECHABLES TENNA SLIP TALLA M PARA 3 CAMBIOS AL DIA POR 3 MESES #270</t>
  </si>
  <si>
    <t>PAÃALES DESECHABLES TALLA M TENNA SLIP ADULTOS # 450 , CAMBIAR PAÃAL 5 VECES AL DIA, 150 PAÃALES EN 1 MES, 450 EN 3 MESES</t>
  </si>
  <si>
    <t>PAÑALES DESECHABLES TALLA M TENNA SLIP ADULTOS # 450 , CAMBIAR PAÑAL 5 VECES AL DIA, 150 PAÑALES EN 1 MES, 450 EN 3 MESES</t>
  </si>
  <si>
    <t>paciente de 48 aÃ±os con diagnostico de mielitis transversa secuelas de hemiplejia de miembros inferiores, postrada en silla de ruedas, hta, dm2.</t>
  </si>
  <si>
    <t>paÃ±al tena talla l</t>
  </si>
  <si>
    <t>paciente de 48 aÃ±os con diagnostico de mielitis transversa secuelas de hemiplejia de miembros inferiores, postrada en silla de ruedas, hta, dm2 , con desacondicionamiento de esfinteres. se solicita paÃ±ales</t>
  </si>
  <si>
    <t>evita contaminacion ambiental</t>
  </si>
  <si>
    <t>paciente de 48 aÃ±os con diagnostico de mielitis transversa secuelas de hemiplejia de miembros inferiores, postrada en silla de ruedas, hta, dm2 , con desacondic</t>
  </si>
  <si>
    <t xml:space="preserve">CHAMPÚ Y LOCIONES CAPILARES </t>
  </si>
  <si>
    <t>crema sicuida</t>
  </si>
  <si>
    <t>paciente de 48 aÃ±os con diagnostico de mielitis transversa secuelas de hemiplejia de miembros inferiores, postrada en silla de ruedas, hta, dm2 , con desacondicionamiento de esfinteres. se solicita crema anti escaras</t>
  </si>
  <si>
    <t>evitar quemaduras</t>
  </si>
  <si>
    <t xml:space="preserve">paciente de 48 aÃ±os con diagnostico de mielitis transversa secuelas de hemiplejia de miembros inferiores, postrada en silla de ruedas, hta, dm2 , </t>
  </si>
  <si>
    <t>crema unesia</t>
  </si>
  <si>
    <t>paciente de 48 aÃ±os con diagnostico de mielitis transversa secuelas de hemiplejia de miembros inferiores, postrada en silla de ruedas, hta, dm2 , con desacondicionamiento de esfinteres. hongos en las uÃ±as se solicita crema anti HONGOS</t>
  </si>
  <si>
    <t>evita daño en uñas</t>
  </si>
  <si>
    <t>pte con secuelas ECV DISCAPACITADA</t>
  </si>
  <si>
    <t>PTE CON SECUELAS ECV</t>
  </si>
  <si>
    <t>DISACAPACITADA RECLUIDA AL LECHO</t>
  </si>
  <si>
    <t>CAMBIO CADA 6 H</t>
  </si>
  <si>
    <t>PTE DE 84 AOS, ALTERACION OSTEOARTICULAR MULTIPLE TIPO OSTEOPOROSIS + FRACTURAS PATOLOGICAS LUMBARES + HERNIAS DISCOS  POLIARTROSIS HASTA LIMITANTE Y POSTRACION</t>
  </si>
  <si>
    <t xml:space="preserve">PAÃAL DESECHABLE ADULTO TALLA M </t>
  </si>
  <si>
    <t xml:space="preserve">PARA CAMBIO DE PAÑAL 3 VECES POR DIA </t>
  </si>
  <si>
    <t>paciente con idx: vejiga neurogenica, presenta escape involuntario de orina en abundante por lo que usa 4 paÃ±ales al dia</t>
  </si>
  <si>
    <t xml:space="preserve">paÃ±ales desechables tena slip talla l </t>
  </si>
  <si>
    <t>vejiga neurogenica, salida involuntaria  de orina en abundante cantidad</t>
  </si>
  <si>
    <t xml:space="preserve">4 pañales al dia durante 30 dias. </t>
  </si>
  <si>
    <t>PACIENTE FEMENINA DE 81 AÃOS DE EDAD</t>
  </si>
  <si>
    <t>PAÃALES TENA TIPO SLIP TALLA M</t>
  </si>
  <si>
    <t>PACIENTE FEMENINA DE 81 AÃOS DE EDAD , POR LO CUAL SE ORDENA PAÃALES TENA TIPO SLIP TALLA M</t>
  </si>
  <si>
    <t>PAÑALES TENA TIPO SLIP TALLA M , UTILIZAR 1 PAÑAL CADA 6 HORAS POR 3 MESES</t>
  </si>
  <si>
    <t xml:space="preserve">PACIENTE DE 91 AÃOS DE EDAD.\nANTECEDENTE DE DM - HTA    CRONICA   - EPOC - ADEMAS  OSTEOARTROSIS    GRAVE e  incontinencia   mixta  </t>
  </si>
  <si>
    <t>paÃ±ales  desechables    adulto    talla  l</t>
  </si>
  <si>
    <t>PACIENTE DE 91 AÃOS DE EDAD , RESIDENTE EN CARTAGO .\nTRAIDA POR UNA HIJA .\nREFIERE ANTECEDENTE DE DM - HTA    CRONICA   - EPOC - ADEMAS  OSTEOARTROSIS    GRAVE - INCONTINENCIA   FECAL  Y   URINARIA  .\nSOLICITA    FORMULACION  DE  PAÃALES    DESECHABLES    ADULTO   TALLA   L  , 2  CAMBIOS  AL  DIA   POR  90 DIAS   , los  cuales    requiere    por  su  condicion  actual \n</t>
  </si>
  <si>
    <t xml:space="preserve">2 cambios   al  dia  </t>
  </si>
  <si>
    <t xml:space="preserve">hemiplejÃ­a derecha que impide la deambulaciÃ³n y sedestaciÃ³n del paciente, con limitaciÃ³n importante de su independencia. </t>
  </si>
  <si>
    <t>TRANSPORTE AMBULATORIO DIFERENTE A AMBULANCIA NO PBS-UPC</t>
  </si>
  <si>
    <t>Transporte bÃ¡sico terrestre para egreso hospitalario hacia su domicilio.</t>
  </si>
  <si>
    <t>Terrestre</t>
  </si>
  <si>
    <t xml:space="preserve">Paciente con diagnÃ³stico de ACV de arteria cerebral media derecha con transformaciÃ³n hemorrÃ¡gia, presentando hemiplejÃ­a izquierda que impide la deambulaciÃ³n, presentnado oclusiÃ³n completa de arteria carotida interna izquierda, requiriendo asistencia total para su desplazamiento, se solicita entonces traslado en transporte terreste bÃ¡sico hacia domicilio. </t>
  </si>
  <si>
    <t>TRANSPORTE BÁSICO TERRESTRE PARA EGRESO HOSPITALARIO HACIA SU DOMICILIO.</t>
  </si>
  <si>
    <t>PACIENTE CON RM MODERADO, NO CONTROL DE ESFINTER, USO DIARIO DE PAÃAL, DEPENDIENTE DE CUIDADOR</t>
  </si>
  <si>
    <t xml:space="preserve">PAÃAL TENA SLIP TALLA L </t>
  </si>
  <si>
    <t>PACIENTE SIN CONTROL DE ESFINTER, SECUELAS DE RM, USUARIO DE PAÃAL</t>
  </si>
  <si>
    <t>4 CAMBIOS DE PAÑAL AL DIA</t>
  </si>
  <si>
    <t>PACIENTE ESTA OPERADA DE LA CADERA Y SE ENCUENTRA IMPOSIBILITADA PARA IR AL BAÃO POR SUS PROPIOS MEDIOS AMERITANDO EL USO DE PAÃALES 4 VECES AL DIA X 3 MESEs</t>
  </si>
  <si>
    <t>PAÃALES TALLA M CONTEN, COLOCAR 1 PAÃAL 4 VECES AL DIA POR 3 MESES.</t>
  </si>
  <si>
    <t>PACIENTE ESTA OPERADA DE LA CADERA Y SE ENCUENTRA IMPOSIBILITADA PARA IR AL BAÃO POR SUS PROPIOS MEDIOS AMERITANDO EL USO DE PAÃALES 4 VECES AL DIA X 3 MESES.</t>
  </si>
  <si>
    <t>COLOCAR 1 PAÑAL 4 VECES AL DIA POR 3 MESES.</t>
  </si>
  <si>
    <t xml:space="preserve">PACIENTE CON INCONTINENCIA URINARIA </t>
  </si>
  <si>
    <t>PAÃALES DESECHABLES TALLA L</t>
  </si>
  <si>
    <t xml:space="preserve">PACIENTE REQUIERE DE PAÃALES POR INCONTINENCIA URINARIA </t>
  </si>
  <si>
    <t xml:space="preserve">RECAMBIO CADA 8 HORAS POR 90 DIAS </t>
  </si>
  <si>
    <t>PACIENTE MASCULINO DE 61 AÃOS DE EDAD , CON INCONTINENCIA FECAL Y URINARIA</t>
  </si>
  <si>
    <t>PAÃALES TENA TIPO SLIP TALLA L</t>
  </si>
  <si>
    <t>PACIENTE MASCULINO DE 61 AÃOS DE EDAD , CON INCONTINENCIA FECAL Y URINARIA , POR LO CUAL SE SOLICITA PAÃALES TENA TIPO SLIP TALLA L</t>
  </si>
  <si>
    <t>PAÑALES TENA TIPO SLIP TALLA L , UTILIZAR 1 PAÑAL CADA 8 HORAS POR 3 MESES</t>
  </si>
  <si>
    <t>paciente con demencia alzheimer sin CONTROL de ESFÃNTERES</t>
  </si>
  <si>
    <t>talla M</t>
  </si>
  <si>
    <t>demencia  alzheimer sin control de esfinteres</t>
  </si>
  <si>
    <t>cambiar un pañal cada 8 horas, tratamiento por tres mese</t>
  </si>
  <si>
    <t>vitiligo generalizado que requiere fotoproteccion continua</t>
  </si>
  <si>
    <t>BLOQUEADORES SOLARES</t>
  </si>
  <si>
    <t xml:space="preserve">sun aid gel </t>
  </si>
  <si>
    <t>VITILIGO GENERALiZADO QUE REQUIERE FOTOPROTECCION CONTINUA</t>
  </si>
  <si>
    <t xml:space="preserve">aplciar todos los dias en areas expuestas 7 am, 11 am y 3 pm </t>
  </si>
  <si>
    <t>fx de cadera e incontinencia urinaria</t>
  </si>
  <si>
    <t>talla  l</t>
  </si>
  <si>
    <t>postrado en cama por fx de cadera con incontinencia urinaria</t>
  </si>
  <si>
    <t>cambiar un pañal cada 8 hora, para seis meses</t>
  </si>
  <si>
    <t>PACIENTE FEMENINA DE 83 AÃOS DE EDAD CON INCONTINENCIA FECAL Y URINARIA</t>
  </si>
  <si>
    <t>PAÃALES DESECHABLES TENA TIPO SLIP TALLA L</t>
  </si>
  <si>
    <t>PACIENTE FEMENINA DE 83 AÃOS  DE EDAD CON INCONTINENCIA FECAL Y URINARIA  , POR LO CUAL SE ORDENA PAÃALES TENA TIPO SLIP TALLA L</t>
  </si>
  <si>
    <t xml:space="preserve">Paciente con demencia por enfermedad de alzheimer imposibilidad para deambular, desorientada e INVERSIÃN del ciclo SUEÃO vigilia no controla esfinteres. </t>
  </si>
  <si>
    <t xml:space="preserve">uso: 2 PAÃALES diarios por 2 meses </t>
  </si>
  <si>
    <t xml:space="preserve">PACIENTE CON DEMENCIA POR ENFERMEDAD DE ALZHEIMER IMPOSIBILIDAD PARA DEAMBULAR, DESORIENTADA E INVERSIÃN DEL CICLO SUEÃO VIGILIA NO CONTROLA ESFINTERES. </t>
  </si>
  <si>
    <t xml:space="preserve">USO: 2 PAÑALES DIARIOS POR 2 MESES </t>
  </si>
  <si>
    <t xml:space="preserve">PACIENTE MASCULINO DE 58 AÃOS DE EDAD con incontinencia fecal y urinaria </t>
  </si>
  <si>
    <t>paÃ±ales tena tipo slip talla m</t>
  </si>
  <si>
    <t>PACIENTE MASCULINO DE 58 AÃOS DE EDAD CON INCONTINENCIA FECAL Y URINARIA  , por lo cual se ordena PAÃALES TENA TIPO SLIP TALLA M</t>
  </si>
  <si>
    <t>PAÑALES TENA TIPO SLIP TALLA M , utilizar 1 pañal cada 8 horas por 3 horas</t>
  </si>
  <si>
    <t>PACIENTE DE 69 AÃOS DE EDAD CON MULTIPLES COMORBILIDADES, CON  PRESENCIA DE INCONTINENCIA URINARIA POR LO QUE REQUIERE USO DE PAÃAL DIARIAMENTE</t>
  </si>
  <si>
    <t xml:space="preserve">CAMBIAR 3 VECES AL DIA </t>
  </si>
  <si>
    <t>PACIENTE CON INCONTINENCIA DE ESFINTERES</t>
  </si>
  <si>
    <t>PAÃALES DESECHABLES ADULTOS MAXIMA ABSORCION TALLA  L</t>
  </si>
  <si>
    <t>PACIENTE CON INCONTINENCIA DE ESFINTERES REQUIERE USO DE PAÃALES DESECHABLES DIARIOS PARA MANEJO DE SU PATOLOGIA Y MEJORAR CALIDAD DE VIDA</t>
  </si>
  <si>
    <t>USAR 3 PAÑALES DESECHABLES ADULTOS MAXIMA ABSORCION TALLA  L DIARIOS POR 90 DIAS</t>
  </si>
  <si>
    <t>px con  secuelas severas  de trauma craneoencefalico severo, encamado,  traqueostomia y gastrostomia, escaras sacras y trocantericas , no control de esfinteres</t>
  </si>
  <si>
    <t xml:space="preserve">paÃ±ales desechables tena  talla  m   </t>
  </si>
  <si>
    <t xml:space="preserve">px con secuelas severas  de  trauma craneoencefalico, encamado, traqueostomia gastrostomia , escaras sacras trocantericas, no control de esfinteres </t>
  </si>
  <si>
    <t xml:space="preserve">usar  un pañal tres veces dia </t>
  </si>
  <si>
    <t>paciente  de 71 aÃ±os con antecedentes de accidente CEREBRO VASCULAR, fractura de cadera izquierda. con DES ACONDICIONAMIENTO de esfinteres</t>
  </si>
  <si>
    <t>paÃ±al talla m tena</t>
  </si>
  <si>
    <t xml:space="preserve">paciente 71 aÃ±os con antecedentes de accidente cerebrovascular, fractura de cadera izquierda. desacondicionamiento de esfinteres por secuelas de PATOLOGÃA, se solicita paÃ±al </t>
  </si>
  <si>
    <t>evita CONTAMINACIÓN ambiental</t>
  </si>
  <si>
    <t xml:space="preserve">paciente 71 aÃ±os con antecedentes de accidente cerebrovascular, fractura de cadera izquierda. desacondicionamiento de esfinteres por secuelas de PATOLOGÃA, </t>
  </si>
  <si>
    <t>paciente 71 aÃ±os con antecedentes de accidente cerebrovascular, fractura de cadera izquierda. desacondicionamiento de esfinteres por secuelas de PATOLOGÃA, se solicita crema antiescaras</t>
  </si>
  <si>
    <t>evitando QUEMADURAS y escras</t>
  </si>
  <si>
    <t>paciente de 83 aÃ±os con diagnostico acv hemorragico, emergencia hipertensiva con afectaciÃ³n en Ã³rgano blanco cerebro, infecciÃ³n urinarias con desacondicionamien</t>
  </si>
  <si>
    <t>paÃ±al tena talla m</t>
  </si>
  <si>
    <t>paciente de 83 aÃ±os con diagnostico acv hemorragico, emergencia hipertensiva con afectaciÃ³n en Ã³rgano blanco cerebro, infecciÃ³n urinaria por germen blee, hipokalemia, anemia moderada, sÃ­ndrome postraccional, postrado en cama, con desacondiicionamiento de esfinteres se solicita paÃ±ales</t>
  </si>
  <si>
    <t>paciente de 83 aÃ±os con diagnostico acv hemorragico, emergencia hipertensiva con afectaciÃ³n en Ã³rgano blanco cerebro, infecciÃ³n urinaria por germen blee, hipoka</t>
  </si>
  <si>
    <t>paciente de 83 aÃ±os con diagnostico acv hemorragico, emergencia hipertensiva con afectaciÃ³n en Ã³rgano blanco cerebro, infecciÃ³n urinaria por germen blee, hipokalemia, anemia moderada, sÃ­ndrome postracional, postrado en cama, con desacondicionamiento de esfinteres se solicita paÃ±ales</t>
  </si>
  <si>
    <t>evita quemaduras y escaras</t>
  </si>
  <si>
    <t>PACIENTE CON SECUELAS DE PARALISIS CEREBRAL INFANTIL QUIEN REQUIERE USO DE PAÃAL DESECHABLE</t>
  </si>
  <si>
    <t>PAÃALES TENA TALLA S</t>
  </si>
  <si>
    <t>PACIENTE CON PARALISIS CEREBRAL INFANTIL QUIEN REQUIERE USO DE PAÃAL DESECHABLE</t>
  </si>
  <si>
    <t xml:space="preserve">PAÑALES TENA TALLA S. REALIZAR CAMBIO DE PAÑAL CADA 6 HORAS </t>
  </si>
  <si>
    <t xml:space="preserve">hinpertension esencial primaria e incontinencia urinaria </t>
  </si>
  <si>
    <t>uno de paÃ±ales desechables talla l</t>
  </si>
  <si>
    <t xml:space="preserve">paciente con hinpertension primaria e incontinencia urinaria lo cual requiere uso de paÃ±ales desechables talla l . 1 cada 8 horas diario por un mes </t>
  </si>
  <si>
    <t xml:space="preserve">uso de pañales desechables talla l .1 cada 8 horas al DÍA . durante 1 mes </t>
  </si>
  <si>
    <t>INCONTINENCIA URINARAIA, ENFEREDAD DE ALZHEIMER</t>
  </si>
  <si>
    <t>1 PAÃAL TENA TALLA M CADA 6 HORAS POR 90 DIAS TOTAL 360 PAÃALES</t>
  </si>
  <si>
    <t>INCONTINENECIA URIANARIA, ENFERMEDAD DE ALZHEIMER</t>
  </si>
  <si>
    <t>1 PAÑAL TENA TALLA M CADA 6 HORAS POR 90 DIAS TOTAL 360 PAÑALES</t>
  </si>
  <si>
    <t>PACIENTE CON DX DE DEMENCIA + INCONTINECIA URINARIA  Y  FECAL .  CON LIMITACION FUNCIONAl.</t>
  </si>
  <si>
    <t>para adulto talla m cambio 3 veces por dia</t>
  </si>
  <si>
    <t>PACIENTE CON DX DE DEMENCIA + INCONTINECIA URINARIA  Y  FECAL .  CON LIMITACION FUNCIONAL . SE SOLICITAN PAÃALES DESCHABLES PARA ADULTO TALLA M PARA CAMBIO 3 VECES POR DIA POR 3 MESES. se realiza nueva solicitud debido a que la aplicacion presenta inconvenientes tecnicos que no permiten visualizar la talal del paÃ±al en el item descripcion del servicio complementario</t>
  </si>
  <si>
    <t>pañales desechables para adulto talla m cambio 3 veces por dia. se coloca talla de pañal en este item por inconvenientes tecnicos</t>
  </si>
  <si>
    <t>ACIENTE CON DX DE DEMENCIA + INCONTINECIA URINARIA  Y  FECAL .  CON LIMITACION FUNCIONAL</t>
  </si>
  <si>
    <t>paÃ±ales desechables pata adulto talla m</t>
  </si>
  <si>
    <t>ACIENTE CON DX DE DEMENCIA + INCONTINECIA URINARIA  Y  FECAL .  CON LIMITACION FUNCIONAL . SE SOLICITAN PAÃALES DESCHABLES PARA ADULTO TALLA M PARA CAMBIO 3 VECES POR DIA POR 3 MESES</t>
  </si>
  <si>
    <t>PAÑALES DESECHABLES PATA ADULTO TALLA M cambio 3 veces por dia</t>
  </si>
  <si>
    <t>paciente de 87 aÃ±os con antecedentes de radiculopatia, lumbago, hta, aneurisma abdominal, desacondicionamiento de esfinteres</t>
  </si>
  <si>
    <t xml:space="preserve">paciente de 87 aÃ±os con antecedentes de radiculopatia, lumbago, hta, aneurisma abdominal, con desacondicionamiento de esfinteres. se solicita paÃ±ales </t>
  </si>
  <si>
    <t>evita CONTAMINACIÓN AMBIENTAL</t>
  </si>
  <si>
    <t>paciente femenina de 87 aÃ±os   con antecedente de hiperteNSIÃN  ARTERIAL ENFERMEDAD DE PARKINSON  CON ARTROSIS  DEGENERATIVA  EN MIEMBRO INFERIOR , INCONTINENTE</t>
  </si>
  <si>
    <t>PAÃALES DESECHABLES  TALLA  M    1 PAÃAL DESECHABLE CADA 8 HORAS    QUE CORRESPONDE A 90  PAÃALES EN 1 MES   Y 270 PAÃALES PARA 3 MESES</t>
  </si>
  <si>
    <t>MEJORAR  LA CALIDAD DE VIDA DE   LOS PACIENTE EVITANDO LAS  LESIONES CUTANEA  FORMACIÃN  DE  ULCERAS  SOBRE INFECION  POR EL CONTACTO CON LA HUMEDAD   DE LA ORINA  DE  PERSONAS INCONTINENTES   LA HIGIENE PERSONAL  Y LA SALUD SON DOS FACTORES  NECESARIOS  PARA CONTRIBUIR  A UNA EXCELENTE CALIDAD DE VIDA</t>
  </si>
  <si>
    <t>PAÑALES DESECHABLES  TALLA  M    1 PAÑAL DESECHABLE CADA 8 HORAS    QUE CORRESPONDE A 90  PAÑALES EN 1 MES   Y 270 PAÑALES PARA 3 MESES</t>
  </si>
  <si>
    <t xml:space="preserve">PACIENTE MASCULINO  DE    20 AÃOS CON   ANTECEDENTE DE  PARALISIS CEREBRAL POR HIPOXIA NEONATAL CONVULSIONANTE   CON  MULTIPLES MALFORMACIONES CONGENITAS </t>
  </si>
  <si>
    <t>PAÃALES DESECHABLES  TALLA  S    1 PAÃAL DESECHABLE TALLA  S CADA 6 HORAS    QUE CORRESPONDE A  120 PAÃALES EN 1 MES   Y 360 PAÃALES PARA 3 MESES</t>
  </si>
  <si>
    <t xml:space="preserve">MEJORAR  LA CALIDAD DE VIDA DEL PACIENTE  EVITANDO   LAS LESIONES CUTANEA   FORMACION DE ULCERAS  SOBRE INFECCION  POR EL CONTACTO CON LA HUMEDAD  DE INCONTINENTES .LA HIGIENE PERSONAL Y  LA  SALUD SON DOS FACTORES NECESARIOS PARA CONTRIBUIR A UNA EXCELENTE CALIDAD DE  VIDA </t>
  </si>
  <si>
    <t>PAÑALES DESECHABLES  TALLA  S    1 PAÑAL DESECHABLE TALLA   S   CADA 6 HORAS    QUE CORRESPONDE A  120 PAÑALES EN 1 MES   Y 360 PAÑALES PARA 3 MESES</t>
  </si>
  <si>
    <t>24.\tPAÃALES DESECHABLES TENNA SLIP TALLA L PARA 3 CAMBIOS AL DIA POR 3 MESES #270</t>
  </si>
  <si>
    <t>24.\tPAÑALES DESECHABLES TENNA SLIP TALLA L PARA 3 CAMBIOS AL DIA POR 3 MESES #270</t>
  </si>
  <si>
    <t>â¢\tPAÃALES DESECHABLES TALLA L ADULTOS TENA SLIP # 360 PAÃALES POR 90 DIAS, CAMBIAR PAÃAL 4 VECES AL DIA POR 90 DIAS,120 POR 1 MES, 360 PRO 3 MESES</t>
  </si>
  <si>
    <t>•\tPAÑALES DESECHABLES TALLA L ADULTOS TENA SLIP # 360 PAÑALES POR 90 DIAS, CAMBIAR PAÑAL 4 VECES AL DIA POR 90 DIAS,120 POR 1 MES, 360 PRO 3 MESES</t>
  </si>
  <si>
    <t xml:space="preserve">1.\tPAÃALES DESECHABLES TALLA L TENNA SLIP ADULTO PARA 3 MESES # 270 CAMBIAR CADA 8  HORAS </t>
  </si>
  <si>
    <t xml:space="preserve">1.\tPAÑALES DESECHABLES TALLA L TENNA SLIP ADULTO PARA 3 MESES # 270 CAMBIAR CADA 8  HORAS </t>
  </si>
  <si>
    <t>PAÃALES DESECHABLES PARA ADULTOS TALLA L TENNA SLIP #270, CAMBIAR PAÃAL 3 VECES AL DIA, 90 PAÃALES AL MES, 270 PAÃALES EN 3 MESES</t>
  </si>
  <si>
    <t>PAÑALES DESECHABLES PARA ADULTOS TALLA L TENNA SLIP #270, CAMBIAR PAÑAL 3 VECES AL DIA, 90 PAÑALES AL MES, 270 PAÑALES EN 3 MESES</t>
  </si>
  <si>
    <t>?\tPAÃALES DESECHABLES TALLA M TENA SLIP  , ADULTOS, PARA 3 MESES # 270\nCAMBIAR CADA 8  HORAS \n</t>
  </si>
  <si>
    <t>?\tPAÑALES DESECHABLES TALLA M TENA SLIP  , ADULTOS, PARA 3 MESES # 270\nCAMBIAR CADA 8  HORAS \n</t>
  </si>
  <si>
    <t>PAÃALES DESECHABLES ADULTOS TALLA L , 1 CDA 6 HORAS POR 3 MESES #360\nCAMBIAR CADA 6 HORAS 4 VECES AL DIA 120 AL MES 360 PARA LOS 3 MESES\n</t>
  </si>
  <si>
    <t>PAÑALES DESECHABLES ADULTOS TALLA L , 1 CDA 6 HORAS POR 3 MESES #360\nCAMBIAR CADA 6 HORAS 4 VECES AL DIA 120 AL MES 360 PARA LOS 3 MESES\n</t>
  </si>
  <si>
    <t>1-\tPAÃALES DESECHABLES TALLA M ADULTOS TENA SLIP PARA 3 MESES# 270, \nCAMBIAR PAÃAL CADA 8 HORAS  3 VECES AL DIA 90 AL MES 270 , DURANTE 90 DIAS\n</t>
  </si>
  <si>
    <t>1-\tPAÑALES DESECHABLES TALLA M ADULTOS TENA SLIP PARA 3 MESES# 270, \nCAMBIAR PAÑAL CADA 8 HORAS  3 VECES AL DIA 90 AL MES 270 , DURANTE 90 DIAS\n</t>
  </si>
  <si>
    <t>â¢\tPAÃALES DESECHABLES TENNA  SLIP TALLA L PARA 3 CAMBIOS AL DÃA POR 3 MESES #270</t>
  </si>
  <si>
    <t>•\tPAÑALES DESECHABLES TENNA  SLIP TALLA L PARA 3 CAMBIOS AL DÍA POR 3 MESES #270</t>
  </si>
  <si>
    <t>1-\tPAÃALES DESECHABLES TALLA L ADULTOS TENA SLIP # 360 PAÃALES POR 90 DIAS, CAMBIAR PAÃAL 4 VECES AL DIA POR 90 DIAS,120 POR 1 MES, 360 PRO 3 MESES</t>
  </si>
  <si>
    <t>1-\tPAÑALES DESECHABLES TALLA L ADULTOS TENA SLIP # 360 PAÑALES POR 90 DIAS, CAMBIAR PAÑAL 4 VECES AL DIA POR 90 DIAS,120 POR 1 MES, 360 PRO 3 MESES</t>
  </si>
  <si>
    <t>PAÃALES DESECHABLES TALLA L ADULTOS TENA SLIP # 270, CAMBIAR PAÃAL 3 VECES AL DIA POR 30 DIAS, DURANTE 90 DIAS</t>
  </si>
  <si>
    <t>PAÑALES DESECHABLES TALLA L ADULTOS TENA SLIP # 270, CAMBIAR PAÑAL 3 VECES AL DIA POR 30 DIAS, DURANTE 90 DIAS</t>
  </si>
  <si>
    <t>PAÃALES DESECHABLES CONTET TALLA M PARA 3 CAMBIOS AL DIA POR 3 MESES #270\nCAMBIAR CADA 8 HORAS 3 VECES AL DIA 90 AL MES 270 PARA LOS 3 MESES\n</t>
  </si>
  <si>
    <t>PAÑALES DESECHABLES CONTET TALLA M PARA 3 CAMBIOS AL DIA POR 3 MESES #270\nCAMBIAR CADA 8 HORAS 3 VECES AL DIA 90 AL MES 270 PARA LOS 3 MESES\n</t>
  </si>
  <si>
    <t>PACIENTE MASCULINO DE 28 AÃOS DE EDAD  , con incontinencia fecal y urinaria</t>
  </si>
  <si>
    <t xml:space="preserve">PACIENTE MASCULINO DE 28 AÃOS DE EDAD  , CON INCONTINENCIA FECAL Y URINARIA ,por lo cual se ordena PAÃALES TENA TIPO SLIP TALLA M </t>
  </si>
  <si>
    <t>PAÑALES TENA TIPO SLIP TALLA M , utilizar 1 pañal cada 6 horas por 3 meses</t>
  </si>
  <si>
    <t xml:space="preserve">INCONTINENCIA URINARIA </t>
  </si>
  <si>
    <t>PAÃALES DESECHABLES TALLA M USO : 1 PAÃAL CADA 8 HORAS POR 6 MESES</t>
  </si>
  <si>
    <t xml:space="preserve">INCONTINENCIA URINARIA , ENFERMEDAD DE ALZHEIMER </t>
  </si>
  <si>
    <t>PAÑALES DESECHABLES TALLA M USO : 1 PAÑAL CADA 8 HORAS POR 6 MESES</t>
  </si>
  <si>
    <t>PACIENTE CON DETERIORO COGNITIVO, ALTERACIONES EN EL COMPORTAMIENTO, ABANDONO DE HABITOS HIGIENICOS INCONTINENCIA URINARIA Y FECAL</t>
  </si>
  <si>
    <t>paÃ±ales tipo tena talla m</t>
  </si>
  <si>
    <t>PACIENTE CON LIMITACIONES COGNITIVAS PARA LA REALIZACIÃN DE SUS ACTIVIDADES BASICAS DE AUTO CUIDADO PROPIO DE SU PATOLOGÃA DE BASE, NO CONTROLA ESFINTER ANAL NI URINARIO REQUIERE ASISTENCIA DIRECTA DE UN CUIDADOR</t>
  </si>
  <si>
    <t>USO DE PAÑALES TENA TALLA M DOS VECES POR DÍA PARA MEJORAR HIGIENE Y EVITAR LACERACIONES EN PIEL</t>
  </si>
  <si>
    <t xml:space="preserve">PACIENTE CON INCONTINENCIA URINARIA Y FECAL + SECUELAS DE ENFEREMDAD CEREBROVASCULAR, LIMITACION FUNCIONAL. REQUIERE PAÃALES DESECHABLES PARA ADULTO </t>
  </si>
  <si>
    <t>paÃ±ales desechables para adulto talla l, para cambio 3 veces por dia</t>
  </si>
  <si>
    <t>PACIENTE CON INCONTINENCIA URINARIA Y FECAL + SECUELAS DE ENFEREMDAD CEREBROVASCULAR, LIMITACION FUNCIONAL. REQUIERE PAÃALES DESECHABLES PARA ADULTO TALLA L PARA CAMBIO 3 VECES POR DIA</t>
  </si>
  <si>
    <t>cambio 3 veces por dia</t>
  </si>
  <si>
    <t>PACIENTECONIDX\nSECUELASDEACVHEMORRAGICA\nANTDEFRACTURADERODILLAIZQUIERDA\nPACIENTECONESCALADEBARTHEL DE20 PUNTOS, KARNOSFKYDEL 15%POSTRADO EN CAMA</t>
  </si>
  <si>
    <t xml:space="preserve">USO DE PAÃALES 3 VECES AL DIA </t>
  </si>
  <si>
    <t>PACIENTECONIDX\nSECUELASDEACVHEMORRAGICA\nANTDEFRACTURADERODILLAIZQUIERDA\nPACIENTECONESCALADEBARTHEL DE20 PUNTOS, KARNOSFKYDEL 15% , POSTRADO EN CAMA</t>
  </si>
  <si>
    <t>USO DE PAÑALES 3 VECES AL DIA CON PEVIA HIDRTAACION DE PIEL</t>
  </si>
  <si>
    <t>SERVICIO DE AMBULANCIA PARA CITA CONTROL POR MEDICINA INTERNA Y ORTOPEDIA</t>
  </si>
  <si>
    <t>SERVICIO DE AMBULANCIA TERRESTRE PARA CITA POR MEDICINA INTERNA Y ORTOPEDIA</t>
  </si>
  <si>
    <t>PACIENTECONIDX\nSECUELASDEACVHEMORRAGICA\nANTDEFRACTURADERODILLAIZQUIERDA\nPACIENTECONESCALADEBARTHEL DE20 PUNTOS, KARNOSFKYDEL 15%POSTRADOENCAMA, SE\nCONSIDERASOLICITARVALORACIONPOR MEDICINAINTERNA,ORTOPEDIA, FONOAUDIOLOGIA, TERAPIA\nFISICA,CONSIDERARSOLICITARHOMECARE</t>
  </si>
  <si>
    <t>PACIENTE POSTRADO EN CAMA CON CITAS POR MEDICINA INTERNA Y ORTOPEDIA</t>
  </si>
  <si>
    <t>Paciente masculino de 75 aÃ±os de edad con incontinencia urinaria y fecal</t>
  </si>
  <si>
    <t xml:space="preserve">PaÃ±ales talla L </t>
  </si>
  <si>
    <t xml:space="preserve">Paciente masculino de 75 aÃ±os de eDad con enfermedad cerebrovascular isquemica secuelar, cursando con incontinencia urinaria y fecal por lo que se solicitan paÃ±ales desechables como Medidas antiescara y proteccion. </t>
  </si>
  <si>
    <t xml:space="preserve">Se explican Recomendaciones y reacciones adversaS </t>
  </si>
  <si>
    <t>- INCONTINENCIA URINARIA Y FECAL</t>
  </si>
  <si>
    <t>deterioro del estado cognitivo hemiparesia derecha, lo anterior se acompaÃ±a de fractura de cadera izquierda INCONTINENCIA URINARIA Y FECAL</t>
  </si>
  <si>
    <t>INCONTINENCIA URINARIA Y FECAL</t>
  </si>
  <si>
    <t xml:space="preserve">CAMBIO DE PAÑALES DESECHABLES 1 CADA 8 HORAS POR RAZONES NECESARIAS #    90 PARA UN MES # 270 PARA 3 MESES. </t>
  </si>
  <si>
    <t>paciente femenina de 82 aÃ±os con  antecedentes  de  enfermedad cerebro vascular   secular  hipertensiÃ³n paciente   incontinente con   limitaciÃ³n a la marcha</t>
  </si>
  <si>
    <t xml:space="preserve">paÃ±ales desechables talla  m  un paÃ±al desechable  talla  m   cada 8 horas que corresponde   a    90 paÃ±ales para 1 mes  y 270 paÃ±ales para 3 meses </t>
  </si>
  <si>
    <t>mejorar  la calidad de vida del paciente  evitando la formacion de lesiones cutanea  ulceras   sobreinfeccion por el contanco con la humedad de la orina  en personas incontinentes   la    higiene y la  salud  son factores importantes para una excelente calidad de vida</t>
  </si>
  <si>
    <t xml:space="preserve">PAÑALES DESECHABLES TALLA  M  UN PAÑAL DESECHABLE  TALLA  M   CADA 8 HORAS QUE CORRESPONDE   A    90 PAÑALES PARA 1 MES  Y 270 PAÑALES PARA 3 MESES </t>
  </si>
  <si>
    <t>1-\tPAÃALES DESECHABLES TALLA L ADULTOS TENA SLIP # 180 , CAMBIAR PAÃAL 2 VECES AL DIA, 60 PAÃALES EN 1 MES, 180 EN 3 MESES</t>
  </si>
  <si>
    <t>1-\tPAÑALES DESECHABLES TALLA L ADULTOS TENA SLIP # 180 , CAMBIAR PAÑAL 2 VECES AL DIA, 60 PAÑALES EN 1 MES, 180 EN 3 MESES</t>
  </si>
  <si>
    <t>PAÃALES DESECHABLES TALLA M ADULTOS TENA SLIP # 270, CAMBIAR PAÃAL 3 VECES AL DIA POR 30 DIAS, DURANTE 90 DIAS</t>
  </si>
  <si>
    <t>PAÑALES DESECHABLES TALLA M ADULTOS TENA SLIP # 270, CAMBIAR PAÑAL 3 VECES AL DIA POR 30 DIAS, DURANTE 90 DIAS</t>
  </si>
  <si>
    <t xml:space="preserve">paciente de 87 aÃ±os con antecedentes de radiculopatia, lumbago, hta, aneurisma abdominal, con desacondicionamiento de esfinteres. </t>
  </si>
  <si>
    <t>paciente de 87 aÃ±os con antecedentes de radiculopatia, lumbago, hta, aneurisma abdominal, con desacondicionamiento de esfinteres. se solicita crema antiescaras</t>
  </si>
  <si>
    <t>evitar quemaduras y escaras</t>
  </si>
  <si>
    <t>paciente con incontinencia urinaria, requiere uso de paÃ±ales tena para prevenir dermatitis por paÃ±al y disminuir la morbimortalidad por infeccion</t>
  </si>
  <si>
    <t xml:space="preserve">paÃ±ales tena  talla m </t>
  </si>
  <si>
    <t>paÃ±ales tena talla m</t>
  </si>
  <si>
    <t>1 cada 8 horas</t>
  </si>
  <si>
    <t xml:space="preserve"> \tPACIENTE CON ANTECEDENTES DE SECUELAS NEUROLOGICAS SECUNDARIO A ANEURISMA ARTERIOVENOSA EN FOSA POSTERIOR, VIENE A CONSULTA CON PARACLINICOS DE PARCIAL DE ORI</t>
  </si>
  <si>
    <t xml:space="preserve">1 PAÃAL DESECHABLE TALLA M CADA 8 HORAS POR 90 DIAS </t>
  </si>
  <si>
    <t xml:space="preserve"> \tPACIENTE CON ANTECEDENTES DE SECUELAS NEUROLOGICAS SECUNDARIO A ANEURISMA ARTERIOVENOSA EN FOSA POSTERIOR, VIENE A CONSULTA CON PARACLINICOS DE PARCIAL DE ORINA PATOLOGICO, HEMOGRAMA HB 9.1 CON VOLUMNES NORMALES, SE DECIDE DAR TRATAMIENTO POR IVU Y SE ORDENA VISITA POR MEDICO GENERAL DOMICILIARIA 1 VEZ AL MES POR 6 MESES, ADEMAS PACIENTE SIN CONTROL DE ESFINTER POR LO QUE SE ORDENAN PAÃALES DESECHABLES TALLA M 1 PAÃAL CADA 8 HORAS POR 90 DIAS, CONTINUAR MANEJO MEDICO, CONTROL 3 MESES </t>
  </si>
  <si>
    <t xml:space="preserve">1 PAÑAL DESECHABLE TALLA M CADA 8 HORAS POR 90 DIAS </t>
  </si>
  <si>
    <t>PACIENTE DE 85 AÃOS DE EDAD CON SECUELAS DE ENFERMEDAD CEREBRO VASCULAR ISQUEMIA , CON HEMIPLEJIA , SIN CONTROL DE ESFINTERES .</t>
  </si>
  <si>
    <t xml:space="preserve">PAÃALES PARA INCONTINENCIA TENA SLIP TIPO TANGA TALLA L CADA 8 HORAS 90 U POR MES 270 U PARA 3 MESES </t>
  </si>
  <si>
    <t xml:space="preserve">PACIENTE CON SECUELAS DE ACCIDENTE CEREBRO VASCULAR , CON HEMIPLEJIA , SIN CONTROL DE ESFINTERES QUE REQUIERE LA UTILIZACIÃN DE PAÃAL DESECHABLE PERMANENTE . </t>
  </si>
  <si>
    <t xml:space="preserve">SE INDICA EL USO DE PAÑALES PARA INCONTINENCIA TENA SLIP TIPO TANGA TALLA L CADA 8 HORAS 90 U POR MES 270 U PARA 3 MESES </t>
  </si>
  <si>
    <t xml:space="preserve">PACIENTE CON PRESENCIA DE DEMENCIA POR ALZHAIMER , SIN CONTROL DE ESFINTERES QUE REQUIERE LA UTILIZACIÃN DE PAÃALES DESECHABLES PERMANENTES . </t>
  </si>
  <si>
    <t xml:space="preserve">PAÃALES PARA INCONTINENCIA TENA SLIP TIPO TANGA TALLA L CADA 8 HORAS 90 U POR MES 270 U PARA 3 MESES . </t>
  </si>
  <si>
    <t xml:space="preserve">PACIENTE CON PRESENCIA DE DEMENCIA POR ALZHAIMER SIN CONTROL DE ESFINTERES QUE REQUIERE UTILIZACIÃN DE PAÃAL PERMANENTE . </t>
  </si>
  <si>
    <t>SE INDICA EL USO DE PAÑAL DESECHABLE TENA SLIP TIPO TANGA TALLA L CADA 8 HORAS 90 U POR MES 270 U PARA 3 MESES .</t>
  </si>
  <si>
    <t>paÃ±ales</t>
  </si>
  <si>
    <t xml:space="preserve">paÃ±os desechables talla m </t>
  </si>
  <si>
    <t>paÃ±os desechables talla m para mejorar calidad de vida</t>
  </si>
  <si>
    <t>paños desechablles talla m cambiar cada 8 horas</t>
  </si>
  <si>
    <t xml:space="preserve">PACIENTE QUE SUFRIÃ HERIDA POR ARMA DE FUEGO A NIVEL CERVICAL PARA RESULTADOS DE CUADRIPAREXIA, ACTUALMENTE DEPENDIENTE DE TERCERO PARA SUS NECESIDADES BÃSICAS </t>
  </si>
  <si>
    <t xml:space="preserve">PAÃALES DESECHABLES TALLA L </t>
  </si>
  <si>
    <t xml:space="preserve">PAÑALES DESECHABLE TALLE L . USO: 3 PAÑALES DIARIOS POR TRES MESES </t>
  </si>
  <si>
    <t>RECAMBIO CADA 8 HORAS POR 90 DIAS PAÑALES DESECHABLES TALLA L</t>
  </si>
  <si>
    <t>PAÃALES DESECHABLES TALLA M</t>
  </si>
  <si>
    <t>RECAMBIO CADA 8 HORAS POR 90 DIAS PAÑALES DESECHABLES TALLA M</t>
  </si>
  <si>
    <t>PCTE CON ECV ISQUEMICO + INCONTINENCIA URINARIA + ENF ARTREIAL PERIFERICA, PCTE VIENE A CONTROL, EN SILLA DE RUEDAS PERMANATE , ESCALA DE BARTHEL 1</t>
  </si>
  <si>
    <t>paÃ±ales talla l tena slip adultos</t>
  </si>
  <si>
    <t xml:space="preserve">PAÑALES TALLA L TENA SLIP ADULTOS: cambiar cada 8 horas </t>
  </si>
  <si>
    <t>PACIENTE CON ENEFEMEDAD DE HIRSPRUG, CON INCONTINENCIA FECAL, NO CONTROLA ESFINTER ANAL, REQUEIRE PAÃALES DESECHABLES TALLA S</t>
  </si>
  <si>
    <t>PACIENTE CON ENEFEMEDAD DE HIRSPRUG, CON INCONTINENCIA FECAL, NO CONTROLA ESFINTER ANAL, REQUEIRE PAÑALES DESECHABLES TALLA S</t>
  </si>
  <si>
    <t>PACIENTE EN LA OCTAVA DECADA DE LA VIDA CON AP DE INCONTINENCIA URINARIA con necesidad de uso de paÃ±al diario ademas cambios comportamentales en estudio</t>
  </si>
  <si>
    <t xml:space="preserve">paÃ±ales tena slip talla m </t>
  </si>
  <si>
    <t xml:space="preserve">PACIENTE EN LA OCTAVA DECADA DE LA VIDA CON AP DE INCONTINENCIA URINARIA CON NECESIDAD DE USO DE PAÃAL DIARIO ADEMAS CAMBIOS COMPORTAMENTALES EN ESTUDIO. </t>
  </si>
  <si>
    <t xml:space="preserve">para uso diario, cambio 3 veces al DÍA </t>
  </si>
  <si>
    <t>paciente con cuadriparesia espastica con incontinencia de esfinteres con alto riesgo de infeccion local y sistemica</t>
  </si>
  <si>
    <t>etapa 4</t>
  </si>
  <si>
    <t>PACIENTE CON CUADRIPARESIA ESPASTICA CON INCONTINENCIA DE ESFINTERES CON ALTO RIESGO DE INFECCION LOCAL Y SISTEMICA</t>
  </si>
  <si>
    <t>pañales etapa 4 colocar 1 cada 6 horas x 2 meses</t>
  </si>
  <si>
    <t xml:space="preserve">PACIENTE CON DOLOR DE CADERA </t>
  </si>
  <si>
    <t>ZAPATOS Y PLANTILLAS ORTOPÉDICAS</t>
  </si>
  <si>
    <t xml:space="preserve">PLANTILLA EXTERNA DE 3 CM </t>
  </si>
  <si>
    <t xml:space="preserve">PACIENTE CON DISCAPACIDAD FISICA EN CADERA DERECHA </t>
  </si>
  <si>
    <t xml:space="preserve">PLANTILLA EXTERNA DE 3 CM  EN ZAPATOS </t>
  </si>
  <si>
    <t xml:space="preserve"> PACIENTE DE 93 AÃOS DE EDAD  CON DEMENCIA SENIL , INCONTINENCIA URINARIA , INCONTINENCIA FECAL QUE REQUIERE EL USO DE PAÃAL DESECHABLE PERMANENTE. </t>
  </si>
  <si>
    <t xml:space="preserve">PAÃALES TENA SLIP TIPO TANGA TALLA L CAMBIO CADA 8 HORAS 90U POR MES 270 U PARA 3 MESES </t>
  </si>
  <si>
    <t xml:space="preserve">PACIENTE GERIÃTRICA  CON DEMENCIA SENIL SIN CONTROL DE ESFINTERES QUE REQUIERE UTILIZACIÃN DE PAÃAL DESECHABLE PERMANENTE . </t>
  </si>
  <si>
    <t xml:space="preserve">SE INDICA EL USO DE PAÑALES TENA SLIP TIPO TANGA TALLA L CAMBIO CADA 8 HORAS 90U POR MES 270 U PARA 3 MESES </t>
  </si>
  <si>
    <t xml:space="preserve">PACIENTE DE 109 AÃOS MOVILIZADA EN SILLA DE RUEDAS  CON DEMENCIA SENIL SIN CONTROL DE ESFINTERES  QUE REQUIERE LA UTILIZACIÃN DE PAÃAL DESECHABLE PERMANENTE . </t>
  </si>
  <si>
    <t xml:space="preserve">PAÃALES DESECHABLES TENA SLIP TIPO TANGA TALLA M  CAMBIO CADA 6 HORAS  120 U POR MES  360 U PARA 3 MESES </t>
  </si>
  <si>
    <t xml:space="preserve">PACIENTE DE  109 AÃOS CON DEMENCIA SENIL , SIN CONTROL DE ESFINTERES  QUE REQUIERE EL USO DE PAÃAL DESECHABLE PERMANENTE </t>
  </si>
  <si>
    <t xml:space="preserve">SE INDICA EL USO DE PAÑALES DESECHABLES TENA SLIP TIPO TANGA TALLA M  CAMBIO CADA 6 HORAS  120 U POR MES  360 U PARA 3 MESES </t>
  </si>
  <si>
    <t>PACIENTE MASCULINO DE 56 AÃOS DE edad , con incontinencia fecal y urinaria\n</t>
  </si>
  <si>
    <t>PACIENTE MASCULINO DE 56 AÃOS DE EDAD , CON INCONTINENCIA FECAL Y URINARIA por lo cual se ordena PAÃALES TENA TIPO SLIP TALLA M</t>
  </si>
  <si>
    <t>PAÑALES TENA TIPO SLIP TALLA M , utilizar 1 pañal cada 8 horas por 3  meses.</t>
  </si>
  <si>
    <t xml:space="preserve">paciente con incontinencia urinaria, requiere de uso de paÃ±ales tena talla l para prevenir dermatitis por paÃ±al y disminuir morbimortalidad por infeccion </t>
  </si>
  <si>
    <t>paÃ±ales tena talla l</t>
  </si>
  <si>
    <t>pañales tena talla l, usar 1 cada 8 horas</t>
  </si>
  <si>
    <t xml:space="preserve">paciente con SÃNDROME GENÃTICO DUPLICACIÃN 4q13 sin control de esfinteres </t>
  </si>
  <si>
    <t xml:space="preserve">paÃ±ales etapa 5 </t>
  </si>
  <si>
    <t xml:space="preserve">paciente SIN CONTROL de esfinteres </t>
  </si>
  <si>
    <t>usar 4 pañales por dia</t>
  </si>
  <si>
    <t>PACIENTE CON INCONTINENCIA DE ESFINTERES.</t>
  </si>
  <si>
    <t>PAÃALES DESECHABLES TALLA M.</t>
  </si>
  <si>
    <t>CAMBIO DE PAÑAL CADA 8 HORAS.</t>
  </si>
  <si>
    <t>PACIENTE CON DEMENCIA SENIL E INCONTINENCIA DE ESFINTERES.</t>
  </si>
  <si>
    <t>PAÃALES TALLA L, MARCA TENA SLIP.</t>
  </si>
  <si>
    <t>EVITAR INFECCIONES DEL TRACTO GENITOURINARIO Y SEPSIS.</t>
  </si>
  <si>
    <t>Paciente sin control de esfinteres, con cuadriparesia espastica dependiente totalmente de cuidado personal y aseo</t>
  </si>
  <si>
    <t>PaÃ±ales talla 3</t>
  </si>
  <si>
    <t>paciente sin control de esfinteres dependiente completamente del acudiente para cuidado y aseo personal</t>
  </si>
  <si>
    <t>Cambiar pañales con cada deposicion o miccion</t>
  </si>
  <si>
    <t>acv isquemico con secuelas motoras severas y no control de esfineteres</t>
  </si>
  <si>
    <t>ACV ISQUEMICO CON SECUELAS MOTORAS SEVERAS Y NO CONTROL DE ESFINETERES, amerita paÃ±ales talla l numero 4 al dia</t>
  </si>
  <si>
    <t>ACV ISQUEMICO CON SECUELAS MOTORAS SEVERAS Y NO CONTROL DE ESFINETERES</t>
  </si>
  <si>
    <t>4 pañales talla l cada dia por 90 dias</t>
  </si>
  <si>
    <t xml:space="preserve">paciente con incontinencia urinaria que amerita uso de paÃ±ales para mejorar calidad de vida </t>
  </si>
  <si>
    <t xml:space="preserve">paÃ±alels tena para adultos talla m </t>
  </si>
  <si>
    <t xml:space="preserve">paciente con incontinencia urinaria quee amerita uso de paÃ±ales para mejorar calidad de vida </t>
  </si>
  <si>
    <t xml:space="preserve">utilizar tres pañales tena para adultos talla m por dia </t>
  </si>
  <si>
    <t>se solicitan paÃ±os desechables talla m para utilizar 4 al dia por 90 dias para un total de 360 para manejo de 3 meses padece incontinencia fecal y urinaria moti</t>
  </si>
  <si>
    <t>SE SOLICITAN PAÃOS DESECHABLES TALLA M PARA UTILIZAR 4 AL DIA POR 90 DIAS PARA UN TOTAL DE 360 PARA MANEJO DE 3 MESES PADECE INCONTINENCIA FECAL Y URINARIA MOTI</t>
  </si>
  <si>
    <t xml:space="preserve">SE SOLICITAN PAÃOS DESECHABLES TALLA M PARA UTILIZAR 4 AL DIA POR 90 DIAS PARA UN TOTAL DE 360 PARA MANEJO DE 3 MESES PADECE INCONTINENCIA FECAL Y URINARIA MOTIvo  por lo que consulta </t>
  </si>
  <si>
    <t>SE SOLICITAN PAÑOS DESECHABLES TALLA M PARA UTILIZAR 4 AL DIA POR 90 DIAS PARA UN TOTAL DE 360 PARA MANEJO DE 3 MESES PADECE INCONTINENCIA FECAL Y URINARIA MOTI</t>
  </si>
  <si>
    <t xml:space="preserve">PACIENTE CON DX DE DEMENCIA + INCONTINECIA URINARIA y FECAL  CON LIMITACION FUNCIONAL . SE SOLICITAN PAÃALES DESCHABLES PARA ADULTO </t>
  </si>
  <si>
    <t>PAÃALES DESECHABLES PARA ADULTO TALLA M PARA CAMBIO 3 VECES POR DIA POR 3 MESES</t>
  </si>
  <si>
    <t>PACIENTE CON DX DE DEMENCIA + INCONTINECIA URINARIA y FECAL CON LIMITACION FUNCIONAL . SE SOLICITAN PAÃALES DESCHABLES PARA ADULTO TALLA M PARA CAMBIO 3 VECES POR DIA</t>
  </si>
  <si>
    <t>CAMBIO 3 VECES POR DIA</t>
  </si>
  <si>
    <t>PACIENTE CON DX DE DEMENCIA + INCONTINECIA URINARIA y FECAL  CON LIMITACION FUNCIONAL . SE SOLICITAN PAÃALES DESCHABLES PARA ADULTO</t>
  </si>
  <si>
    <t>paÃ±ales desechables para adulto talla m</t>
  </si>
  <si>
    <t xml:space="preserve">PACIENTE QUE PRESENTA INCONTINENCIA URINARIA </t>
  </si>
  <si>
    <t xml:space="preserve">PAÃALES DESECHABLES TENA SLIP TALLA M </t>
  </si>
  <si>
    <t xml:space="preserve">PAMCI3ENTE DE 44 AÃOS DE EDAD QUE ASISTE A CONTROL CON NEUROLOGIA CLINICA, QUEIN PRESENTA INCONTINENCIA URINARIA, EPILEPSIA, NEUROMIELITIS OPTICA, DESDE HACE UN TIEMPO NO CONTROLA ESFINTERES POR LO QUE REQUIERE EL USO DE PAÃALES DESECHABLES PARA ADULTO TENA SLIP TALLA M, POR HIEGIENE DEL PACIENTE SE RECOMIENDA COLOCAR CUATRO PAÃALES AL DIA POR TRES MESES </t>
  </si>
  <si>
    <t xml:space="preserve">COLOCAR CUATRO PAÑALES TENA SLIP PARA ADULTO TALLA M AL DIA POR TRES MESES </t>
  </si>
  <si>
    <t>paciente con atrofia muscular hereditaria   con invalidez</t>
  </si>
  <si>
    <t xml:space="preserve">un paÃ±al diario </t>
  </si>
  <si>
    <t>paciente con atrofia muscular hereditaria especial tipo ii</t>
  </si>
  <si>
    <t>uno diario</t>
  </si>
  <si>
    <t xml:space="preserve">PACIENTE CON ANTECEDENTES DE TUMOR EN OVARIO DERECHO , SIN CONTROL DE ESFINTERES  QUE REQUIERE LA  UTILIZACIÃN DE PAÃAL DESECHABLE PERMANENTE . </t>
  </si>
  <si>
    <t>PAÃALES DESECHABLES TEN SLIP TIPO TANGA TALLA XL  CADA 8 HORAS  90 U POR MES  270 U PARA 3 MESES</t>
  </si>
  <si>
    <t xml:space="preserve">PACIENTE CON PRESENCIA DE TUMOR EN OVARIO DERECHO , SIN CONTROL DE ESFINTERES QUE REQUIERE LA UTILIZACIÃN DE PAÃAL DESECHABLE  PERMANENTE . </t>
  </si>
  <si>
    <t>SE INDICA EL USO DE PAÑALES DESECHABLES TEN SLIP TIPO TANGA TALLA XL  CADA 8 HORAS  90 U POR MES  270 U PARA 3 MESES</t>
  </si>
  <si>
    <t>paÃ±a</t>
  </si>
  <si>
    <t xml:space="preserve">paÃ±os desechables talla l </t>
  </si>
  <si>
    <t>paÃ±os desechables talla l para mejorar calidad de vida</t>
  </si>
  <si>
    <t xml:space="preserve">paños desechables talla l </t>
  </si>
  <si>
    <t xml:space="preserve">paciente en estado de postracion sin control de esfinteres </t>
  </si>
  <si>
    <t>PACIENTE EN ESTADO DE POSTRACION SIN CONTROL DE ESFINTERES</t>
  </si>
  <si>
    <t xml:space="preserve">cambio de pañales cada 8 horas </t>
  </si>
  <si>
    <t>PACIENTE CON MARCADO DETERIORO GLOBAL POR DEMENCIA, NO CONTROLA ESFÃNTERES, NO PUEDE LIMPIARSE SOLO, ES DEPENDIENTE DE TERCEROS PARA SU ASEO Y AUTOCUIDADO</t>
  </si>
  <si>
    <t>PAÃAL DESECHABLE ADULTO TALLA L, UN PAÃAL CADA SEIS HORAS</t>
  </si>
  <si>
    <t>REQUIERE MANEJO CON PAÃAL POR EL DETERIORO DE SU ENFERMEDAD DEMENCIAL</t>
  </si>
  <si>
    <t xml:space="preserve">CAMBIO FRECUENTE DEL PAÑAL, PARA EVITAR IRRITACIÓN O INFECCIONES CONCURRENTES </t>
  </si>
  <si>
    <t>PACIENTE  CON ENFERMEDAD  DE ALZHEIMER TOTALMENTE  DEPENDIENTE  PARA  TODAS  SUS  ACTIVIDADES DIARIAS, CON INCONTINENCIA URINARIA</t>
  </si>
  <si>
    <t>PAÃALES  TALLA  L , DESECHABLES  PARA ADULTOSPARA  RECAMBIO  3  VECES AL DIA  POR  6  MESES  PARA UN TOTAL DE  540  PAÃALES</t>
  </si>
  <si>
    <t>PACIENTE CON MULTIPLES COMORBILIDADES EL CUAL CURSA CON ENFERMEDAD DE\nALZHEIMER, DEMENCIA Y ADEMAS DE HTA E INCONTINENCIA URINARIA EL CUAL AHORA ESTA\nCOMPLETAMENDE DEPENDIENTE PARA REALIZAR TODAS SUS ACTIVIDADES DIARIAS\nCOTIDIANAS, EN VISTA DE LO ANTERIOR PACIENTE ESTA EXPUESTA A MULTIPLES INFECCIONES\nQUE PODRIAN PONER EN RIESGO SU ESTABILIDAD Y LLEVARLA A COMPLICACIONES COMO\nSEPSIS Y MUERTE, POR LO ANTERIOR SE SOLICITAN PAÃALES PARA DISMINUIR TODOS ESTOS\nRIESGOS Y MEJORAR CALIDAD DE VIDA.</t>
  </si>
  <si>
    <t>PAÑALES  TALLA L  DESECHABLES PARA ADULTOS  PARA  RECAMBIO  3  VECES AL DIA  POR  6  MESES  TOTAL. 540  PAÑALES</t>
  </si>
  <si>
    <t>CODDISP</t>
  </si>
  <si>
    <t>DESC_CODDISP</t>
  </si>
  <si>
    <t>NoPrescripcion</t>
  </si>
  <si>
    <t>Nombre de variable a direccionar</t>
  </si>
  <si>
    <t xml:space="preserve"> "TipoTec"</t>
  </si>
  <si>
    <t xml:space="preserve"> "ConTec"</t>
  </si>
  <si>
    <t xml:space="preserve">  "TipoIDPaciente"</t>
  </si>
  <si>
    <t>"NoIDPaciente"</t>
  </si>
  <si>
    <t>NoPrescripcion: SE DIGITA</t>
  </si>
  <si>
    <t xml:space="preserve">  "TipoTec": LISTA DESPLEGABLE</t>
  </si>
  <si>
    <t xml:space="preserve">  "ConTec": SE JALA DE LA PRESCRIPCÍON</t>
  </si>
  <si>
    <t xml:space="preserve">  "TipoIDPaciente": SE JALA DE LA PRESCRIPCÍON</t>
  </si>
  <si>
    <t xml:space="preserve">  "NoIDPaciente": SE JALA DE LA PRESCRIPCÍON</t>
  </si>
  <si>
    <t xml:space="preserve">  "NoEntrega": LISTA DESPLEGABLE</t>
  </si>
  <si>
    <t xml:space="preserve">  "NoSubEntrega": 0, SIEMPRE.</t>
  </si>
  <si>
    <t xml:space="preserve">  "TipoIDProv": SIEMPRE ES "NI", PODRIA ESTAR OCULTO</t>
  </si>
  <si>
    <t xml:space="preserve">  "NoIDProv": LISTA DESPLEGABLE DE LOS PROVEEDORES CON NOMBRE</t>
  </si>
  <si>
    <t xml:space="preserve">  "DirPaciente": SE JALA DE EBAF</t>
  </si>
  <si>
    <t xml:space="preserve">  "CodSerTecAEntregar": LISTA DESPLEGABLE CONDICIONADA SI ES MEDICAMENTO, PROCEDIMIENTO, SERVICIOS COMPEMENTARIOS, DISPOSITIVOS MEDICOS DE TABLA DE REFERENCIA MIPRES</t>
  </si>
  <si>
    <t xml:space="preserve">  "FecMaxEnt": CALENDARIO</t>
  </si>
  <si>
    <t xml:space="preserve">  "CantTotAEntregar": CAMPO DE DIGITACIÓN</t>
  </si>
  <si>
    <t xml:space="preserve"> "CodMunEnt"</t>
  </si>
  <si>
    <t xml:space="preserve">  "CodMunEnt": SE JALA DE LA PRESCRIPCIÓN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</si>
</sst>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sz val="11"/>
      <color rgb="FF000000"/>
      <name val="Calibri"/>
      <family val="2"/>
    </font>
    <font>
      <b/>
      <sz val="11"/>
      <color rgb="FF000000"/>
      <name val="Calibri"/>
      <family val="2"/>
    </font>
    <font>
      <b/>
      <u/>
      <sz val="11"/>
      <color rgb="FF000000"/>
      <name val="Calibri"/>
      <family val="2"/>
    </font>
  </fonts>
  <fills count="4">
    <fill>
      <patternFill patternType="none"/>
    </fill>
    <fill>
      <patternFill patternType="gray125"/>
    </fill>
    <fill>
      <patternFill patternType="solid">
        <fgColor rgb="FFFF66CC"/>
        <bgColor indexed="64"/>
      </patternFill>
    </fill>
    <fill>
      <patternFill patternType="solid">
        <fgColor rgb="FFFF999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0" borderId="0" xfId="0" applyFont="1"/>
    <xf numFmtId="0" fontId="3" fillId="2"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3" borderId="0" xfId="0" applyFill="1"/>
  </cellXfs>
  <cellStyles count="1">
    <cellStyle name="Normal" xfId="0" builtinId="0"/>
  </cellStyles>
  <dxfs count="0"/>
  <tableStyles count="0" defaultTableStyle="TableStyleMedium9"/>
  <colors>
    <mruColors>
      <color rgb="FFFF9999"/>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891"/>
  <sheetViews>
    <sheetView topLeftCell="M1" workbookViewId="0">
      <selection activeCell="O8" sqref="O8"/>
    </sheetView>
  </sheetViews>
  <sheetFormatPr baseColWidth="10" defaultColWidth="9.140625" defaultRowHeight="15" x14ac:dyDescent="0.25"/>
  <cols>
    <col min="1" max="1" width="24.7109375" bestFit="1" customWidth="1"/>
    <col min="2" max="2" width="22.28515625" bestFit="1" customWidth="1"/>
    <col min="3" max="4" width="16.42578125" bestFit="1" customWidth="1"/>
    <col min="5" max="5" width="15.28515625" bestFit="1" customWidth="1"/>
    <col min="6" max="7" width="11.7109375" bestFit="1" customWidth="1"/>
    <col min="8" max="8" width="16.42578125" bestFit="1" customWidth="1"/>
    <col min="9" max="9" width="116.7109375" bestFit="1" customWidth="1"/>
    <col min="10" max="10" width="45.85546875" bestFit="1" customWidth="1"/>
    <col min="11" max="13" width="12.85546875" bestFit="1" customWidth="1"/>
    <col min="14" max="14" width="20" bestFit="1" customWidth="1"/>
    <col min="15" max="15" width="15.28515625" bestFit="1" customWidth="1"/>
    <col min="16" max="16" width="16.42578125" bestFit="1" customWidth="1"/>
    <col min="17" max="17" width="12.85546875" bestFit="1" customWidth="1"/>
    <col min="18" max="18" width="17.5703125" bestFit="1" customWidth="1"/>
    <col min="19" max="19" width="16.42578125" bestFit="1" customWidth="1"/>
    <col min="20" max="20" width="18.7109375" bestFit="1" customWidth="1"/>
    <col min="21" max="21" width="20" bestFit="1" customWidth="1"/>
    <col min="22" max="22" width="15.28515625" bestFit="1" customWidth="1"/>
    <col min="23" max="23" width="21.140625" bestFit="1" customWidth="1"/>
    <col min="24" max="24" width="28.140625" bestFit="1" customWidth="1"/>
    <col min="25" max="25" width="18.7109375" bestFit="1" customWidth="1"/>
    <col min="26" max="26" width="11.7109375" bestFit="1" customWidth="1"/>
    <col min="27" max="27" width="33" bestFit="1" customWidth="1"/>
    <col min="28" max="28" width="11.7109375" bestFit="1" customWidth="1"/>
    <col min="29" max="29" width="17.5703125" bestFit="1" customWidth="1"/>
    <col min="30" max="30" width="14" bestFit="1" customWidth="1"/>
    <col min="31" max="31" width="20" bestFit="1" customWidth="1"/>
    <col min="32" max="32" width="17.5703125" bestFit="1" customWidth="1"/>
    <col min="33" max="33" width="47.140625" bestFit="1" customWidth="1"/>
    <col min="34" max="34" width="16.42578125" bestFit="1" customWidth="1"/>
    <col min="35" max="35" width="22.28515625" bestFit="1" customWidth="1"/>
    <col min="36" max="36" width="11.7109375" bestFit="1" customWidth="1"/>
    <col min="37" max="37" width="158" bestFit="1" customWidth="1"/>
    <col min="38" max="38" width="11.7109375" bestFit="1" customWidth="1"/>
    <col min="39" max="39" width="145" bestFit="1" customWidth="1"/>
    <col min="40" max="40" width="11.7109375" bestFit="1" customWidth="1"/>
    <col min="41" max="41" width="103.7109375" bestFit="1" customWidth="1"/>
    <col min="42" max="42" width="17.5703125" bestFit="1" customWidth="1"/>
    <col min="43" max="43" width="8.140625" bestFit="1" customWidth="1"/>
    <col min="44" max="44" width="23.42578125" bestFit="1" customWidth="1"/>
    <col min="45" max="45" width="22.28515625" bestFit="1" customWidth="1"/>
    <col min="46" max="46" width="12.85546875" bestFit="1" customWidth="1"/>
    <col min="47" max="47" width="71.85546875" bestFit="1" customWidth="1"/>
    <col min="48" max="48" width="21.140625" bestFit="1" customWidth="1"/>
    <col min="49" max="49" width="20" bestFit="1" customWidth="1"/>
    <col min="50" max="50" width="9.28515625" bestFit="1" customWidth="1"/>
  </cols>
  <sheetData>
    <row r="1" spans="1:50" ht="57.75" customHeight="1" x14ac:dyDescent="0.25">
      <c r="A1" s="2" t="s">
        <v>6567</v>
      </c>
      <c r="R1" s="2" t="s">
        <v>6567</v>
      </c>
      <c r="S1" s="2" t="s">
        <v>6567</v>
      </c>
      <c r="X1" s="2" t="s">
        <v>6567</v>
      </c>
    </row>
    <row r="2" spans="1:50" x14ac:dyDescent="0.25">
      <c r="A2" s="3" t="s">
        <v>6566</v>
      </c>
      <c r="R2" s="3" t="s">
        <v>6570</v>
      </c>
      <c r="S2" s="3" t="s">
        <v>6571</v>
      </c>
      <c r="X2" s="3" t="s">
        <v>6585</v>
      </c>
    </row>
    <row r="3" spans="1:50" x14ac:dyDescent="0.25">
      <c r="A3" s="3" t="s">
        <v>0</v>
      </c>
      <c r="B3" t="s">
        <v>1</v>
      </c>
      <c r="C3" t="s">
        <v>2</v>
      </c>
      <c r="D3" t="s">
        <v>3</v>
      </c>
      <c r="E3" t="s">
        <v>4</v>
      </c>
      <c r="F3" t="s">
        <v>5</v>
      </c>
      <c r="G3" t="s">
        <v>6</v>
      </c>
      <c r="H3" t="s">
        <v>7</v>
      </c>
      <c r="I3" t="s">
        <v>8</v>
      </c>
      <c r="J3" t="s">
        <v>9</v>
      </c>
      <c r="K3" t="s">
        <v>10</v>
      </c>
      <c r="L3" t="s">
        <v>11</v>
      </c>
      <c r="M3" t="s">
        <v>12</v>
      </c>
      <c r="N3" t="s">
        <v>13</v>
      </c>
      <c r="O3" t="s">
        <v>14</v>
      </c>
      <c r="P3" t="s">
        <v>15</v>
      </c>
      <c r="Q3" t="s">
        <v>16</v>
      </c>
      <c r="R3" t="s">
        <v>17</v>
      </c>
      <c r="S3" t="s">
        <v>18</v>
      </c>
      <c r="T3" t="s">
        <v>19</v>
      </c>
      <c r="U3" t="s">
        <v>20</v>
      </c>
      <c r="V3" t="s">
        <v>21</v>
      </c>
      <c r="W3" t="s">
        <v>22</v>
      </c>
      <c r="X3" t="s">
        <v>23</v>
      </c>
      <c r="Y3" t="s">
        <v>24</v>
      </c>
      <c r="Z3" t="s">
        <v>25</v>
      </c>
      <c r="AA3" t="s">
        <v>26</v>
      </c>
      <c r="AB3" t="s">
        <v>27</v>
      </c>
      <c r="AC3" t="s">
        <v>28</v>
      </c>
      <c r="AD3" t="s">
        <v>29</v>
      </c>
      <c r="AE3" t="s">
        <v>30</v>
      </c>
      <c r="AF3" t="s">
        <v>31</v>
      </c>
      <c r="AG3" t="s">
        <v>32</v>
      </c>
      <c r="AH3" t="s">
        <v>33</v>
      </c>
      <c r="AI3" t="s">
        <v>34</v>
      </c>
      <c r="AJ3" t="s">
        <v>35</v>
      </c>
      <c r="AK3" t="s">
        <v>36</v>
      </c>
      <c r="AL3" t="s">
        <v>37</v>
      </c>
      <c r="AM3" t="s">
        <v>38</v>
      </c>
      <c r="AN3" t="s">
        <v>39</v>
      </c>
      <c r="AO3" t="s">
        <v>40</v>
      </c>
      <c r="AP3" t="s">
        <v>41</v>
      </c>
      <c r="AQ3" t="s">
        <v>42</v>
      </c>
      <c r="AR3" t="s">
        <v>43</v>
      </c>
      <c r="AS3" t="s">
        <v>44</v>
      </c>
      <c r="AT3" t="s">
        <v>45</v>
      </c>
      <c r="AU3" t="s">
        <v>46</v>
      </c>
      <c r="AV3" t="s">
        <v>47</v>
      </c>
      <c r="AW3" t="s">
        <v>48</v>
      </c>
      <c r="AX3" t="s">
        <v>49</v>
      </c>
    </row>
    <row r="4" spans="1:50" x14ac:dyDescent="0.25">
      <c r="A4" t="str">
        <f>"20200201165017185465"</f>
        <v>20200201165017185465</v>
      </c>
      <c r="B4" t="s">
        <v>50</v>
      </c>
      <c r="C4" t="s">
        <v>50</v>
      </c>
      <c r="D4" t="s">
        <v>51</v>
      </c>
      <c r="E4" t="str">
        <f>"761470851601"</f>
        <v>761470851601</v>
      </c>
      <c r="F4" t="s">
        <v>52</v>
      </c>
      <c r="G4">
        <v>900472731</v>
      </c>
      <c r="H4">
        <v>76147</v>
      </c>
      <c r="I4" t="s">
        <v>53</v>
      </c>
      <c r="J4">
        <v>2146686</v>
      </c>
      <c r="K4" t="s">
        <v>54</v>
      </c>
      <c r="L4">
        <v>42157167</v>
      </c>
      <c r="M4" t="s">
        <v>55</v>
      </c>
      <c r="N4" t="s">
        <v>56</v>
      </c>
      <c r="O4" t="s">
        <v>57</v>
      </c>
      <c r="P4" t="s">
        <v>58</v>
      </c>
      <c r="Q4">
        <v>42157167</v>
      </c>
      <c r="R4" t="s">
        <v>54</v>
      </c>
      <c r="S4">
        <v>29623377</v>
      </c>
      <c r="T4" t="s">
        <v>59</v>
      </c>
      <c r="U4" t="s">
        <v>60</v>
      </c>
      <c r="V4" t="s">
        <v>61</v>
      </c>
      <c r="W4" t="s">
        <v>62</v>
      </c>
      <c r="X4" t="s">
        <v>63</v>
      </c>
      <c r="Y4" t="s">
        <v>64</v>
      </c>
      <c r="Z4">
        <v>12</v>
      </c>
      <c r="AA4" t="s">
        <v>65</v>
      </c>
      <c r="AB4" t="s">
        <v>56</v>
      </c>
      <c r="AC4" t="s">
        <v>56</v>
      </c>
      <c r="AD4">
        <v>0</v>
      </c>
      <c r="AE4" t="s">
        <v>66</v>
      </c>
      <c r="AF4" t="s">
        <v>56</v>
      </c>
      <c r="AG4" t="s">
        <v>56</v>
      </c>
      <c r="AH4" t="s">
        <v>56</v>
      </c>
      <c r="AI4" t="s">
        <v>56</v>
      </c>
      <c r="AJ4" t="s">
        <v>67</v>
      </c>
      <c r="AK4" t="s">
        <v>68</v>
      </c>
      <c r="AL4" t="s">
        <v>69</v>
      </c>
      <c r="AM4" t="s">
        <v>70</v>
      </c>
      <c r="AN4" t="s">
        <v>56</v>
      </c>
      <c r="AO4" t="s">
        <v>56</v>
      </c>
      <c r="AP4" t="s">
        <v>56</v>
      </c>
      <c r="AQ4" t="s">
        <v>71</v>
      </c>
      <c r="AR4" t="s">
        <v>56</v>
      </c>
      <c r="AS4" t="s">
        <v>56</v>
      </c>
      <c r="AT4" t="s">
        <v>56</v>
      </c>
      <c r="AU4" t="s">
        <v>56</v>
      </c>
      <c r="AV4" t="s">
        <v>56</v>
      </c>
      <c r="AW4" t="s">
        <v>56</v>
      </c>
      <c r="AX4">
        <v>4</v>
      </c>
    </row>
    <row r="5" spans="1:50" x14ac:dyDescent="0.25">
      <c r="A5" t="str">
        <f>"20200129198017104490"</f>
        <v>20200129198017104490</v>
      </c>
      <c r="B5" t="s">
        <v>72</v>
      </c>
      <c r="C5" t="s">
        <v>72</v>
      </c>
      <c r="D5" t="s">
        <v>73</v>
      </c>
      <c r="E5" t="str">
        <f>"087580001301"</f>
        <v>087580001301</v>
      </c>
      <c r="F5" t="s">
        <v>52</v>
      </c>
      <c r="G5">
        <v>890112801</v>
      </c>
      <c r="H5" t="s">
        <v>74</v>
      </c>
      <c r="I5" t="s">
        <v>75</v>
      </c>
      <c r="J5">
        <v>3715562</v>
      </c>
      <c r="K5" t="s">
        <v>54</v>
      </c>
      <c r="L5">
        <v>72345557</v>
      </c>
      <c r="M5" t="s">
        <v>76</v>
      </c>
      <c r="N5" t="s">
        <v>77</v>
      </c>
      <c r="O5" t="s">
        <v>78</v>
      </c>
      <c r="P5" t="s">
        <v>79</v>
      </c>
      <c r="Q5" t="s">
        <v>80</v>
      </c>
      <c r="R5" t="s">
        <v>54</v>
      </c>
      <c r="S5">
        <v>12642687</v>
      </c>
      <c r="T5" t="s">
        <v>81</v>
      </c>
      <c r="U5" t="s">
        <v>82</v>
      </c>
      <c r="V5" t="s">
        <v>83</v>
      </c>
      <c r="W5" t="s">
        <v>84</v>
      </c>
      <c r="X5" t="s">
        <v>85</v>
      </c>
      <c r="Y5" t="s">
        <v>86</v>
      </c>
      <c r="Z5">
        <v>11</v>
      </c>
      <c r="AA5" t="s">
        <v>87</v>
      </c>
      <c r="AB5" t="s">
        <v>56</v>
      </c>
      <c r="AC5" t="s">
        <v>56</v>
      </c>
      <c r="AD5">
        <v>0</v>
      </c>
      <c r="AE5" t="s">
        <v>66</v>
      </c>
      <c r="AF5" t="s">
        <v>56</v>
      </c>
      <c r="AG5" t="s">
        <v>56</v>
      </c>
      <c r="AH5" t="s">
        <v>56</v>
      </c>
      <c r="AI5" t="s">
        <v>56</v>
      </c>
      <c r="AJ5" t="s">
        <v>88</v>
      </c>
      <c r="AK5" t="s">
        <v>89</v>
      </c>
      <c r="AL5" t="s">
        <v>56</v>
      </c>
      <c r="AM5" t="s">
        <v>56</v>
      </c>
      <c r="AN5" t="s">
        <v>56</v>
      </c>
      <c r="AO5" t="s">
        <v>56</v>
      </c>
      <c r="AP5" t="s">
        <v>56</v>
      </c>
      <c r="AQ5" t="s">
        <v>71</v>
      </c>
      <c r="AR5" t="s">
        <v>56</v>
      </c>
      <c r="AS5" t="s">
        <v>56</v>
      </c>
      <c r="AT5" t="s">
        <v>56</v>
      </c>
      <c r="AU5" t="s">
        <v>56</v>
      </c>
      <c r="AV5" t="s">
        <v>56</v>
      </c>
      <c r="AW5" t="s">
        <v>56</v>
      </c>
      <c r="AX5">
        <v>4</v>
      </c>
    </row>
    <row r="6" spans="1:50" x14ac:dyDescent="0.25">
      <c r="A6" t="str">
        <f>"20200202189017191836"</f>
        <v>20200202189017191836</v>
      </c>
      <c r="B6" t="s">
        <v>90</v>
      </c>
      <c r="C6" t="s">
        <v>90</v>
      </c>
      <c r="D6" t="s">
        <v>91</v>
      </c>
      <c r="E6" t="str">
        <f>"130010178101"</f>
        <v>130010178101</v>
      </c>
      <c r="F6" t="s">
        <v>52</v>
      </c>
      <c r="G6">
        <v>900042103</v>
      </c>
      <c r="H6">
        <v>13001</v>
      </c>
      <c r="I6" t="s">
        <v>92</v>
      </c>
      <c r="J6">
        <v>6726017</v>
      </c>
      <c r="K6" t="s">
        <v>54</v>
      </c>
      <c r="L6">
        <v>73009968</v>
      </c>
      <c r="M6" t="s">
        <v>93</v>
      </c>
      <c r="N6" t="s">
        <v>94</v>
      </c>
      <c r="O6" t="s">
        <v>95</v>
      </c>
      <c r="P6" t="s">
        <v>96</v>
      </c>
      <c r="Q6">
        <v>19673</v>
      </c>
      <c r="R6" t="s">
        <v>54</v>
      </c>
      <c r="S6">
        <v>23215131</v>
      </c>
      <c r="T6" t="s">
        <v>97</v>
      </c>
      <c r="U6" t="s">
        <v>62</v>
      </c>
      <c r="V6" t="s">
        <v>98</v>
      </c>
      <c r="W6" t="s">
        <v>99</v>
      </c>
      <c r="X6" t="s">
        <v>100</v>
      </c>
      <c r="Y6" t="s">
        <v>101</v>
      </c>
      <c r="Z6">
        <v>22</v>
      </c>
      <c r="AA6" t="s">
        <v>102</v>
      </c>
      <c r="AB6">
        <v>0</v>
      </c>
      <c r="AC6" t="s">
        <v>66</v>
      </c>
      <c r="AD6">
        <v>0</v>
      </c>
      <c r="AE6" t="s">
        <v>66</v>
      </c>
      <c r="AF6" t="s">
        <v>56</v>
      </c>
      <c r="AG6" t="s">
        <v>56</v>
      </c>
      <c r="AH6" t="s">
        <v>56</v>
      </c>
      <c r="AI6" t="s">
        <v>56</v>
      </c>
      <c r="AJ6" t="s">
        <v>103</v>
      </c>
      <c r="AK6" t="s">
        <v>104</v>
      </c>
      <c r="AL6" t="s">
        <v>56</v>
      </c>
      <c r="AM6" t="s">
        <v>56</v>
      </c>
      <c r="AN6" t="s">
        <v>56</v>
      </c>
      <c r="AO6" t="s">
        <v>56</v>
      </c>
      <c r="AP6" t="s">
        <v>56</v>
      </c>
      <c r="AQ6" t="s">
        <v>71</v>
      </c>
      <c r="AR6" t="s">
        <v>56</v>
      </c>
      <c r="AS6" t="s">
        <v>56</v>
      </c>
      <c r="AT6" t="s">
        <v>56</v>
      </c>
      <c r="AU6" t="s">
        <v>56</v>
      </c>
      <c r="AV6" t="s">
        <v>56</v>
      </c>
      <c r="AW6" t="s">
        <v>56</v>
      </c>
      <c r="AX6">
        <v>4</v>
      </c>
    </row>
    <row r="7" spans="1:50" x14ac:dyDescent="0.25">
      <c r="A7" t="str">
        <f>"20200202188017192033"</f>
        <v>20200202188017192033</v>
      </c>
      <c r="B7" t="s">
        <v>90</v>
      </c>
      <c r="C7" t="s">
        <v>90</v>
      </c>
      <c r="D7" t="s">
        <v>105</v>
      </c>
      <c r="E7" t="str">
        <f>"130010178101"</f>
        <v>130010178101</v>
      </c>
      <c r="F7" t="s">
        <v>52</v>
      </c>
      <c r="G7">
        <v>900042103</v>
      </c>
      <c r="H7">
        <v>13001</v>
      </c>
      <c r="I7" t="s">
        <v>92</v>
      </c>
      <c r="J7">
        <v>6726017</v>
      </c>
      <c r="K7" t="s">
        <v>54</v>
      </c>
      <c r="L7">
        <v>9102024</v>
      </c>
      <c r="M7" t="s">
        <v>106</v>
      </c>
      <c r="N7" t="s">
        <v>107</v>
      </c>
      <c r="O7" t="s">
        <v>108</v>
      </c>
      <c r="P7" t="s">
        <v>109</v>
      </c>
      <c r="Q7">
        <v>4626</v>
      </c>
      <c r="R7" t="s">
        <v>54</v>
      </c>
      <c r="S7">
        <v>23215131</v>
      </c>
      <c r="T7" t="s">
        <v>97</v>
      </c>
      <c r="U7" t="s">
        <v>62</v>
      </c>
      <c r="V7" t="s">
        <v>98</v>
      </c>
      <c r="W7" t="s">
        <v>99</v>
      </c>
      <c r="X7" t="s">
        <v>100</v>
      </c>
      <c r="Y7" t="s">
        <v>101</v>
      </c>
      <c r="Z7">
        <v>22</v>
      </c>
      <c r="AA7" t="s">
        <v>102</v>
      </c>
      <c r="AB7">
        <v>0</v>
      </c>
      <c r="AC7" t="s">
        <v>66</v>
      </c>
      <c r="AD7">
        <v>0</v>
      </c>
      <c r="AE7" t="s">
        <v>66</v>
      </c>
      <c r="AF7" t="s">
        <v>56</v>
      </c>
      <c r="AG7" t="s">
        <v>56</v>
      </c>
      <c r="AH7" t="s">
        <v>56</v>
      </c>
      <c r="AI7" t="s">
        <v>56</v>
      </c>
      <c r="AJ7" t="s">
        <v>103</v>
      </c>
      <c r="AK7" t="s">
        <v>104</v>
      </c>
      <c r="AL7" t="s">
        <v>56</v>
      </c>
      <c r="AM7" t="s">
        <v>56</v>
      </c>
      <c r="AN7" t="s">
        <v>56</v>
      </c>
      <c r="AO7" t="s">
        <v>56</v>
      </c>
      <c r="AP7" t="s">
        <v>56</v>
      </c>
      <c r="AQ7" t="s">
        <v>71</v>
      </c>
      <c r="AR7" t="s">
        <v>56</v>
      </c>
      <c r="AS7" t="s">
        <v>56</v>
      </c>
      <c r="AT7" t="s">
        <v>56</v>
      </c>
      <c r="AU7" t="s">
        <v>56</v>
      </c>
      <c r="AV7" t="s">
        <v>56</v>
      </c>
      <c r="AW7" t="s">
        <v>56</v>
      </c>
      <c r="AX7">
        <v>4</v>
      </c>
    </row>
    <row r="8" spans="1:50" x14ac:dyDescent="0.25">
      <c r="A8" t="str">
        <f>"20200131131017174765"</f>
        <v>20200131131017174765</v>
      </c>
      <c r="B8" t="s">
        <v>110</v>
      </c>
      <c r="C8" t="s">
        <v>110</v>
      </c>
      <c r="D8" t="s">
        <v>111</v>
      </c>
      <c r="E8" t="str">
        <f>"080010380001"</f>
        <v>080010380001</v>
      </c>
      <c r="F8" t="s">
        <v>52</v>
      </c>
      <c r="G8">
        <v>900665930</v>
      </c>
      <c r="H8" t="s">
        <v>112</v>
      </c>
      <c r="I8" t="s">
        <v>113</v>
      </c>
      <c r="J8">
        <v>3175759202</v>
      </c>
      <c r="K8" t="s">
        <v>54</v>
      </c>
      <c r="L8">
        <v>1045724464</v>
      </c>
      <c r="M8" t="s">
        <v>59</v>
      </c>
      <c r="N8" t="s">
        <v>114</v>
      </c>
      <c r="O8" t="s">
        <v>115</v>
      </c>
      <c r="P8" t="s">
        <v>116</v>
      </c>
      <c r="Q8">
        <v>1045724464</v>
      </c>
      <c r="R8" t="s">
        <v>54</v>
      </c>
      <c r="S8">
        <v>22331478</v>
      </c>
      <c r="T8" t="s">
        <v>59</v>
      </c>
      <c r="U8" t="s">
        <v>117</v>
      </c>
      <c r="V8" t="s">
        <v>118</v>
      </c>
      <c r="W8" t="s">
        <v>119</v>
      </c>
      <c r="X8" t="s">
        <v>120</v>
      </c>
      <c r="Y8" t="s">
        <v>121</v>
      </c>
      <c r="Z8">
        <v>12</v>
      </c>
      <c r="AA8" t="s">
        <v>65</v>
      </c>
      <c r="AB8" t="s">
        <v>56</v>
      </c>
      <c r="AC8" t="s">
        <v>56</v>
      </c>
      <c r="AD8">
        <v>0</v>
      </c>
      <c r="AE8" t="s">
        <v>66</v>
      </c>
      <c r="AF8" t="s">
        <v>56</v>
      </c>
      <c r="AG8" t="s">
        <v>56</v>
      </c>
      <c r="AH8" t="s">
        <v>56</v>
      </c>
      <c r="AI8" t="s">
        <v>56</v>
      </c>
      <c r="AJ8" t="s">
        <v>122</v>
      </c>
      <c r="AK8" t="s">
        <v>123</v>
      </c>
      <c r="AL8" t="s">
        <v>56</v>
      </c>
      <c r="AM8" t="s">
        <v>56</v>
      </c>
      <c r="AN8" t="s">
        <v>56</v>
      </c>
      <c r="AO8" t="s">
        <v>56</v>
      </c>
      <c r="AP8" t="s">
        <v>56</v>
      </c>
      <c r="AQ8" t="s">
        <v>71</v>
      </c>
      <c r="AR8" t="s">
        <v>56</v>
      </c>
      <c r="AS8" t="s">
        <v>56</v>
      </c>
      <c r="AT8" t="s">
        <v>56</v>
      </c>
      <c r="AU8" t="s">
        <v>56</v>
      </c>
      <c r="AV8" t="s">
        <v>56</v>
      </c>
      <c r="AW8" t="s">
        <v>56</v>
      </c>
      <c r="AX8">
        <v>4</v>
      </c>
    </row>
    <row r="9" spans="1:50" x14ac:dyDescent="0.25">
      <c r="A9" t="str">
        <f>"20200130123017136460"</f>
        <v>20200130123017136460</v>
      </c>
      <c r="B9" t="s">
        <v>124</v>
      </c>
      <c r="C9" t="s">
        <v>124</v>
      </c>
      <c r="D9" t="s">
        <v>125</v>
      </c>
      <c r="E9" t="str">
        <f>"230010048201"</f>
        <v>230010048201</v>
      </c>
      <c r="F9" t="s">
        <v>52</v>
      </c>
      <c r="G9">
        <v>891079999</v>
      </c>
      <c r="H9">
        <v>23001</v>
      </c>
      <c r="I9" t="s">
        <v>126</v>
      </c>
      <c r="J9">
        <v>7958135</v>
      </c>
      <c r="K9" t="s">
        <v>54</v>
      </c>
      <c r="L9">
        <v>15039480</v>
      </c>
      <c r="M9" t="s">
        <v>127</v>
      </c>
      <c r="N9" t="s">
        <v>128</v>
      </c>
      <c r="O9" t="s">
        <v>129</v>
      </c>
      <c r="P9" t="s">
        <v>130</v>
      </c>
      <c r="Q9">
        <v>15039480</v>
      </c>
      <c r="R9" t="s">
        <v>54</v>
      </c>
      <c r="S9">
        <v>15665651</v>
      </c>
      <c r="T9" t="s">
        <v>131</v>
      </c>
      <c r="U9" t="s">
        <v>132</v>
      </c>
      <c r="V9" t="s">
        <v>133</v>
      </c>
      <c r="W9" t="s">
        <v>134</v>
      </c>
      <c r="X9" t="s">
        <v>135</v>
      </c>
      <c r="Y9" t="s">
        <v>136</v>
      </c>
      <c r="Z9">
        <v>12</v>
      </c>
      <c r="AA9" t="s">
        <v>65</v>
      </c>
      <c r="AB9" t="s">
        <v>56</v>
      </c>
      <c r="AC9" t="s">
        <v>56</v>
      </c>
      <c r="AD9">
        <v>0</v>
      </c>
      <c r="AE9" t="s">
        <v>66</v>
      </c>
      <c r="AF9" t="s">
        <v>56</v>
      </c>
      <c r="AG9" t="s">
        <v>56</v>
      </c>
      <c r="AH9" t="s">
        <v>56</v>
      </c>
      <c r="AI9" t="s">
        <v>56</v>
      </c>
      <c r="AJ9" t="s">
        <v>137</v>
      </c>
      <c r="AK9" t="s">
        <v>138</v>
      </c>
      <c r="AL9" t="s">
        <v>56</v>
      </c>
      <c r="AM9" t="s">
        <v>56</v>
      </c>
      <c r="AN9" t="s">
        <v>56</v>
      </c>
      <c r="AO9" t="s">
        <v>56</v>
      </c>
      <c r="AP9" t="s">
        <v>56</v>
      </c>
      <c r="AQ9" t="s">
        <v>71</v>
      </c>
      <c r="AR9" t="s">
        <v>56</v>
      </c>
      <c r="AS9" t="s">
        <v>56</v>
      </c>
      <c r="AT9" t="s">
        <v>56</v>
      </c>
      <c r="AU9" t="s">
        <v>56</v>
      </c>
      <c r="AV9" t="s">
        <v>56</v>
      </c>
      <c r="AW9" t="s">
        <v>56</v>
      </c>
      <c r="AX9">
        <v>4</v>
      </c>
    </row>
    <row r="10" spans="1:50" x14ac:dyDescent="0.25">
      <c r="A10" t="str">
        <f>"20200129142017122513"</f>
        <v>20200129142017122513</v>
      </c>
      <c r="B10" t="s">
        <v>72</v>
      </c>
      <c r="C10" t="s">
        <v>72</v>
      </c>
      <c r="D10" t="s">
        <v>139</v>
      </c>
      <c r="E10" t="str">
        <f>"200010162601"</f>
        <v>200010162601</v>
      </c>
      <c r="F10" t="s">
        <v>52</v>
      </c>
      <c r="G10">
        <v>900552539</v>
      </c>
      <c r="H10">
        <v>20001</v>
      </c>
      <c r="I10" t="s">
        <v>140</v>
      </c>
      <c r="J10">
        <v>3003009498</v>
      </c>
      <c r="K10" t="s">
        <v>54</v>
      </c>
      <c r="L10">
        <v>1129572448</v>
      </c>
      <c r="M10" t="s">
        <v>141</v>
      </c>
      <c r="N10" t="s">
        <v>142</v>
      </c>
      <c r="O10" t="s">
        <v>143</v>
      </c>
      <c r="P10" t="s">
        <v>144</v>
      </c>
      <c r="Q10">
        <v>86169</v>
      </c>
      <c r="R10" t="s">
        <v>54</v>
      </c>
      <c r="S10">
        <v>26876615</v>
      </c>
      <c r="T10" t="s">
        <v>145</v>
      </c>
      <c r="U10" t="s">
        <v>62</v>
      </c>
      <c r="V10" t="s">
        <v>146</v>
      </c>
      <c r="W10" t="s">
        <v>147</v>
      </c>
      <c r="X10" t="s">
        <v>148</v>
      </c>
      <c r="Y10" t="s">
        <v>86</v>
      </c>
      <c r="Z10">
        <v>12</v>
      </c>
      <c r="AA10" t="s">
        <v>65</v>
      </c>
      <c r="AB10" t="s">
        <v>56</v>
      </c>
      <c r="AC10" t="s">
        <v>56</v>
      </c>
      <c r="AD10">
        <v>0</v>
      </c>
      <c r="AE10" t="s">
        <v>66</v>
      </c>
      <c r="AF10" t="s">
        <v>56</v>
      </c>
      <c r="AG10" t="s">
        <v>56</v>
      </c>
      <c r="AH10" t="s">
        <v>56</v>
      </c>
      <c r="AI10" t="s">
        <v>56</v>
      </c>
      <c r="AJ10" t="s">
        <v>149</v>
      </c>
      <c r="AK10" t="s">
        <v>150</v>
      </c>
      <c r="AL10" t="s">
        <v>56</v>
      </c>
      <c r="AM10" t="s">
        <v>56</v>
      </c>
      <c r="AN10" t="s">
        <v>56</v>
      </c>
      <c r="AO10" t="s">
        <v>56</v>
      </c>
      <c r="AP10" t="s">
        <v>56</v>
      </c>
      <c r="AQ10" t="s">
        <v>71</v>
      </c>
      <c r="AR10" t="s">
        <v>56</v>
      </c>
      <c r="AS10" t="s">
        <v>56</v>
      </c>
      <c r="AT10" t="s">
        <v>56</v>
      </c>
      <c r="AU10" t="s">
        <v>56</v>
      </c>
      <c r="AV10" t="s">
        <v>56</v>
      </c>
      <c r="AW10" t="s">
        <v>56</v>
      </c>
      <c r="AX10">
        <v>4</v>
      </c>
    </row>
    <row r="11" spans="1:50" x14ac:dyDescent="0.25">
      <c r="A11" t="str">
        <f>"20200128195017069160"</f>
        <v>20200128195017069160</v>
      </c>
      <c r="B11" t="s">
        <v>151</v>
      </c>
      <c r="C11" t="s">
        <v>151</v>
      </c>
      <c r="D11" t="s">
        <v>152</v>
      </c>
      <c r="E11" t="str">
        <f>"200010067601"</f>
        <v>200010067601</v>
      </c>
      <c r="F11" t="s">
        <v>52</v>
      </c>
      <c r="G11">
        <v>824005694</v>
      </c>
      <c r="H11">
        <v>20001</v>
      </c>
      <c r="I11" t="s">
        <v>153</v>
      </c>
      <c r="J11">
        <v>5885989</v>
      </c>
      <c r="K11" t="s">
        <v>54</v>
      </c>
      <c r="L11">
        <v>92499916</v>
      </c>
      <c r="M11" t="s">
        <v>154</v>
      </c>
      <c r="N11" t="s">
        <v>155</v>
      </c>
      <c r="O11" t="s">
        <v>156</v>
      </c>
      <c r="P11" t="s">
        <v>157</v>
      </c>
      <c r="Q11">
        <v>4943</v>
      </c>
      <c r="R11" t="s">
        <v>54</v>
      </c>
      <c r="S11">
        <v>26869764</v>
      </c>
      <c r="T11" t="s">
        <v>158</v>
      </c>
      <c r="U11" t="s">
        <v>117</v>
      </c>
      <c r="V11" t="s">
        <v>57</v>
      </c>
      <c r="W11" t="s">
        <v>159</v>
      </c>
      <c r="X11" t="s">
        <v>148</v>
      </c>
      <c r="Y11" t="s">
        <v>86</v>
      </c>
      <c r="Z11">
        <v>12</v>
      </c>
      <c r="AA11" t="s">
        <v>65</v>
      </c>
      <c r="AB11" t="s">
        <v>56</v>
      </c>
      <c r="AC11" t="s">
        <v>56</v>
      </c>
      <c r="AD11">
        <v>0</v>
      </c>
      <c r="AE11" t="s">
        <v>66</v>
      </c>
      <c r="AF11" t="s">
        <v>56</v>
      </c>
      <c r="AG11" t="s">
        <v>56</v>
      </c>
      <c r="AH11" t="s">
        <v>56</v>
      </c>
      <c r="AI11" t="s">
        <v>56</v>
      </c>
      <c r="AJ11" t="s">
        <v>160</v>
      </c>
      <c r="AK11" t="s">
        <v>161</v>
      </c>
      <c r="AL11" t="s">
        <v>56</v>
      </c>
      <c r="AM11" t="s">
        <v>56</v>
      </c>
      <c r="AN11" t="s">
        <v>56</v>
      </c>
      <c r="AO11" t="s">
        <v>56</v>
      </c>
      <c r="AP11" t="s">
        <v>56</v>
      </c>
      <c r="AQ11" t="s">
        <v>71</v>
      </c>
      <c r="AR11" t="s">
        <v>56</v>
      </c>
      <c r="AS11" t="s">
        <v>56</v>
      </c>
      <c r="AT11" t="s">
        <v>56</v>
      </c>
      <c r="AU11" t="s">
        <v>56</v>
      </c>
      <c r="AV11" t="s">
        <v>56</v>
      </c>
      <c r="AW11" t="s">
        <v>56</v>
      </c>
      <c r="AX11">
        <v>4</v>
      </c>
    </row>
    <row r="12" spans="1:50" x14ac:dyDescent="0.25">
      <c r="A12" t="str">
        <f>"20200129119017110735"</f>
        <v>20200129119017110735</v>
      </c>
      <c r="B12" t="s">
        <v>72</v>
      </c>
      <c r="C12" t="s">
        <v>72</v>
      </c>
      <c r="D12" t="s">
        <v>162</v>
      </c>
      <c r="E12" t="str">
        <f>"764970165001"</f>
        <v>764970165001</v>
      </c>
      <c r="F12" t="s">
        <v>52</v>
      </c>
      <c r="G12">
        <v>891901041</v>
      </c>
      <c r="H12">
        <v>76497</v>
      </c>
      <c r="I12" t="s">
        <v>163</v>
      </c>
      <c r="J12">
        <v>2053111</v>
      </c>
      <c r="K12" t="s">
        <v>54</v>
      </c>
      <c r="L12">
        <v>1114400677</v>
      </c>
      <c r="M12" t="s">
        <v>164</v>
      </c>
      <c r="N12" t="s">
        <v>165</v>
      </c>
      <c r="O12" t="s">
        <v>166</v>
      </c>
      <c r="P12" t="s">
        <v>167</v>
      </c>
      <c r="Q12">
        <v>1114400677</v>
      </c>
      <c r="R12" t="s">
        <v>54</v>
      </c>
      <c r="S12">
        <v>29605054</v>
      </c>
      <c r="T12" t="s">
        <v>117</v>
      </c>
      <c r="U12" t="s">
        <v>168</v>
      </c>
      <c r="V12" t="s">
        <v>169</v>
      </c>
      <c r="W12" t="s">
        <v>170</v>
      </c>
      <c r="X12" t="s">
        <v>63</v>
      </c>
      <c r="Y12" t="s">
        <v>64</v>
      </c>
      <c r="Z12">
        <v>12</v>
      </c>
      <c r="AA12" t="s">
        <v>65</v>
      </c>
      <c r="AB12" t="s">
        <v>56</v>
      </c>
      <c r="AC12" t="s">
        <v>56</v>
      </c>
      <c r="AD12">
        <v>0</v>
      </c>
      <c r="AE12" t="s">
        <v>66</v>
      </c>
      <c r="AF12" t="s">
        <v>56</v>
      </c>
      <c r="AG12" t="s">
        <v>56</v>
      </c>
      <c r="AH12" t="s">
        <v>56</v>
      </c>
      <c r="AI12" t="s">
        <v>56</v>
      </c>
      <c r="AJ12" t="s">
        <v>171</v>
      </c>
      <c r="AK12" t="s">
        <v>172</v>
      </c>
      <c r="AL12" t="s">
        <v>56</v>
      </c>
      <c r="AM12" t="s">
        <v>56</v>
      </c>
      <c r="AN12" t="s">
        <v>56</v>
      </c>
      <c r="AO12" t="s">
        <v>56</v>
      </c>
      <c r="AP12" t="s">
        <v>56</v>
      </c>
      <c r="AQ12" t="s">
        <v>71</v>
      </c>
      <c r="AR12" t="s">
        <v>56</v>
      </c>
      <c r="AS12" t="s">
        <v>56</v>
      </c>
      <c r="AT12" t="s">
        <v>56</v>
      </c>
      <c r="AU12" t="s">
        <v>56</v>
      </c>
      <c r="AV12" t="s">
        <v>56</v>
      </c>
      <c r="AW12" t="s">
        <v>56</v>
      </c>
      <c r="AX12">
        <v>4</v>
      </c>
    </row>
    <row r="13" spans="1:50" x14ac:dyDescent="0.25">
      <c r="A13" t="str">
        <f>"20200129173017111697"</f>
        <v>20200129173017111697</v>
      </c>
      <c r="B13" t="s">
        <v>72</v>
      </c>
      <c r="C13" t="s">
        <v>72</v>
      </c>
      <c r="D13" t="s">
        <v>173</v>
      </c>
      <c r="E13" t="str">
        <f>"134300049201"</f>
        <v>134300049201</v>
      </c>
      <c r="F13" t="s">
        <v>52</v>
      </c>
      <c r="G13">
        <v>900196347</v>
      </c>
      <c r="H13">
        <v>13430</v>
      </c>
      <c r="I13" t="s">
        <v>174</v>
      </c>
      <c r="J13" t="s">
        <v>175</v>
      </c>
      <c r="K13" t="s">
        <v>54</v>
      </c>
      <c r="L13">
        <v>52713343</v>
      </c>
      <c r="M13" t="s">
        <v>176</v>
      </c>
      <c r="N13" t="s">
        <v>177</v>
      </c>
      <c r="O13" t="s">
        <v>178</v>
      </c>
      <c r="P13" t="s">
        <v>179</v>
      </c>
      <c r="Q13">
        <v>36</v>
      </c>
      <c r="R13" t="s">
        <v>54</v>
      </c>
      <c r="S13">
        <v>9022933</v>
      </c>
      <c r="T13" t="s">
        <v>180</v>
      </c>
      <c r="U13" t="s">
        <v>107</v>
      </c>
      <c r="V13" t="s">
        <v>181</v>
      </c>
      <c r="W13" t="s">
        <v>182</v>
      </c>
      <c r="X13" t="s">
        <v>183</v>
      </c>
      <c r="Y13" t="s">
        <v>101</v>
      </c>
      <c r="Z13">
        <v>22</v>
      </c>
      <c r="AA13" t="s">
        <v>102</v>
      </c>
      <c r="AB13">
        <v>0</v>
      </c>
      <c r="AC13" t="s">
        <v>66</v>
      </c>
      <c r="AD13">
        <v>0</v>
      </c>
      <c r="AE13" t="s">
        <v>66</v>
      </c>
      <c r="AF13" t="s">
        <v>56</v>
      </c>
      <c r="AG13" t="s">
        <v>56</v>
      </c>
      <c r="AH13" t="s">
        <v>56</v>
      </c>
      <c r="AI13" t="s">
        <v>56</v>
      </c>
      <c r="AJ13" t="s">
        <v>184</v>
      </c>
      <c r="AK13" t="s">
        <v>185</v>
      </c>
      <c r="AL13" t="s">
        <v>186</v>
      </c>
      <c r="AM13" t="s">
        <v>187</v>
      </c>
      <c r="AN13" t="s">
        <v>188</v>
      </c>
      <c r="AO13" t="s">
        <v>189</v>
      </c>
      <c r="AP13" t="s">
        <v>56</v>
      </c>
      <c r="AQ13" t="s">
        <v>71</v>
      </c>
      <c r="AR13" t="s">
        <v>56</v>
      </c>
      <c r="AS13" t="s">
        <v>56</v>
      </c>
      <c r="AT13" t="s">
        <v>56</v>
      </c>
      <c r="AU13" t="s">
        <v>56</v>
      </c>
      <c r="AV13" t="s">
        <v>56</v>
      </c>
      <c r="AW13" t="s">
        <v>56</v>
      </c>
      <c r="AX13">
        <v>4</v>
      </c>
    </row>
    <row r="14" spans="1:50" x14ac:dyDescent="0.25">
      <c r="A14" t="str">
        <f>"20200127145017046379"</f>
        <v>20200127145017046379</v>
      </c>
      <c r="B14" t="s">
        <v>190</v>
      </c>
      <c r="C14" t="s">
        <v>190</v>
      </c>
      <c r="D14" t="s">
        <v>191</v>
      </c>
      <c r="E14" t="str">
        <f>"134300049201"</f>
        <v>134300049201</v>
      </c>
      <c r="F14" t="s">
        <v>52</v>
      </c>
      <c r="G14">
        <v>900196347</v>
      </c>
      <c r="H14">
        <v>13430</v>
      </c>
      <c r="I14" t="s">
        <v>174</v>
      </c>
      <c r="J14" t="s">
        <v>175</v>
      </c>
      <c r="K14" t="s">
        <v>54</v>
      </c>
      <c r="L14">
        <v>73578467</v>
      </c>
      <c r="M14" t="s">
        <v>192</v>
      </c>
      <c r="N14" t="s">
        <v>94</v>
      </c>
      <c r="O14" t="s">
        <v>193</v>
      </c>
      <c r="P14" t="s">
        <v>194</v>
      </c>
      <c r="Q14">
        <v>130403</v>
      </c>
      <c r="R14" t="s">
        <v>54</v>
      </c>
      <c r="S14">
        <v>33193267</v>
      </c>
      <c r="T14" t="s">
        <v>195</v>
      </c>
      <c r="U14" t="s">
        <v>196</v>
      </c>
      <c r="V14" t="s">
        <v>197</v>
      </c>
      <c r="W14" t="s">
        <v>198</v>
      </c>
      <c r="X14" t="s">
        <v>183</v>
      </c>
      <c r="Y14" t="s">
        <v>101</v>
      </c>
      <c r="Z14">
        <v>22</v>
      </c>
      <c r="AA14" t="s">
        <v>102</v>
      </c>
      <c r="AB14">
        <v>0</v>
      </c>
      <c r="AC14" t="s">
        <v>66</v>
      </c>
      <c r="AD14">
        <v>0</v>
      </c>
      <c r="AE14" t="s">
        <v>66</v>
      </c>
      <c r="AF14" t="s">
        <v>56</v>
      </c>
      <c r="AG14" t="s">
        <v>56</v>
      </c>
      <c r="AH14" t="s">
        <v>56</v>
      </c>
      <c r="AI14" t="s">
        <v>56</v>
      </c>
      <c r="AJ14" t="s">
        <v>160</v>
      </c>
      <c r="AK14" t="s">
        <v>161</v>
      </c>
      <c r="AL14" t="s">
        <v>199</v>
      </c>
      <c r="AM14" t="s">
        <v>200</v>
      </c>
      <c r="AN14" t="s">
        <v>56</v>
      </c>
      <c r="AO14" t="s">
        <v>56</v>
      </c>
      <c r="AP14" t="s">
        <v>56</v>
      </c>
      <c r="AQ14" t="s">
        <v>71</v>
      </c>
      <c r="AR14" t="s">
        <v>56</v>
      </c>
      <c r="AS14" t="s">
        <v>56</v>
      </c>
      <c r="AT14" t="s">
        <v>56</v>
      </c>
      <c r="AU14" t="s">
        <v>56</v>
      </c>
      <c r="AV14" t="s">
        <v>56</v>
      </c>
      <c r="AW14" t="s">
        <v>56</v>
      </c>
      <c r="AX14">
        <v>4</v>
      </c>
    </row>
    <row r="15" spans="1:50" x14ac:dyDescent="0.25">
      <c r="A15" t="str">
        <f>"20200124142017007884"</f>
        <v>20200124142017007884</v>
      </c>
      <c r="B15" t="s">
        <v>201</v>
      </c>
      <c r="C15" t="s">
        <v>201</v>
      </c>
      <c r="D15" t="s">
        <v>202</v>
      </c>
      <c r="E15" t="str">
        <f>"080010445409"</f>
        <v>080010445409</v>
      </c>
      <c r="F15" t="s">
        <v>52</v>
      </c>
      <c r="G15">
        <v>901139193</v>
      </c>
      <c r="H15" t="s">
        <v>112</v>
      </c>
      <c r="I15" t="s">
        <v>203</v>
      </c>
      <c r="J15">
        <v>3781483</v>
      </c>
      <c r="K15" t="s">
        <v>54</v>
      </c>
      <c r="L15">
        <v>1045668608</v>
      </c>
      <c r="M15" t="s">
        <v>204</v>
      </c>
      <c r="N15" t="s">
        <v>205</v>
      </c>
      <c r="O15" t="s">
        <v>206</v>
      </c>
      <c r="P15" t="s">
        <v>207</v>
      </c>
      <c r="Q15" t="s">
        <v>208</v>
      </c>
      <c r="R15" t="s">
        <v>54</v>
      </c>
      <c r="S15">
        <v>22704540</v>
      </c>
      <c r="T15" t="s">
        <v>209</v>
      </c>
      <c r="U15" t="s">
        <v>210</v>
      </c>
      <c r="V15" t="s">
        <v>211</v>
      </c>
      <c r="W15" t="s">
        <v>212</v>
      </c>
      <c r="X15" t="s">
        <v>120</v>
      </c>
      <c r="Y15" t="s">
        <v>121</v>
      </c>
      <c r="Z15">
        <v>12</v>
      </c>
      <c r="AA15" t="s">
        <v>65</v>
      </c>
      <c r="AB15" t="s">
        <v>56</v>
      </c>
      <c r="AC15" t="s">
        <v>56</v>
      </c>
      <c r="AD15">
        <v>0</v>
      </c>
      <c r="AE15" t="s">
        <v>66</v>
      </c>
      <c r="AF15" t="s">
        <v>56</v>
      </c>
      <c r="AG15" t="s">
        <v>56</v>
      </c>
      <c r="AH15" t="s">
        <v>56</v>
      </c>
      <c r="AI15" t="s">
        <v>56</v>
      </c>
      <c r="AJ15" t="s">
        <v>122</v>
      </c>
      <c r="AK15" t="s">
        <v>123</v>
      </c>
      <c r="AL15" t="s">
        <v>213</v>
      </c>
      <c r="AM15" t="s">
        <v>214</v>
      </c>
      <c r="AN15" t="s">
        <v>215</v>
      </c>
      <c r="AO15" t="s">
        <v>216</v>
      </c>
      <c r="AP15" t="s">
        <v>56</v>
      </c>
      <c r="AQ15" t="s">
        <v>71</v>
      </c>
      <c r="AR15" t="s">
        <v>56</v>
      </c>
      <c r="AS15" t="s">
        <v>56</v>
      </c>
      <c r="AT15" t="s">
        <v>56</v>
      </c>
      <c r="AU15" t="s">
        <v>56</v>
      </c>
      <c r="AV15" t="s">
        <v>56</v>
      </c>
      <c r="AW15" t="s">
        <v>56</v>
      </c>
      <c r="AX15">
        <v>4</v>
      </c>
    </row>
    <row r="16" spans="1:50" x14ac:dyDescent="0.25">
      <c r="A16" t="str">
        <f>"20200128162017080160"</f>
        <v>20200128162017080160</v>
      </c>
      <c r="B16" t="s">
        <v>151</v>
      </c>
      <c r="C16" t="s">
        <v>151</v>
      </c>
      <c r="D16" t="s">
        <v>217</v>
      </c>
      <c r="E16" t="str">
        <f>"080010003601"</f>
        <v>080010003601</v>
      </c>
      <c r="F16" t="s">
        <v>52</v>
      </c>
      <c r="G16">
        <v>802000955</v>
      </c>
      <c r="H16" t="s">
        <v>112</v>
      </c>
      <c r="I16" t="s">
        <v>218</v>
      </c>
      <c r="J16" t="s">
        <v>56</v>
      </c>
      <c r="K16" t="s">
        <v>54</v>
      </c>
      <c r="L16">
        <v>8703386</v>
      </c>
      <c r="M16" t="s">
        <v>219</v>
      </c>
      <c r="N16" t="s">
        <v>56</v>
      </c>
      <c r="O16" t="s">
        <v>220</v>
      </c>
      <c r="P16" t="s">
        <v>221</v>
      </c>
      <c r="Q16" t="s">
        <v>222</v>
      </c>
      <c r="R16" t="s">
        <v>54</v>
      </c>
      <c r="S16">
        <v>7446840</v>
      </c>
      <c r="T16" t="s">
        <v>223</v>
      </c>
      <c r="U16" t="s">
        <v>76</v>
      </c>
      <c r="V16" t="s">
        <v>224</v>
      </c>
      <c r="W16" t="s">
        <v>225</v>
      </c>
      <c r="X16" t="s">
        <v>120</v>
      </c>
      <c r="Y16" t="s">
        <v>121</v>
      </c>
      <c r="Z16">
        <v>12</v>
      </c>
      <c r="AA16" t="s">
        <v>65</v>
      </c>
      <c r="AB16" t="s">
        <v>56</v>
      </c>
      <c r="AC16" t="s">
        <v>56</v>
      </c>
      <c r="AD16">
        <v>0</v>
      </c>
      <c r="AE16" t="s">
        <v>66</v>
      </c>
      <c r="AF16" t="s">
        <v>56</v>
      </c>
      <c r="AG16" t="s">
        <v>56</v>
      </c>
      <c r="AH16" t="s">
        <v>56</v>
      </c>
      <c r="AI16" t="s">
        <v>56</v>
      </c>
      <c r="AJ16" t="s">
        <v>226</v>
      </c>
      <c r="AK16" t="s">
        <v>227</v>
      </c>
      <c r="AL16" t="s">
        <v>228</v>
      </c>
      <c r="AM16" t="s">
        <v>229</v>
      </c>
      <c r="AN16" t="s">
        <v>56</v>
      </c>
      <c r="AO16" t="s">
        <v>56</v>
      </c>
      <c r="AP16" t="s">
        <v>56</v>
      </c>
      <c r="AQ16" t="s">
        <v>71</v>
      </c>
      <c r="AR16" t="s">
        <v>56</v>
      </c>
      <c r="AS16" t="s">
        <v>56</v>
      </c>
      <c r="AT16" t="s">
        <v>56</v>
      </c>
      <c r="AU16" t="s">
        <v>56</v>
      </c>
      <c r="AV16" t="s">
        <v>56</v>
      </c>
      <c r="AW16" t="s">
        <v>56</v>
      </c>
      <c r="AX16">
        <v>4</v>
      </c>
    </row>
    <row r="17" spans="1:50" x14ac:dyDescent="0.25">
      <c r="A17" t="str">
        <f>"20200128112017083315"</f>
        <v>20200128112017083315</v>
      </c>
      <c r="B17" t="s">
        <v>151</v>
      </c>
      <c r="C17" t="s">
        <v>151</v>
      </c>
      <c r="D17" t="s">
        <v>230</v>
      </c>
      <c r="E17" t="str">
        <f>"080010133001"</f>
        <v>080010133001</v>
      </c>
      <c r="F17" t="s">
        <v>52</v>
      </c>
      <c r="G17">
        <v>802006728</v>
      </c>
      <c r="H17" t="s">
        <v>112</v>
      </c>
      <c r="I17" t="s">
        <v>231</v>
      </c>
      <c r="J17" t="s">
        <v>232</v>
      </c>
      <c r="K17" t="s">
        <v>54</v>
      </c>
      <c r="L17">
        <v>3716105</v>
      </c>
      <c r="M17" t="s">
        <v>233</v>
      </c>
      <c r="N17" t="s">
        <v>234</v>
      </c>
      <c r="O17" t="s">
        <v>235</v>
      </c>
      <c r="P17" t="s">
        <v>236</v>
      </c>
      <c r="Q17">
        <v>5845</v>
      </c>
      <c r="R17" t="s">
        <v>237</v>
      </c>
      <c r="S17">
        <v>1041770217</v>
      </c>
      <c r="T17" t="s">
        <v>117</v>
      </c>
      <c r="U17" t="s">
        <v>238</v>
      </c>
      <c r="V17" t="s">
        <v>239</v>
      </c>
      <c r="W17" t="s">
        <v>240</v>
      </c>
      <c r="X17" t="s">
        <v>241</v>
      </c>
      <c r="Y17" t="s">
        <v>121</v>
      </c>
      <c r="Z17">
        <v>11</v>
      </c>
      <c r="AA17" t="s">
        <v>87</v>
      </c>
      <c r="AB17" t="s">
        <v>56</v>
      </c>
      <c r="AC17" t="s">
        <v>56</v>
      </c>
      <c r="AD17">
        <v>0</v>
      </c>
      <c r="AE17" t="s">
        <v>66</v>
      </c>
      <c r="AF17" t="s">
        <v>56</v>
      </c>
      <c r="AG17" t="s">
        <v>56</v>
      </c>
      <c r="AH17" t="s">
        <v>56</v>
      </c>
      <c r="AI17" t="s">
        <v>56</v>
      </c>
      <c r="AJ17" t="s">
        <v>242</v>
      </c>
      <c r="AK17" t="s">
        <v>243</v>
      </c>
      <c r="AL17" t="s">
        <v>56</v>
      </c>
      <c r="AM17" t="s">
        <v>56</v>
      </c>
      <c r="AN17" t="s">
        <v>56</v>
      </c>
      <c r="AO17" t="s">
        <v>56</v>
      </c>
      <c r="AP17" t="s">
        <v>56</v>
      </c>
      <c r="AQ17" t="s">
        <v>71</v>
      </c>
      <c r="AR17" t="s">
        <v>56</v>
      </c>
      <c r="AS17" t="s">
        <v>56</v>
      </c>
      <c r="AT17" t="s">
        <v>56</v>
      </c>
      <c r="AU17" t="s">
        <v>56</v>
      </c>
      <c r="AV17" t="s">
        <v>56</v>
      </c>
      <c r="AW17" t="s">
        <v>56</v>
      </c>
      <c r="AX17">
        <v>4</v>
      </c>
    </row>
    <row r="18" spans="1:50" x14ac:dyDescent="0.25">
      <c r="A18" t="str">
        <f>"20200126144017037111"</f>
        <v>20200126144017037111</v>
      </c>
      <c r="B18" t="s">
        <v>244</v>
      </c>
      <c r="C18" t="s">
        <v>244</v>
      </c>
      <c r="D18" t="s">
        <v>245</v>
      </c>
      <c r="E18" t="str">
        <f>"086380074501"</f>
        <v>086380074501</v>
      </c>
      <c r="F18" t="s">
        <v>52</v>
      </c>
      <c r="G18">
        <v>900080150</v>
      </c>
      <c r="H18" t="s">
        <v>246</v>
      </c>
      <c r="I18" t="s">
        <v>247</v>
      </c>
      <c r="J18">
        <v>8783805</v>
      </c>
      <c r="K18" t="s">
        <v>54</v>
      </c>
      <c r="L18">
        <v>32831753</v>
      </c>
      <c r="M18" t="s">
        <v>248</v>
      </c>
      <c r="N18" t="s">
        <v>205</v>
      </c>
      <c r="O18" t="s">
        <v>134</v>
      </c>
      <c r="P18" t="s">
        <v>249</v>
      </c>
      <c r="Q18">
        <v>231539</v>
      </c>
      <c r="R18" t="s">
        <v>54</v>
      </c>
      <c r="S18">
        <v>1048223951</v>
      </c>
      <c r="T18" t="s">
        <v>250</v>
      </c>
      <c r="U18" t="s">
        <v>251</v>
      </c>
      <c r="V18" t="s">
        <v>252</v>
      </c>
      <c r="W18" t="s">
        <v>253</v>
      </c>
      <c r="X18" t="s">
        <v>254</v>
      </c>
      <c r="Y18" t="s">
        <v>121</v>
      </c>
      <c r="Z18">
        <v>12</v>
      </c>
      <c r="AA18" t="s">
        <v>65</v>
      </c>
      <c r="AB18" t="s">
        <v>56</v>
      </c>
      <c r="AC18" t="s">
        <v>56</v>
      </c>
      <c r="AD18">
        <v>0</v>
      </c>
      <c r="AE18" t="s">
        <v>66</v>
      </c>
      <c r="AF18" t="s">
        <v>56</v>
      </c>
      <c r="AG18" t="s">
        <v>56</v>
      </c>
      <c r="AH18" t="s">
        <v>56</v>
      </c>
      <c r="AI18" t="s">
        <v>56</v>
      </c>
      <c r="AJ18" t="s">
        <v>255</v>
      </c>
      <c r="AK18" t="s">
        <v>256</v>
      </c>
      <c r="AL18" t="s">
        <v>56</v>
      </c>
      <c r="AM18" t="s">
        <v>56</v>
      </c>
      <c r="AN18" t="s">
        <v>56</v>
      </c>
      <c r="AO18" t="s">
        <v>56</v>
      </c>
      <c r="AP18" t="s">
        <v>56</v>
      </c>
      <c r="AQ18" t="s">
        <v>71</v>
      </c>
      <c r="AR18" t="s">
        <v>56</v>
      </c>
      <c r="AS18" t="s">
        <v>56</v>
      </c>
      <c r="AT18" t="s">
        <v>56</v>
      </c>
      <c r="AU18" t="s">
        <v>56</v>
      </c>
      <c r="AV18" t="s">
        <v>56</v>
      </c>
      <c r="AW18" t="s">
        <v>56</v>
      </c>
      <c r="AX18">
        <v>4</v>
      </c>
    </row>
    <row r="19" spans="1:50" x14ac:dyDescent="0.25">
      <c r="A19" t="str">
        <f>"20200131164017170299"</f>
        <v>20200131164017170299</v>
      </c>
      <c r="B19" t="s">
        <v>110</v>
      </c>
      <c r="C19" t="s">
        <v>110</v>
      </c>
      <c r="D19" t="s">
        <v>257</v>
      </c>
      <c r="E19" t="str">
        <f>"134300068301"</f>
        <v>134300068301</v>
      </c>
      <c r="F19" t="s">
        <v>52</v>
      </c>
      <c r="G19">
        <v>900827631</v>
      </c>
      <c r="H19">
        <v>13430</v>
      </c>
      <c r="I19" t="s">
        <v>258</v>
      </c>
      <c r="J19">
        <v>3145812515</v>
      </c>
      <c r="K19" t="s">
        <v>54</v>
      </c>
      <c r="L19">
        <v>78733522</v>
      </c>
      <c r="M19" t="s">
        <v>259</v>
      </c>
      <c r="N19" t="s">
        <v>223</v>
      </c>
      <c r="O19" t="s">
        <v>179</v>
      </c>
      <c r="P19" t="s">
        <v>260</v>
      </c>
      <c r="Q19">
        <v>23306</v>
      </c>
      <c r="R19" t="s">
        <v>54</v>
      </c>
      <c r="S19">
        <v>9266671</v>
      </c>
      <c r="T19" t="s">
        <v>164</v>
      </c>
      <c r="U19" t="s">
        <v>261</v>
      </c>
      <c r="V19" t="s">
        <v>262</v>
      </c>
      <c r="W19" t="s">
        <v>263</v>
      </c>
      <c r="X19" t="s">
        <v>264</v>
      </c>
      <c r="Y19" t="s">
        <v>101</v>
      </c>
      <c r="Z19">
        <v>12</v>
      </c>
      <c r="AA19" t="s">
        <v>65</v>
      </c>
      <c r="AB19" t="s">
        <v>56</v>
      </c>
      <c r="AC19" t="s">
        <v>56</v>
      </c>
      <c r="AD19">
        <v>0</v>
      </c>
      <c r="AE19" t="s">
        <v>66</v>
      </c>
      <c r="AF19" t="s">
        <v>56</v>
      </c>
      <c r="AG19" t="s">
        <v>56</v>
      </c>
      <c r="AH19" t="s">
        <v>56</v>
      </c>
      <c r="AI19" t="s">
        <v>56</v>
      </c>
      <c r="AJ19" t="s">
        <v>265</v>
      </c>
      <c r="AK19" t="s">
        <v>266</v>
      </c>
      <c r="AL19" t="s">
        <v>267</v>
      </c>
      <c r="AM19" t="s">
        <v>268</v>
      </c>
      <c r="AN19" t="s">
        <v>56</v>
      </c>
      <c r="AO19" t="s">
        <v>56</v>
      </c>
      <c r="AP19" t="s">
        <v>56</v>
      </c>
      <c r="AQ19" t="s">
        <v>71</v>
      </c>
      <c r="AR19" t="s">
        <v>56</v>
      </c>
      <c r="AS19" t="s">
        <v>56</v>
      </c>
      <c r="AT19" t="s">
        <v>56</v>
      </c>
      <c r="AU19" t="s">
        <v>56</v>
      </c>
      <c r="AV19" t="s">
        <v>56</v>
      </c>
      <c r="AW19" t="s">
        <v>56</v>
      </c>
      <c r="AX19">
        <v>4</v>
      </c>
    </row>
    <row r="20" spans="1:50" x14ac:dyDescent="0.25">
      <c r="A20" t="str">
        <f>"20200129190017128416"</f>
        <v>20200129190017128416</v>
      </c>
      <c r="B20" t="s">
        <v>72</v>
      </c>
      <c r="C20" t="s">
        <v>72</v>
      </c>
      <c r="D20" t="s">
        <v>269</v>
      </c>
      <c r="E20" t="str">
        <f>"760010379901"</f>
        <v>760010379901</v>
      </c>
      <c r="F20" t="s">
        <v>52</v>
      </c>
      <c r="G20">
        <v>890303461</v>
      </c>
      <c r="H20">
        <v>76001</v>
      </c>
      <c r="I20" t="s">
        <v>270</v>
      </c>
      <c r="J20" t="s">
        <v>271</v>
      </c>
      <c r="K20" t="s">
        <v>54</v>
      </c>
      <c r="L20">
        <v>94233872</v>
      </c>
      <c r="M20" t="s">
        <v>272</v>
      </c>
      <c r="N20" t="s">
        <v>107</v>
      </c>
      <c r="O20" t="s">
        <v>273</v>
      </c>
      <c r="P20" t="s">
        <v>274</v>
      </c>
      <c r="Q20">
        <v>761214</v>
      </c>
      <c r="R20" t="s">
        <v>54</v>
      </c>
      <c r="S20">
        <v>31414092</v>
      </c>
      <c r="T20" t="s">
        <v>158</v>
      </c>
      <c r="U20" t="s">
        <v>275</v>
      </c>
      <c r="V20" t="s">
        <v>207</v>
      </c>
      <c r="W20" t="s">
        <v>276</v>
      </c>
      <c r="X20" t="s">
        <v>277</v>
      </c>
      <c r="Y20" t="s">
        <v>64</v>
      </c>
      <c r="Z20">
        <v>22</v>
      </c>
      <c r="AA20" t="s">
        <v>102</v>
      </c>
      <c r="AB20">
        <v>0</v>
      </c>
      <c r="AC20" t="s">
        <v>66</v>
      </c>
      <c r="AD20">
        <v>0</v>
      </c>
      <c r="AE20" t="s">
        <v>66</v>
      </c>
      <c r="AF20" t="s">
        <v>56</v>
      </c>
      <c r="AG20" t="s">
        <v>56</v>
      </c>
      <c r="AH20" t="s">
        <v>56</v>
      </c>
      <c r="AI20" t="s">
        <v>56</v>
      </c>
      <c r="AJ20" t="s">
        <v>278</v>
      </c>
      <c r="AK20" t="s">
        <v>279</v>
      </c>
      <c r="AL20" t="s">
        <v>56</v>
      </c>
      <c r="AM20" t="s">
        <v>56</v>
      </c>
      <c r="AN20" t="s">
        <v>56</v>
      </c>
      <c r="AO20" t="s">
        <v>56</v>
      </c>
      <c r="AP20" t="s">
        <v>56</v>
      </c>
      <c r="AQ20" t="s">
        <v>71</v>
      </c>
      <c r="AR20" t="s">
        <v>56</v>
      </c>
      <c r="AS20" t="s">
        <v>56</v>
      </c>
      <c r="AT20" t="s">
        <v>56</v>
      </c>
      <c r="AU20" t="s">
        <v>56</v>
      </c>
      <c r="AV20" t="s">
        <v>56</v>
      </c>
      <c r="AW20" t="s">
        <v>56</v>
      </c>
      <c r="AX20">
        <v>4</v>
      </c>
    </row>
    <row r="21" spans="1:50" x14ac:dyDescent="0.25">
      <c r="A21" t="str">
        <f>"20200128187017083151"</f>
        <v>20200128187017083151</v>
      </c>
      <c r="B21" t="s">
        <v>151</v>
      </c>
      <c r="C21" t="s">
        <v>151</v>
      </c>
      <c r="D21" t="s">
        <v>280</v>
      </c>
      <c r="E21" t="str">
        <f>"760010379901"</f>
        <v>760010379901</v>
      </c>
      <c r="F21" t="s">
        <v>52</v>
      </c>
      <c r="G21">
        <v>890303461</v>
      </c>
      <c r="H21">
        <v>76001</v>
      </c>
      <c r="I21" t="s">
        <v>270</v>
      </c>
      <c r="J21" t="s">
        <v>271</v>
      </c>
      <c r="K21" t="s">
        <v>54</v>
      </c>
      <c r="L21">
        <v>6228465</v>
      </c>
      <c r="M21" t="s">
        <v>281</v>
      </c>
      <c r="N21" t="s">
        <v>282</v>
      </c>
      <c r="O21" t="s">
        <v>283</v>
      </c>
      <c r="P21" t="s">
        <v>284</v>
      </c>
      <c r="Q21" t="s">
        <v>285</v>
      </c>
      <c r="R21" t="s">
        <v>54</v>
      </c>
      <c r="S21">
        <v>31414092</v>
      </c>
      <c r="T21" t="s">
        <v>158</v>
      </c>
      <c r="U21" t="s">
        <v>275</v>
      </c>
      <c r="V21" t="s">
        <v>207</v>
      </c>
      <c r="W21" t="s">
        <v>276</v>
      </c>
      <c r="X21" t="s">
        <v>277</v>
      </c>
      <c r="Y21" t="s">
        <v>64</v>
      </c>
      <c r="Z21">
        <v>22</v>
      </c>
      <c r="AA21" t="s">
        <v>102</v>
      </c>
      <c r="AB21">
        <v>0</v>
      </c>
      <c r="AC21" t="s">
        <v>66</v>
      </c>
      <c r="AD21">
        <v>0</v>
      </c>
      <c r="AE21" t="s">
        <v>66</v>
      </c>
      <c r="AF21" t="s">
        <v>56</v>
      </c>
      <c r="AG21" t="s">
        <v>56</v>
      </c>
      <c r="AH21" t="s">
        <v>56</v>
      </c>
      <c r="AI21" t="s">
        <v>56</v>
      </c>
      <c r="AJ21" t="s">
        <v>278</v>
      </c>
      <c r="AK21" t="s">
        <v>279</v>
      </c>
      <c r="AL21" t="s">
        <v>56</v>
      </c>
      <c r="AM21" t="s">
        <v>56</v>
      </c>
      <c r="AN21" t="s">
        <v>56</v>
      </c>
      <c r="AO21" t="s">
        <v>56</v>
      </c>
      <c r="AP21" t="s">
        <v>56</v>
      </c>
      <c r="AQ21" t="s">
        <v>71</v>
      </c>
      <c r="AR21" t="s">
        <v>56</v>
      </c>
      <c r="AS21" t="s">
        <v>56</v>
      </c>
      <c r="AT21" t="s">
        <v>56</v>
      </c>
      <c r="AU21" t="s">
        <v>56</v>
      </c>
      <c r="AV21" t="s">
        <v>56</v>
      </c>
      <c r="AW21" t="s">
        <v>56</v>
      </c>
      <c r="AX21">
        <v>4</v>
      </c>
    </row>
    <row r="22" spans="1:50" x14ac:dyDescent="0.25">
      <c r="A22" t="str">
        <f>"20200128141017083429"</f>
        <v>20200128141017083429</v>
      </c>
      <c r="B22" t="s">
        <v>151</v>
      </c>
      <c r="C22" t="s">
        <v>151</v>
      </c>
      <c r="D22" t="s">
        <v>286</v>
      </c>
      <c r="E22" t="str">
        <f>"760010379901"</f>
        <v>760010379901</v>
      </c>
      <c r="F22" t="s">
        <v>52</v>
      </c>
      <c r="G22">
        <v>890303461</v>
      </c>
      <c r="H22">
        <v>76001</v>
      </c>
      <c r="I22" t="s">
        <v>270</v>
      </c>
      <c r="J22" t="s">
        <v>271</v>
      </c>
      <c r="K22" t="s">
        <v>54</v>
      </c>
      <c r="L22">
        <v>6228465</v>
      </c>
      <c r="M22" t="s">
        <v>281</v>
      </c>
      <c r="N22" t="s">
        <v>282</v>
      </c>
      <c r="O22" t="s">
        <v>283</v>
      </c>
      <c r="P22" t="s">
        <v>284</v>
      </c>
      <c r="Q22" t="s">
        <v>285</v>
      </c>
      <c r="R22" t="s">
        <v>54</v>
      </c>
      <c r="S22">
        <v>31414092</v>
      </c>
      <c r="T22" t="s">
        <v>158</v>
      </c>
      <c r="U22" t="s">
        <v>275</v>
      </c>
      <c r="V22" t="s">
        <v>207</v>
      </c>
      <c r="W22" t="s">
        <v>276</v>
      </c>
      <c r="X22" t="s">
        <v>277</v>
      </c>
      <c r="Y22" t="s">
        <v>64</v>
      </c>
      <c r="Z22">
        <v>22</v>
      </c>
      <c r="AA22" t="s">
        <v>102</v>
      </c>
      <c r="AB22">
        <v>0</v>
      </c>
      <c r="AC22" t="s">
        <v>66</v>
      </c>
      <c r="AD22">
        <v>0</v>
      </c>
      <c r="AE22" t="s">
        <v>66</v>
      </c>
      <c r="AF22" t="s">
        <v>56</v>
      </c>
      <c r="AG22" t="s">
        <v>56</v>
      </c>
      <c r="AH22" t="s">
        <v>56</v>
      </c>
      <c r="AI22" t="s">
        <v>56</v>
      </c>
      <c r="AJ22" t="s">
        <v>287</v>
      </c>
      <c r="AK22" t="s">
        <v>288</v>
      </c>
      <c r="AL22" t="s">
        <v>56</v>
      </c>
      <c r="AM22" t="s">
        <v>56</v>
      </c>
      <c r="AN22" t="s">
        <v>56</v>
      </c>
      <c r="AO22" t="s">
        <v>56</v>
      </c>
      <c r="AP22" t="s">
        <v>56</v>
      </c>
      <c r="AQ22" t="s">
        <v>71</v>
      </c>
      <c r="AR22" t="s">
        <v>56</v>
      </c>
      <c r="AS22" t="s">
        <v>56</v>
      </c>
      <c r="AT22" t="s">
        <v>56</v>
      </c>
      <c r="AU22" t="s">
        <v>56</v>
      </c>
      <c r="AV22" t="s">
        <v>56</v>
      </c>
      <c r="AW22" t="s">
        <v>56</v>
      </c>
      <c r="AX22">
        <v>4</v>
      </c>
    </row>
    <row r="23" spans="1:50" x14ac:dyDescent="0.25">
      <c r="A23" t="str">
        <f>"20200128180017083804"</f>
        <v>20200128180017083804</v>
      </c>
      <c r="B23" t="s">
        <v>151</v>
      </c>
      <c r="C23" t="s">
        <v>151</v>
      </c>
      <c r="D23" t="s">
        <v>289</v>
      </c>
      <c r="E23" t="str">
        <f>"760010379901"</f>
        <v>760010379901</v>
      </c>
      <c r="F23" t="s">
        <v>52</v>
      </c>
      <c r="G23">
        <v>890303461</v>
      </c>
      <c r="H23">
        <v>76001</v>
      </c>
      <c r="I23" t="s">
        <v>270</v>
      </c>
      <c r="J23" t="s">
        <v>271</v>
      </c>
      <c r="K23" t="s">
        <v>54</v>
      </c>
      <c r="L23">
        <v>6228465</v>
      </c>
      <c r="M23" t="s">
        <v>281</v>
      </c>
      <c r="N23" t="s">
        <v>282</v>
      </c>
      <c r="O23" t="s">
        <v>283</v>
      </c>
      <c r="P23" t="s">
        <v>284</v>
      </c>
      <c r="Q23" t="s">
        <v>285</v>
      </c>
      <c r="R23" t="s">
        <v>54</v>
      </c>
      <c r="S23">
        <v>31414092</v>
      </c>
      <c r="T23" t="s">
        <v>158</v>
      </c>
      <c r="U23" t="s">
        <v>275</v>
      </c>
      <c r="V23" t="s">
        <v>207</v>
      </c>
      <c r="W23" t="s">
        <v>276</v>
      </c>
      <c r="X23" t="s">
        <v>277</v>
      </c>
      <c r="Y23" t="s">
        <v>64</v>
      </c>
      <c r="Z23">
        <v>22</v>
      </c>
      <c r="AA23" t="s">
        <v>102</v>
      </c>
      <c r="AB23">
        <v>0</v>
      </c>
      <c r="AC23" t="s">
        <v>66</v>
      </c>
      <c r="AD23">
        <v>0</v>
      </c>
      <c r="AE23" t="s">
        <v>66</v>
      </c>
      <c r="AF23" t="s">
        <v>56</v>
      </c>
      <c r="AG23" t="s">
        <v>56</v>
      </c>
      <c r="AH23" t="s">
        <v>56</v>
      </c>
      <c r="AI23" t="s">
        <v>56</v>
      </c>
      <c r="AJ23" t="s">
        <v>287</v>
      </c>
      <c r="AK23" t="s">
        <v>288</v>
      </c>
      <c r="AL23" t="s">
        <v>56</v>
      </c>
      <c r="AM23" t="s">
        <v>56</v>
      </c>
      <c r="AN23" t="s">
        <v>56</v>
      </c>
      <c r="AO23" t="s">
        <v>56</v>
      </c>
      <c r="AP23" t="s">
        <v>56</v>
      </c>
      <c r="AQ23" t="s">
        <v>71</v>
      </c>
      <c r="AR23" t="s">
        <v>56</v>
      </c>
      <c r="AS23" t="s">
        <v>56</v>
      </c>
      <c r="AT23" t="s">
        <v>56</v>
      </c>
      <c r="AU23" t="s">
        <v>56</v>
      </c>
      <c r="AV23" t="s">
        <v>56</v>
      </c>
      <c r="AW23" t="s">
        <v>56</v>
      </c>
      <c r="AX23">
        <v>4</v>
      </c>
    </row>
    <row r="24" spans="1:50" x14ac:dyDescent="0.25">
      <c r="A24" t="str">
        <f>"20200201134017186032"</f>
        <v>20200201134017186032</v>
      </c>
      <c r="B24" t="s">
        <v>50</v>
      </c>
      <c r="C24" t="s">
        <v>50</v>
      </c>
      <c r="D24" t="s">
        <v>290</v>
      </c>
      <c r="E24" t="str">
        <f>"087580001301"</f>
        <v>087580001301</v>
      </c>
      <c r="F24" t="s">
        <v>52</v>
      </c>
      <c r="G24">
        <v>890112801</v>
      </c>
      <c r="H24" t="s">
        <v>74</v>
      </c>
      <c r="I24" t="s">
        <v>75</v>
      </c>
      <c r="J24">
        <v>3715562</v>
      </c>
      <c r="K24" t="s">
        <v>54</v>
      </c>
      <c r="L24">
        <v>8721390</v>
      </c>
      <c r="M24" t="s">
        <v>291</v>
      </c>
      <c r="N24" t="s">
        <v>292</v>
      </c>
      <c r="O24" t="s">
        <v>293</v>
      </c>
      <c r="P24" t="s">
        <v>294</v>
      </c>
      <c r="Q24">
        <v>3149</v>
      </c>
      <c r="R24" t="s">
        <v>54</v>
      </c>
      <c r="S24">
        <v>44154532</v>
      </c>
      <c r="T24" t="s">
        <v>295</v>
      </c>
      <c r="U24" t="s">
        <v>296</v>
      </c>
      <c r="V24" t="s">
        <v>297</v>
      </c>
      <c r="W24" t="s">
        <v>298</v>
      </c>
      <c r="X24" t="s">
        <v>299</v>
      </c>
      <c r="Y24" t="s">
        <v>121</v>
      </c>
      <c r="Z24">
        <v>12</v>
      </c>
      <c r="AA24" t="s">
        <v>65</v>
      </c>
      <c r="AB24" t="s">
        <v>56</v>
      </c>
      <c r="AC24" t="s">
        <v>56</v>
      </c>
      <c r="AD24">
        <v>0</v>
      </c>
      <c r="AE24" t="s">
        <v>66</v>
      </c>
      <c r="AF24" t="s">
        <v>56</v>
      </c>
      <c r="AG24" t="s">
        <v>56</v>
      </c>
      <c r="AH24" t="s">
        <v>56</v>
      </c>
      <c r="AI24" t="s">
        <v>56</v>
      </c>
      <c r="AJ24" t="s">
        <v>300</v>
      </c>
      <c r="AK24" t="s">
        <v>301</v>
      </c>
      <c r="AL24" t="s">
        <v>56</v>
      </c>
      <c r="AM24" t="s">
        <v>56</v>
      </c>
      <c r="AN24" t="s">
        <v>56</v>
      </c>
      <c r="AO24" t="s">
        <v>56</v>
      </c>
      <c r="AP24" t="s">
        <v>56</v>
      </c>
      <c r="AQ24" t="s">
        <v>71</v>
      </c>
      <c r="AR24" t="s">
        <v>56</v>
      </c>
      <c r="AS24" t="s">
        <v>56</v>
      </c>
      <c r="AT24" t="s">
        <v>56</v>
      </c>
      <c r="AU24" t="s">
        <v>56</v>
      </c>
      <c r="AV24" t="s">
        <v>56</v>
      </c>
      <c r="AW24" t="s">
        <v>56</v>
      </c>
      <c r="AX24">
        <v>4</v>
      </c>
    </row>
    <row r="25" spans="1:50" x14ac:dyDescent="0.25">
      <c r="A25" t="str">
        <f>"20200130163017137542"</f>
        <v>20200130163017137542</v>
      </c>
      <c r="B25" t="s">
        <v>124</v>
      </c>
      <c r="C25" t="s">
        <v>124</v>
      </c>
      <c r="D25" t="s">
        <v>302</v>
      </c>
      <c r="E25" t="str">
        <f>"080010022301"</f>
        <v>080010022301</v>
      </c>
      <c r="F25" t="s">
        <v>52</v>
      </c>
      <c r="G25">
        <v>72125229</v>
      </c>
      <c r="H25" t="s">
        <v>112</v>
      </c>
      <c r="I25" t="s">
        <v>303</v>
      </c>
      <c r="J25">
        <v>3781924</v>
      </c>
      <c r="K25" t="s">
        <v>54</v>
      </c>
      <c r="L25">
        <v>72125229</v>
      </c>
      <c r="M25" t="s">
        <v>304</v>
      </c>
      <c r="N25" t="s">
        <v>56</v>
      </c>
      <c r="O25" t="s">
        <v>305</v>
      </c>
      <c r="P25" t="s">
        <v>306</v>
      </c>
      <c r="Q25" t="s">
        <v>56</v>
      </c>
      <c r="R25" t="s">
        <v>54</v>
      </c>
      <c r="S25">
        <v>32765761</v>
      </c>
      <c r="T25" t="s">
        <v>307</v>
      </c>
      <c r="U25" t="s">
        <v>205</v>
      </c>
      <c r="V25" t="s">
        <v>308</v>
      </c>
      <c r="W25" t="s">
        <v>309</v>
      </c>
      <c r="X25" t="s">
        <v>120</v>
      </c>
      <c r="Y25" t="s">
        <v>121</v>
      </c>
      <c r="Z25">
        <v>12</v>
      </c>
      <c r="AA25" t="s">
        <v>65</v>
      </c>
      <c r="AB25" t="s">
        <v>56</v>
      </c>
      <c r="AC25" t="s">
        <v>56</v>
      </c>
      <c r="AD25">
        <v>0</v>
      </c>
      <c r="AE25" t="s">
        <v>66</v>
      </c>
      <c r="AF25" t="s">
        <v>56</v>
      </c>
      <c r="AG25" t="s">
        <v>56</v>
      </c>
      <c r="AH25" t="s">
        <v>56</v>
      </c>
      <c r="AI25" t="s">
        <v>56</v>
      </c>
      <c r="AJ25" t="s">
        <v>310</v>
      </c>
      <c r="AK25" t="s">
        <v>311</v>
      </c>
      <c r="AL25" t="s">
        <v>56</v>
      </c>
      <c r="AM25" t="s">
        <v>56</v>
      </c>
      <c r="AN25" t="s">
        <v>56</v>
      </c>
      <c r="AO25" t="s">
        <v>56</v>
      </c>
      <c r="AP25" t="s">
        <v>56</v>
      </c>
      <c r="AQ25" t="s">
        <v>71</v>
      </c>
      <c r="AR25" t="s">
        <v>56</v>
      </c>
      <c r="AS25" t="s">
        <v>56</v>
      </c>
      <c r="AT25" t="s">
        <v>56</v>
      </c>
      <c r="AU25" t="s">
        <v>56</v>
      </c>
      <c r="AV25" t="s">
        <v>56</v>
      </c>
      <c r="AW25" t="s">
        <v>56</v>
      </c>
      <c r="AX25">
        <v>4</v>
      </c>
    </row>
    <row r="26" spans="1:50" x14ac:dyDescent="0.25">
      <c r="A26" t="str">
        <f>"20200129165017103230"</f>
        <v>20200129165017103230</v>
      </c>
      <c r="B26" t="s">
        <v>72</v>
      </c>
      <c r="C26" t="s">
        <v>72</v>
      </c>
      <c r="D26" t="s">
        <v>312</v>
      </c>
      <c r="E26" t="str">
        <f>"080010133502"</f>
        <v>080010133502</v>
      </c>
      <c r="F26" t="s">
        <v>52</v>
      </c>
      <c r="G26">
        <v>800253167</v>
      </c>
      <c r="H26" t="s">
        <v>112</v>
      </c>
      <c r="I26" t="s">
        <v>313</v>
      </c>
      <c r="J26">
        <v>3309000</v>
      </c>
      <c r="K26" t="s">
        <v>54</v>
      </c>
      <c r="L26">
        <v>22468295</v>
      </c>
      <c r="M26" t="s">
        <v>314</v>
      </c>
      <c r="N26" t="s">
        <v>117</v>
      </c>
      <c r="O26" t="s">
        <v>276</v>
      </c>
      <c r="P26" t="s">
        <v>315</v>
      </c>
      <c r="Q26">
        <v>22468295</v>
      </c>
      <c r="R26" t="s">
        <v>54</v>
      </c>
      <c r="S26">
        <v>22645284</v>
      </c>
      <c r="T26" t="s">
        <v>316</v>
      </c>
      <c r="U26" t="s">
        <v>117</v>
      </c>
      <c r="V26" t="s">
        <v>99</v>
      </c>
      <c r="W26" t="s">
        <v>317</v>
      </c>
      <c r="X26" t="s">
        <v>299</v>
      </c>
      <c r="Y26" t="s">
        <v>121</v>
      </c>
      <c r="Z26">
        <v>12</v>
      </c>
      <c r="AA26" t="s">
        <v>65</v>
      </c>
      <c r="AB26" t="s">
        <v>56</v>
      </c>
      <c r="AC26" t="s">
        <v>56</v>
      </c>
      <c r="AD26">
        <v>0</v>
      </c>
      <c r="AE26" t="s">
        <v>66</v>
      </c>
      <c r="AF26" t="s">
        <v>56</v>
      </c>
      <c r="AG26" t="s">
        <v>56</v>
      </c>
      <c r="AH26" t="s">
        <v>56</v>
      </c>
      <c r="AI26" t="s">
        <v>56</v>
      </c>
      <c r="AJ26" t="s">
        <v>318</v>
      </c>
      <c r="AK26" t="s">
        <v>319</v>
      </c>
      <c r="AL26" t="s">
        <v>320</v>
      </c>
      <c r="AM26" t="s">
        <v>321</v>
      </c>
      <c r="AN26" t="s">
        <v>56</v>
      </c>
      <c r="AO26" t="s">
        <v>56</v>
      </c>
      <c r="AP26" t="s">
        <v>56</v>
      </c>
      <c r="AQ26" t="s">
        <v>71</v>
      </c>
      <c r="AR26" t="s">
        <v>56</v>
      </c>
      <c r="AS26" t="s">
        <v>56</v>
      </c>
      <c r="AT26" t="s">
        <v>56</v>
      </c>
      <c r="AU26" t="s">
        <v>56</v>
      </c>
      <c r="AV26" t="s">
        <v>56</v>
      </c>
      <c r="AW26" t="s">
        <v>56</v>
      </c>
      <c r="AX26">
        <v>4</v>
      </c>
    </row>
    <row r="27" spans="1:50" x14ac:dyDescent="0.25">
      <c r="A27" t="str">
        <f>"20200129191017100897"</f>
        <v>20200129191017100897</v>
      </c>
      <c r="B27" t="s">
        <v>72</v>
      </c>
      <c r="C27" t="s">
        <v>72</v>
      </c>
      <c r="D27" t="s">
        <v>322</v>
      </c>
      <c r="E27" t="str">
        <f>"700010003801"</f>
        <v>700010003801</v>
      </c>
      <c r="F27" t="s">
        <v>52</v>
      </c>
      <c r="G27">
        <v>823003317</v>
      </c>
      <c r="H27">
        <v>70001</v>
      </c>
      <c r="I27" t="s">
        <v>323</v>
      </c>
      <c r="J27">
        <v>2818471</v>
      </c>
      <c r="K27" t="s">
        <v>54</v>
      </c>
      <c r="L27">
        <v>78673966</v>
      </c>
      <c r="M27" t="s">
        <v>282</v>
      </c>
      <c r="N27" t="s">
        <v>165</v>
      </c>
      <c r="O27" t="s">
        <v>324</v>
      </c>
      <c r="P27" t="s">
        <v>78</v>
      </c>
      <c r="Q27">
        <v>23096</v>
      </c>
      <c r="R27" t="s">
        <v>54</v>
      </c>
      <c r="S27">
        <v>9309059</v>
      </c>
      <c r="T27" t="s">
        <v>325</v>
      </c>
      <c r="U27" t="s">
        <v>326</v>
      </c>
      <c r="V27" t="s">
        <v>327</v>
      </c>
      <c r="W27" t="s">
        <v>328</v>
      </c>
      <c r="X27" t="s">
        <v>329</v>
      </c>
      <c r="Y27" t="s">
        <v>330</v>
      </c>
      <c r="Z27">
        <v>12</v>
      </c>
      <c r="AA27" t="s">
        <v>65</v>
      </c>
      <c r="AB27" t="s">
        <v>56</v>
      </c>
      <c r="AC27" t="s">
        <v>56</v>
      </c>
      <c r="AD27">
        <v>0</v>
      </c>
      <c r="AE27" t="s">
        <v>66</v>
      </c>
      <c r="AF27" t="s">
        <v>56</v>
      </c>
      <c r="AG27" t="s">
        <v>56</v>
      </c>
      <c r="AH27" t="s">
        <v>56</v>
      </c>
      <c r="AI27" t="s">
        <v>56</v>
      </c>
      <c r="AJ27" t="s">
        <v>331</v>
      </c>
      <c r="AK27" t="s">
        <v>332</v>
      </c>
      <c r="AL27" t="s">
        <v>333</v>
      </c>
      <c r="AM27" t="s">
        <v>334</v>
      </c>
      <c r="AN27" t="s">
        <v>56</v>
      </c>
      <c r="AO27" t="s">
        <v>56</v>
      </c>
      <c r="AP27" t="s">
        <v>56</v>
      </c>
      <c r="AQ27" t="s">
        <v>71</v>
      </c>
      <c r="AR27" t="s">
        <v>56</v>
      </c>
      <c r="AS27" t="s">
        <v>56</v>
      </c>
      <c r="AT27" t="s">
        <v>56</v>
      </c>
      <c r="AU27" t="s">
        <v>56</v>
      </c>
      <c r="AV27" t="s">
        <v>56</v>
      </c>
      <c r="AW27" t="s">
        <v>56</v>
      </c>
      <c r="AX27">
        <v>4</v>
      </c>
    </row>
    <row r="28" spans="1:50" x14ac:dyDescent="0.25">
      <c r="A28" t="str">
        <f>"20200131116017177022"</f>
        <v>20200131116017177022</v>
      </c>
      <c r="B28" t="s">
        <v>110</v>
      </c>
      <c r="C28" t="s">
        <v>110</v>
      </c>
      <c r="D28" t="s">
        <v>335</v>
      </c>
      <c r="E28" t="str">
        <f>"200010001801"</f>
        <v>200010001801</v>
      </c>
      <c r="F28" t="s">
        <v>52</v>
      </c>
      <c r="G28">
        <v>900008328</v>
      </c>
      <c r="H28">
        <v>20001</v>
      </c>
      <c r="I28" t="s">
        <v>336</v>
      </c>
      <c r="J28" t="s">
        <v>337</v>
      </c>
      <c r="K28" t="s">
        <v>338</v>
      </c>
      <c r="L28">
        <v>607562</v>
      </c>
      <c r="M28" t="s">
        <v>339</v>
      </c>
      <c r="N28" t="s">
        <v>282</v>
      </c>
      <c r="O28" t="s">
        <v>340</v>
      </c>
      <c r="P28" t="s">
        <v>225</v>
      </c>
      <c r="Q28" t="s">
        <v>341</v>
      </c>
      <c r="R28" t="s">
        <v>54</v>
      </c>
      <c r="S28">
        <v>36728036</v>
      </c>
      <c r="T28" t="s">
        <v>342</v>
      </c>
      <c r="U28" t="s">
        <v>296</v>
      </c>
      <c r="V28" t="s">
        <v>169</v>
      </c>
      <c r="W28" t="s">
        <v>343</v>
      </c>
      <c r="X28" t="s">
        <v>344</v>
      </c>
      <c r="Y28" t="s">
        <v>345</v>
      </c>
      <c r="Z28">
        <v>22</v>
      </c>
      <c r="AA28" t="s">
        <v>102</v>
      </c>
      <c r="AB28">
        <v>0</v>
      </c>
      <c r="AC28" t="s">
        <v>66</v>
      </c>
      <c r="AD28">
        <v>0</v>
      </c>
      <c r="AE28" t="s">
        <v>66</v>
      </c>
      <c r="AF28" t="s">
        <v>56</v>
      </c>
      <c r="AG28" t="s">
        <v>56</v>
      </c>
      <c r="AH28" t="s">
        <v>56</v>
      </c>
      <c r="AI28" t="s">
        <v>56</v>
      </c>
      <c r="AJ28" t="s">
        <v>346</v>
      </c>
      <c r="AK28" t="s">
        <v>347</v>
      </c>
      <c r="AL28" t="s">
        <v>56</v>
      </c>
      <c r="AM28" t="s">
        <v>56</v>
      </c>
      <c r="AN28" t="s">
        <v>56</v>
      </c>
      <c r="AO28" t="s">
        <v>56</v>
      </c>
      <c r="AP28" t="s">
        <v>56</v>
      </c>
      <c r="AQ28" t="s">
        <v>71</v>
      </c>
      <c r="AR28" t="s">
        <v>56</v>
      </c>
      <c r="AS28" t="s">
        <v>56</v>
      </c>
      <c r="AT28" t="s">
        <v>56</v>
      </c>
      <c r="AU28" t="s">
        <v>56</v>
      </c>
      <c r="AV28" t="s">
        <v>56</v>
      </c>
      <c r="AW28" t="s">
        <v>56</v>
      </c>
      <c r="AX28">
        <v>4</v>
      </c>
    </row>
    <row r="29" spans="1:50" x14ac:dyDescent="0.25">
      <c r="A29" t="str">
        <f>"20200124151017021518"</f>
        <v>20200124151017021518</v>
      </c>
      <c r="B29" t="s">
        <v>201</v>
      </c>
      <c r="C29" t="s">
        <v>201</v>
      </c>
      <c r="D29" t="s">
        <v>348</v>
      </c>
      <c r="E29" t="str">
        <f>"084330205401"</f>
        <v>084330205401</v>
      </c>
      <c r="F29" t="s">
        <v>52</v>
      </c>
      <c r="G29">
        <v>900488067</v>
      </c>
      <c r="H29" t="s">
        <v>349</v>
      </c>
      <c r="I29" t="s">
        <v>350</v>
      </c>
      <c r="J29">
        <v>3207404550</v>
      </c>
      <c r="K29" t="s">
        <v>54</v>
      </c>
      <c r="L29">
        <v>1048267790</v>
      </c>
      <c r="M29" t="s">
        <v>351</v>
      </c>
      <c r="N29" t="s">
        <v>352</v>
      </c>
      <c r="O29" t="s">
        <v>353</v>
      </c>
      <c r="P29" t="s">
        <v>109</v>
      </c>
      <c r="Q29">
        <v>1048267790</v>
      </c>
      <c r="R29" t="s">
        <v>54</v>
      </c>
      <c r="S29">
        <v>8495239</v>
      </c>
      <c r="T29" t="s">
        <v>354</v>
      </c>
      <c r="U29" t="s">
        <v>281</v>
      </c>
      <c r="V29" t="s">
        <v>315</v>
      </c>
      <c r="W29" t="s">
        <v>355</v>
      </c>
      <c r="X29" t="s">
        <v>299</v>
      </c>
      <c r="Y29" t="s">
        <v>121</v>
      </c>
      <c r="Z29">
        <v>11</v>
      </c>
      <c r="AA29" t="s">
        <v>87</v>
      </c>
      <c r="AB29" t="s">
        <v>56</v>
      </c>
      <c r="AC29" t="s">
        <v>56</v>
      </c>
      <c r="AD29">
        <v>0</v>
      </c>
      <c r="AE29" t="s">
        <v>66</v>
      </c>
      <c r="AF29" t="s">
        <v>56</v>
      </c>
      <c r="AG29" t="s">
        <v>56</v>
      </c>
      <c r="AH29" t="s">
        <v>56</v>
      </c>
      <c r="AI29" t="s">
        <v>56</v>
      </c>
      <c r="AJ29" t="s">
        <v>356</v>
      </c>
      <c r="AK29" t="s">
        <v>357</v>
      </c>
      <c r="AL29" t="s">
        <v>56</v>
      </c>
      <c r="AM29" t="s">
        <v>56</v>
      </c>
      <c r="AN29" t="s">
        <v>56</v>
      </c>
      <c r="AO29" t="s">
        <v>56</v>
      </c>
      <c r="AP29" t="s">
        <v>56</v>
      </c>
      <c r="AQ29" t="s">
        <v>71</v>
      </c>
      <c r="AR29" t="s">
        <v>56</v>
      </c>
      <c r="AS29" t="s">
        <v>56</v>
      </c>
      <c r="AT29" t="s">
        <v>56</v>
      </c>
      <c r="AU29" t="s">
        <v>56</v>
      </c>
      <c r="AV29" t="s">
        <v>56</v>
      </c>
      <c r="AW29" t="s">
        <v>56</v>
      </c>
      <c r="AX29">
        <v>4</v>
      </c>
    </row>
    <row r="30" spans="1:50" x14ac:dyDescent="0.25">
      <c r="A30" t="str">
        <f>"20200131115017162596"</f>
        <v>20200131115017162596</v>
      </c>
      <c r="B30" t="s">
        <v>110</v>
      </c>
      <c r="C30" t="s">
        <v>110</v>
      </c>
      <c r="D30" t="s">
        <v>358</v>
      </c>
      <c r="E30" t="str">
        <f>"761470371502"</f>
        <v>761470371502</v>
      </c>
      <c r="F30" t="s">
        <v>52</v>
      </c>
      <c r="G30">
        <v>890303841</v>
      </c>
      <c r="H30">
        <v>76147</v>
      </c>
      <c r="I30" t="s">
        <v>359</v>
      </c>
      <c r="J30">
        <v>2132425</v>
      </c>
      <c r="K30" t="s">
        <v>54</v>
      </c>
      <c r="L30">
        <v>16830715</v>
      </c>
      <c r="M30" t="s">
        <v>127</v>
      </c>
      <c r="N30" t="s">
        <v>360</v>
      </c>
      <c r="O30" t="s">
        <v>361</v>
      </c>
      <c r="P30" t="s">
        <v>362</v>
      </c>
      <c r="Q30">
        <v>1913</v>
      </c>
      <c r="R30" t="s">
        <v>54</v>
      </c>
      <c r="S30">
        <v>29156254</v>
      </c>
      <c r="T30" t="s">
        <v>117</v>
      </c>
      <c r="U30" t="s">
        <v>363</v>
      </c>
      <c r="V30" t="s">
        <v>364</v>
      </c>
      <c r="W30" t="s">
        <v>260</v>
      </c>
      <c r="X30" t="s">
        <v>277</v>
      </c>
      <c r="Y30" t="s">
        <v>64</v>
      </c>
      <c r="Z30">
        <v>11</v>
      </c>
      <c r="AA30" t="s">
        <v>87</v>
      </c>
      <c r="AB30" t="s">
        <v>56</v>
      </c>
      <c r="AC30" t="s">
        <v>56</v>
      </c>
      <c r="AD30">
        <v>0</v>
      </c>
      <c r="AE30" t="s">
        <v>66</v>
      </c>
      <c r="AF30" t="s">
        <v>56</v>
      </c>
      <c r="AG30" t="s">
        <v>56</v>
      </c>
      <c r="AH30" t="s">
        <v>56</v>
      </c>
      <c r="AI30" t="s">
        <v>56</v>
      </c>
      <c r="AJ30" t="s">
        <v>365</v>
      </c>
      <c r="AK30" t="s">
        <v>366</v>
      </c>
      <c r="AL30" t="s">
        <v>367</v>
      </c>
      <c r="AM30" t="s">
        <v>368</v>
      </c>
      <c r="AN30" t="s">
        <v>215</v>
      </c>
      <c r="AO30" t="s">
        <v>216</v>
      </c>
      <c r="AP30" t="s">
        <v>56</v>
      </c>
      <c r="AQ30" t="s">
        <v>71</v>
      </c>
      <c r="AR30" t="s">
        <v>56</v>
      </c>
      <c r="AS30" t="s">
        <v>56</v>
      </c>
      <c r="AT30" t="s">
        <v>56</v>
      </c>
      <c r="AU30" t="s">
        <v>56</v>
      </c>
      <c r="AV30" t="s">
        <v>56</v>
      </c>
      <c r="AW30" t="s">
        <v>56</v>
      </c>
      <c r="AX30">
        <v>4</v>
      </c>
    </row>
    <row r="31" spans="1:50" x14ac:dyDescent="0.25">
      <c r="A31" t="str">
        <f>"20200129157017098444"</f>
        <v>20200129157017098444</v>
      </c>
      <c r="B31" t="s">
        <v>72</v>
      </c>
      <c r="C31" t="s">
        <v>72</v>
      </c>
      <c r="D31" t="s">
        <v>369</v>
      </c>
      <c r="E31" t="str">
        <f>"080010349401"</f>
        <v>080010349401</v>
      </c>
      <c r="F31" t="s">
        <v>52</v>
      </c>
      <c r="G31">
        <v>900458308</v>
      </c>
      <c r="H31" t="s">
        <v>112</v>
      </c>
      <c r="I31" t="s">
        <v>370</v>
      </c>
      <c r="J31" t="s">
        <v>371</v>
      </c>
      <c r="K31" t="s">
        <v>54</v>
      </c>
      <c r="L31">
        <v>1143378811</v>
      </c>
      <c r="M31" t="s">
        <v>372</v>
      </c>
      <c r="N31" t="s">
        <v>373</v>
      </c>
      <c r="O31" t="s">
        <v>109</v>
      </c>
      <c r="P31" t="s">
        <v>374</v>
      </c>
      <c r="Q31">
        <v>1143378811</v>
      </c>
      <c r="R31" t="s">
        <v>54</v>
      </c>
      <c r="S31">
        <v>7455408</v>
      </c>
      <c r="T31" t="s">
        <v>375</v>
      </c>
      <c r="U31" t="s">
        <v>155</v>
      </c>
      <c r="V31" t="s">
        <v>376</v>
      </c>
      <c r="W31" t="s">
        <v>377</v>
      </c>
      <c r="X31" t="s">
        <v>120</v>
      </c>
      <c r="Y31" t="s">
        <v>121</v>
      </c>
      <c r="Z31">
        <v>12</v>
      </c>
      <c r="AA31" t="s">
        <v>65</v>
      </c>
      <c r="AB31" t="s">
        <v>56</v>
      </c>
      <c r="AC31" t="s">
        <v>56</v>
      </c>
      <c r="AD31">
        <v>0</v>
      </c>
      <c r="AE31" t="s">
        <v>66</v>
      </c>
      <c r="AF31" t="s">
        <v>56</v>
      </c>
      <c r="AG31" t="s">
        <v>56</v>
      </c>
      <c r="AH31" t="s">
        <v>56</v>
      </c>
      <c r="AI31" t="s">
        <v>56</v>
      </c>
      <c r="AJ31" t="s">
        <v>356</v>
      </c>
      <c r="AK31" t="s">
        <v>357</v>
      </c>
      <c r="AL31" t="s">
        <v>255</v>
      </c>
      <c r="AM31" t="s">
        <v>256</v>
      </c>
      <c r="AN31" t="s">
        <v>56</v>
      </c>
      <c r="AO31" t="s">
        <v>56</v>
      </c>
      <c r="AP31" t="s">
        <v>56</v>
      </c>
      <c r="AQ31" t="s">
        <v>71</v>
      </c>
      <c r="AR31" t="s">
        <v>56</v>
      </c>
      <c r="AS31" t="s">
        <v>56</v>
      </c>
      <c r="AT31" t="s">
        <v>56</v>
      </c>
      <c r="AU31" t="s">
        <v>56</v>
      </c>
      <c r="AV31" t="s">
        <v>56</v>
      </c>
      <c r="AW31" t="s">
        <v>56</v>
      </c>
      <c r="AX31">
        <v>4</v>
      </c>
    </row>
    <row r="32" spans="1:50" x14ac:dyDescent="0.25">
      <c r="A32" t="str">
        <f>"20200127147017042389"</f>
        <v>20200127147017042389</v>
      </c>
      <c r="B32" t="s">
        <v>190</v>
      </c>
      <c r="C32" t="s">
        <v>190</v>
      </c>
      <c r="D32" t="s">
        <v>378</v>
      </c>
      <c r="E32" t="str">
        <f>"470010060602"</f>
        <v>470010060602</v>
      </c>
      <c r="F32" t="s">
        <v>52</v>
      </c>
      <c r="G32">
        <v>800033723</v>
      </c>
      <c r="H32">
        <v>47001</v>
      </c>
      <c r="I32" t="s">
        <v>379</v>
      </c>
      <c r="J32">
        <v>4347857</v>
      </c>
      <c r="K32" t="s">
        <v>54</v>
      </c>
      <c r="L32">
        <v>12556428</v>
      </c>
      <c r="M32" t="s">
        <v>128</v>
      </c>
      <c r="N32" t="s">
        <v>380</v>
      </c>
      <c r="O32" t="s">
        <v>381</v>
      </c>
      <c r="P32" t="s">
        <v>78</v>
      </c>
      <c r="Q32">
        <v>2112</v>
      </c>
      <c r="R32" t="s">
        <v>54</v>
      </c>
      <c r="S32">
        <v>22498907</v>
      </c>
      <c r="T32" t="s">
        <v>342</v>
      </c>
      <c r="U32" t="s">
        <v>296</v>
      </c>
      <c r="V32" t="s">
        <v>83</v>
      </c>
      <c r="W32" t="s">
        <v>382</v>
      </c>
      <c r="X32" t="s">
        <v>383</v>
      </c>
      <c r="Y32" t="s">
        <v>121</v>
      </c>
      <c r="Z32">
        <v>12</v>
      </c>
      <c r="AA32" t="s">
        <v>65</v>
      </c>
      <c r="AB32" t="s">
        <v>56</v>
      </c>
      <c r="AC32" t="s">
        <v>56</v>
      </c>
      <c r="AD32">
        <v>0</v>
      </c>
      <c r="AE32" t="s">
        <v>66</v>
      </c>
      <c r="AF32" t="s">
        <v>56</v>
      </c>
      <c r="AG32" t="s">
        <v>56</v>
      </c>
      <c r="AH32" t="s">
        <v>56</v>
      </c>
      <c r="AI32" t="s">
        <v>56</v>
      </c>
      <c r="AJ32" t="s">
        <v>384</v>
      </c>
      <c r="AK32" t="s">
        <v>385</v>
      </c>
      <c r="AL32" t="s">
        <v>56</v>
      </c>
      <c r="AM32" t="s">
        <v>56</v>
      </c>
      <c r="AN32" t="s">
        <v>56</v>
      </c>
      <c r="AO32" t="s">
        <v>56</v>
      </c>
      <c r="AP32" t="s">
        <v>56</v>
      </c>
      <c r="AQ32" t="s">
        <v>71</v>
      </c>
      <c r="AR32" t="s">
        <v>56</v>
      </c>
      <c r="AS32" t="s">
        <v>56</v>
      </c>
      <c r="AT32" t="s">
        <v>56</v>
      </c>
      <c r="AU32" t="s">
        <v>56</v>
      </c>
      <c r="AV32" t="s">
        <v>56</v>
      </c>
      <c r="AW32" t="s">
        <v>56</v>
      </c>
      <c r="AX32">
        <v>4</v>
      </c>
    </row>
    <row r="33" spans="1:50" x14ac:dyDescent="0.25">
      <c r="A33" t="str">
        <f>"20200130191017141777"</f>
        <v>20200130191017141777</v>
      </c>
      <c r="B33" t="s">
        <v>124</v>
      </c>
      <c r="C33" t="s">
        <v>124</v>
      </c>
      <c r="D33" t="s">
        <v>386</v>
      </c>
      <c r="E33" t="str">
        <f>"700010146401"</f>
        <v>700010146401</v>
      </c>
      <c r="F33" t="s">
        <v>52</v>
      </c>
      <c r="G33">
        <v>900581036</v>
      </c>
      <c r="H33">
        <v>70001</v>
      </c>
      <c r="I33" t="s">
        <v>387</v>
      </c>
      <c r="J33">
        <v>2807683</v>
      </c>
      <c r="K33" t="s">
        <v>54</v>
      </c>
      <c r="L33">
        <v>92508651</v>
      </c>
      <c r="M33" t="s">
        <v>388</v>
      </c>
      <c r="N33" t="s">
        <v>94</v>
      </c>
      <c r="O33" t="s">
        <v>389</v>
      </c>
      <c r="P33" t="s">
        <v>390</v>
      </c>
      <c r="Q33" t="s">
        <v>391</v>
      </c>
      <c r="R33" t="s">
        <v>54</v>
      </c>
      <c r="S33">
        <v>942653</v>
      </c>
      <c r="T33" t="s">
        <v>339</v>
      </c>
      <c r="U33" t="s">
        <v>62</v>
      </c>
      <c r="V33" t="s">
        <v>392</v>
      </c>
      <c r="W33" t="s">
        <v>393</v>
      </c>
      <c r="X33" t="s">
        <v>394</v>
      </c>
      <c r="Y33" t="s">
        <v>330</v>
      </c>
      <c r="Z33">
        <v>12</v>
      </c>
      <c r="AA33" t="s">
        <v>65</v>
      </c>
      <c r="AB33" t="s">
        <v>56</v>
      </c>
      <c r="AC33" t="s">
        <v>56</v>
      </c>
      <c r="AD33">
        <v>0</v>
      </c>
      <c r="AE33" t="s">
        <v>66</v>
      </c>
      <c r="AF33" t="s">
        <v>56</v>
      </c>
      <c r="AG33" t="s">
        <v>56</v>
      </c>
      <c r="AH33" t="s">
        <v>56</v>
      </c>
      <c r="AI33" t="s">
        <v>56</v>
      </c>
      <c r="AJ33" t="s">
        <v>395</v>
      </c>
      <c r="AK33" t="s">
        <v>396</v>
      </c>
      <c r="AL33" t="s">
        <v>397</v>
      </c>
      <c r="AM33" t="s">
        <v>398</v>
      </c>
      <c r="AN33" t="s">
        <v>56</v>
      </c>
      <c r="AO33" t="s">
        <v>56</v>
      </c>
      <c r="AP33" t="s">
        <v>56</v>
      </c>
      <c r="AQ33" t="s">
        <v>71</v>
      </c>
      <c r="AR33" t="s">
        <v>56</v>
      </c>
      <c r="AS33" t="s">
        <v>56</v>
      </c>
      <c r="AT33" t="s">
        <v>56</v>
      </c>
      <c r="AU33" t="s">
        <v>56</v>
      </c>
      <c r="AV33" t="s">
        <v>56</v>
      </c>
      <c r="AW33" t="s">
        <v>56</v>
      </c>
      <c r="AX33">
        <v>4</v>
      </c>
    </row>
    <row r="34" spans="1:50" x14ac:dyDescent="0.25">
      <c r="A34" t="str">
        <f>"20200202159017192428"</f>
        <v>20200202159017192428</v>
      </c>
      <c r="B34" t="s">
        <v>90</v>
      </c>
      <c r="C34" t="s">
        <v>90</v>
      </c>
      <c r="D34" t="s">
        <v>399</v>
      </c>
      <c r="E34" t="str">
        <f>"200010001801"</f>
        <v>200010001801</v>
      </c>
      <c r="F34" t="s">
        <v>52</v>
      </c>
      <c r="G34">
        <v>900008328</v>
      </c>
      <c r="H34">
        <v>20001</v>
      </c>
      <c r="I34" t="s">
        <v>336</v>
      </c>
      <c r="J34" t="s">
        <v>337</v>
      </c>
      <c r="K34" t="s">
        <v>54</v>
      </c>
      <c r="L34">
        <v>49715203</v>
      </c>
      <c r="M34" t="s">
        <v>400</v>
      </c>
      <c r="N34" t="s">
        <v>401</v>
      </c>
      <c r="O34" t="s">
        <v>402</v>
      </c>
      <c r="P34" t="s">
        <v>403</v>
      </c>
      <c r="Q34">
        <v>1142</v>
      </c>
      <c r="R34" t="s">
        <v>237</v>
      </c>
      <c r="S34">
        <v>1065202101</v>
      </c>
      <c r="T34" t="s">
        <v>404</v>
      </c>
      <c r="U34" t="s">
        <v>62</v>
      </c>
      <c r="V34" t="s">
        <v>405</v>
      </c>
      <c r="W34" t="s">
        <v>406</v>
      </c>
      <c r="X34" t="s">
        <v>407</v>
      </c>
      <c r="Y34" t="s">
        <v>86</v>
      </c>
      <c r="Z34">
        <v>12</v>
      </c>
      <c r="AA34" t="s">
        <v>65</v>
      </c>
      <c r="AB34" t="s">
        <v>56</v>
      </c>
      <c r="AC34" t="s">
        <v>56</v>
      </c>
      <c r="AD34">
        <v>0</v>
      </c>
      <c r="AE34" t="s">
        <v>66</v>
      </c>
      <c r="AF34" t="s">
        <v>56</v>
      </c>
      <c r="AG34" t="s">
        <v>56</v>
      </c>
      <c r="AH34" t="s">
        <v>56</v>
      </c>
      <c r="AI34" t="s">
        <v>56</v>
      </c>
      <c r="AJ34" t="s">
        <v>408</v>
      </c>
      <c r="AK34" t="s">
        <v>409</v>
      </c>
      <c r="AL34" t="s">
        <v>56</v>
      </c>
      <c r="AM34" t="s">
        <v>56</v>
      </c>
      <c r="AN34" t="s">
        <v>56</v>
      </c>
      <c r="AO34" t="s">
        <v>56</v>
      </c>
      <c r="AP34" t="s">
        <v>56</v>
      </c>
      <c r="AQ34" t="s">
        <v>71</v>
      </c>
      <c r="AR34" t="s">
        <v>56</v>
      </c>
      <c r="AS34" t="s">
        <v>56</v>
      </c>
      <c r="AT34" t="s">
        <v>56</v>
      </c>
      <c r="AU34" t="s">
        <v>56</v>
      </c>
      <c r="AV34" t="s">
        <v>56</v>
      </c>
      <c r="AW34" t="s">
        <v>56</v>
      </c>
      <c r="AX34">
        <v>4</v>
      </c>
    </row>
    <row r="35" spans="1:50" x14ac:dyDescent="0.25">
      <c r="A35" t="str">
        <f>"20200202138017192459"</f>
        <v>20200202138017192459</v>
      </c>
      <c r="B35" t="s">
        <v>90</v>
      </c>
      <c r="C35" t="s">
        <v>90</v>
      </c>
      <c r="D35" t="s">
        <v>410</v>
      </c>
      <c r="E35" t="str">
        <f>"200010001801"</f>
        <v>200010001801</v>
      </c>
      <c r="F35" t="s">
        <v>52</v>
      </c>
      <c r="G35">
        <v>900008328</v>
      </c>
      <c r="H35">
        <v>20001</v>
      </c>
      <c r="I35" t="s">
        <v>336</v>
      </c>
      <c r="J35" t="s">
        <v>337</v>
      </c>
      <c r="K35" t="s">
        <v>54</v>
      </c>
      <c r="L35">
        <v>49715203</v>
      </c>
      <c r="M35" t="s">
        <v>400</v>
      </c>
      <c r="N35" t="s">
        <v>401</v>
      </c>
      <c r="O35" t="s">
        <v>402</v>
      </c>
      <c r="P35" t="s">
        <v>403</v>
      </c>
      <c r="Q35">
        <v>1142</v>
      </c>
      <c r="R35" t="s">
        <v>237</v>
      </c>
      <c r="S35">
        <v>1065202101</v>
      </c>
      <c r="T35" t="s">
        <v>404</v>
      </c>
      <c r="U35" t="s">
        <v>62</v>
      </c>
      <c r="V35" t="s">
        <v>405</v>
      </c>
      <c r="W35" t="s">
        <v>406</v>
      </c>
      <c r="X35" t="s">
        <v>407</v>
      </c>
      <c r="Y35" t="s">
        <v>86</v>
      </c>
      <c r="Z35">
        <v>12</v>
      </c>
      <c r="AA35" t="s">
        <v>65</v>
      </c>
      <c r="AB35" t="s">
        <v>56</v>
      </c>
      <c r="AC35" t="s">
        <v>56</v>
      </c>
      <c r="AD35">
        <v>0</v>
      </c>
      <c r="AE35" t="s">
        <v>66</v>
      </c>
      <c r="AF35" t="s">
        <v>56</v>
      </c>
      <c r="AG35" t="s">
        <v>56</v>
      </c>
      <c r="AH35" t="s">
        <v>56</v>
      </c>
      <c r="AI35" t="s">
        <v>56</v>
      </c>
      <c r="AJ35" t="s">
        <v>408</v>
      </c>
      <c r="AK35" t="s">
        <v>409</v>
      </c>
      <c r="AL35" t="s">
        <v>56</v>
      </c>
      <c r="AM35" t="s">
        <v>56</v>
      </c>
      <c r="AN35" t="s">
        <v>56</v>
      </c>
      <c r="AO35" t="s">
        <v>56</v>
      </c>
      <c r="AP35" t="s">
        <v>56</v>
      </c>
      <c r="AQ35" t="s">
        <v>71</v>
      </c>
      <c r="AR35" t="s">
        <v>56</v>
      </c>
      <c r="AS35" t="s">
        <v>56</v>
      </c>
      <c r="AT35" t="s">
        <v>56</v>
      </c>
      <c r="AU35" t="s">
        <v>56</v>
      </c>
      <c r="AV35" t="s">
        <v>56</v>
      </c>
      <c r="AW35" t="s">
        <v>56</v>
      </c>
      <c r="AX35">
        <v>4</v>
      </c>
    </row>
    <row r="36" spans="1:50" x14ac:dyDescent="0.25">
      <c r="A36" t="str">
        <f>"20200124170017019797"</f>
        <v>20200124170017019797</v>
      </c>
      <c r="B36" t="s">
        <v>201</v>
      </c>
      <c r="C36" t="s">
        <v>201</v>
      </c>
      <c r="D36" t="s">
        <v>411</v>
      </c>
      <c r="E36" t="str">
        <f>"087580001301"</f>
        <v>087580001301</v>
      </c>
      <c r="F36" t="s">
        <v>52</v>
      </c>
      <c r="G36">
        <v>890112801</v>
      </c>
      <c r="H36" t="s">
        <v>74</v>
      </c>
      <c r="I36" t="s">
        <v>75</v>
      </c>
      <c r="J36">
        <v>3715562</v>
      </c>
      <c r="K36" t="s">
        <v>54</v>
      </c>
      <c r="L36">
        <v>72292042</v>
      </c>
      <c r="M36" t="s">
        <v>219</v>
      </c>
      <c r="N36" t="s">
        <v>76</v>
      </c>
      <c r="O36" t="s">
        <v>324</v>
      </c>
      <c r="P36" t="s">
        <v>412</v>
      </c>
      <c r="Q36">
        <v>72292042</v>
      </c>
      <c r="R36" t="s">
        <v>54</v>
      </c>
      <c r="S36">
        <v>22331342</v>
      </c>
      <c r="T36" t="s">
        <v>413</v>
      </c>
      <c r="U36" t="s">
        <v>62</v>
      </c>
      <c r="V36" t="s">
        <v>240</v>
      </c>
      <c r="W36" t="s">
        <v>156</v>
      </c>
      <c r="X36" t="s">
        <v>120</v>
      </c>
      <c r="Y36" t="s">
        <v>121</v>
      </c>
      <c r="Z36">
        <v>12</v>
      </c>
      <c r="AA36" t="s">
        <v>65</v>
      </c>
      <c r="AB36" t="s">
        <v>56</v>
      </c>
      <c r="AC36" t="s">
        <v>56</v>
      </c>
      <c r="AD36">
        <v>0</v>
      </c>
      <c r="AE36" t="s">
        <v>66</v>
      </c>
      <c r="AF36" t="s">
        <v>56</v>
      </c>
      <c r="AG36" t="s">
        <v>56</v>
      </c>
      <c r="AH36" t="s">
        <v>56</v>
      </c>
      <c r="AI36" t="s">
        <v>56</v>
      </c>
      <c r="AJ36" t="s">
        <v>414</v>
      </c>
      <c r="AK36" t="s">
        <v>415</v>
      </c>
      <c r="AL36" t="s">
        <v>56</v>
      </c>
      <c r="AM36" t="s">
        <v>56</v>
      </c>
      <c r="AN36" t="s">
        <v>56</v>
      </c>
      <c r="AO36" t="s">
        <v>56</v>
      </c>
      <c r="AP36" t="s">
        <v>56</v>
      </c>
      <c r="AQ36" t="s">
        <v>71</v>
      </c>
      <c r="AR36" t="s">
        <v>56</v>
      </c>
      <c r="AS36" t="s">
        <v>56</v>
      </c>
      <c r="AT36" t="s">
        <v>56</v>
      </c>
      <c r="AU36" t="s">
        <v>56</v>
      </c>
      <c r="AV36" t="s">
        <v>56</v>
      </c>
      <c r="AW36" t="s">
        <v>56</v>
      </c>
      <c r="AX36">
        <v>4</v>
      </c>
    </row>
    <row r="37" spans="1:50" x14ac:dyDescent="0.25">
      <c r="A37" t="str">
        <f>"20200124110017020080"</f>
        <v>20200124110017020080</v>
      </c>
      <c r="B37" t="s">
        <v>201</v>
      </c>
      <c r="C37" t="s">
        <v>201</v>
      </c>
      <c r="D37" t="s">
        <v>416</v>
      </c>
      <c r="E37" t="str">
        <f>"087580001301"</f>
        <v>087580001301</v>
      </c>
      <c r="F37" t="s">
        <v>52</v>
      </c>
      <c r="G37">
        <v>890112801</v>
      </c>
      <c r="H37" t="s">
        <v>74</v>
      </c>
      <c r="I37" t="s">
        <v>75</v>
      </c>
      <c r="J37">
        <v>3715562</v>
      </c>
      <c r="K37" t="s">
        <v>54</v>
      </c>
      <c r="L37">
        <v>72292042</v>
      </c>
      <c r="M37" t="s">
        <v>219</v>
      </c>
      <c r="N37" t="s">
        <v>76</v>
      </c>
      <c r="O37" t="s">
        <v>324</v>
      </c>
      <c r="P37" t="s">
        <v>412</v>
      </c>
      <c r="Q37">
        <v>72292042</v>
      </c>
      <c r="R37" t="s">
        <v>54</v>
      </c>
      <c r="S37">
        <v>22331342</v>
      </c>
      <c r="T37" t="s">
        <v>413</v>
      </c>
      <c r="U37" t="s">
        <v>62</v>
      </c>
      <c r="V37" t="s">
        <v>240</v>
      </c>
      <c r="W37" t="s">
        <v>156</v>
      </c>
      <c r="X37" t="s">
        <v>120</v>
      </c>
      <c r="Y37" t="s">
        <v>121</v>
      </c>
      <c r="Z37">
        <v>12</v>
      </c>
      <c r="AA37" t="s">
        <v>65</v>
      </c>
      <c r="AB37" t="s">
        <v>56</v>
      </c>
      <c r="AC37" t="s">
        <v>56</v>
      </c>
      <c r="AD37">
        <v>0</v>
      </c>
      <c r="AE37" t="s">
        <v>66</v>
      </c>
      <c r="AF37" t="s">
        <v>56</v>
      </c>
      <c r="AG37" t="s">
        <v>56</v>
      </c>
      <c r="AH37" t="s">
        <v>56</v>
      </c>
      <c r="AI37" t="s">
        <v>56</v>
      </c>
      <c r="AJ37" t="s">
        <v>384</v>
      </c>
      <c r="AK37" t="s">
        <v>385</v>
      </c>
      <c r="AL37" t="s">
        <v>56</v>
      </c>
      <c r="AM37" t="s">
        <v>56</v>
      </c>
      <c r="AN37" t="s">
        <v>56</v>
      </c>
      <c r="AO37" t="s">
        <v>56</v>
      </c>
      <c r="AP37" t="s">
        <v>56</v>
      </c>
      <c r="AQ37" t="s">
        <v>71</v>
      </c>
      <c r="AR37" t="s">
        <v>56</v>
      </c>
      <c r="AS37" t="s">
        <v>56</v>
      </c>
      <c r="AT37" t="s">
        <v>56</v>
      </c>
      <c r="AU37" t="s">
        <v>56</v>
      </c>
      <c r="AV37" t="s">
        <v>56</v>
      </c>
      <c r="AW37" t="s">
        <v>56</v>
      </c>
      <c r="AX37">
        <v>4</v>
      </c>
    </row>
    <row r="38" spans="1:50" x14ac:dyDescent="0.25">
      <c r="A38" t="str">
        <f>"20200130177017139507"</f>
        <v>20200130177017139507</v>
      </c>
      <c r="B38" t="s">
        <v>124</v>
      </c>
      <c r="C38" t="s">
        <v>124</v>
      </c>
      <c r="D38" t="s">
        <v>417</v>
      </c>
      <c r="E38" t="str">
        <f>"130010256801"</f>
        <v>130010256801</v>
      </c>
      <c r="F38" t="s">
        <v>52</v>
      </c>
      <c r="G38">
        <v>900602320</v>
      </c>
      <c r="H38">
        <v>13001</v>
      </c>
      <c r="I38" t="s">
        <v>418</v>
      </c>
      <c r="J38">
        <v>3145960813</v>
      </c>
      <c r="K38" t="s">
        <v>54</v>
      </c>
      <c r="L38">
        <v>57417649</v>
      </c>
      <c r="M38" t="s">
        <v>419</v>
      </c>
      <c r="N38" t="s">
        <v>420</v>
      </c>
      <c r="O38" t="s">
        <v>421</v>
      </c>
      <c r="P38" t="s">
        <v>207</v>
      </c>
      <c r="Q38" t="s">
        <v>422</v>
      </c>
      <c r="R38" t="s">
        <v>237</v>
      </c>
      <c r="S38">
        <v>1148948389</v>
      </c>
      <c r="T38" t="s">
        <v>423</v>
      </c>
      <c r="U38" t="s">
        <v>424</v>
      </c>
      <c r="V38" t="s">
        <v>425</v>
      </c>
      <c r="W38" t="s">
        <v>426</v>
      </c>
      <c r="X38" t="s">
        <v>427</v>
      </c>
      <c r="Y38" t="s">
        <v>101</v>
      </c>
      <c r="Z38">
        <v>11</v>
      </c>
      <c r="AA38" t="s">
        <v>87</v>
      </c>
      <c r="AB38" t="s">
        <v>56</v>
      </c>
      <c r="AC38" t="s">
        <v>56</v>
      </c>
      <c r="AD38">
        <v>0</v>
      </c>
      <c r="AE38" t="s">
        <v>66</v>
      </c>
      <c r="AF38" t="s">
        <v>56</v>
      </c>
      <c r="AG38" t="s">
        <v>56</v>
      </c>
      <c r="AH38" t="s">
        <v>56</v>
      </c>
      <c r="AI38" t="s">
        <v>56</v>
      </c>
      <c r="AJ38" t="s">
        <v>428</v>
      </c>
      <c r="AK38" t="s">
        <v>429</v>
      </c>
      <c r="AL38" t="s">
        <v>430</v>
      </c>
      <c r="AM38" t="s">
        <v>431</v>
      </c>
      <c r="AN38" t="s">
        <v>56</v>
      </c>
      <c r="AO38" t="s">
        <v>56</v>
      </c>
      <c r="AP38" t="s">
        <v>56</v>
      </c>
      <c r="AQ38" t="s">
        <v>71</v>
      </c>
      <c r="AR38" t="s">
        <v>56</v>
      </c>
      <c r="AS38" t="s">
        <v>56</v>
      </c>
      <c r="AT38" t="s">
        <v>56</v>
      </c>
      <c r="AU38" t="s">
        <v>56</v>
      </c>
      <c r="AV38" t="s">
        <v>56</v>
      </c>
      <c r="AW38" t="s">
        <v>56</v>
      </c>
      <c r="AX38">
        <v>4</v>
      </c>
    </row>
    <row r="39" spans="1:50" x14ac:dyDescent="0.25">
      <c r="A39" t="str">
        <f>"20200128115017094018"</f>
        <v>20200128115017094018</v>
      </c>
      <c r="B39" t="s">
        <v>151</v>
      </c>
      <c r="C39" t="s">
        <v>151</v>
      </c>
      <c r="D39" t="s">
        <v>432</v>
      </c>
      <c r="E39" t="str">
        <f>"086850011001"</f>
        <v>086850011001</v>
      </c>
      <c r="F39" t="s">
        <v>52</v>
      </c>
      <c r="G39">
        <v>800174123</v>
      </c>
      <c r="H39" t="s">
        <v>433</v>
      </c>
      <c r="I39" t="s">
        <v>434</v>
      </c>
      <c r="J39">
        <v>8790494</v>
      </c>
      <c r="K39" t="s">
        <v>54</v>
      </c>
      <c r="L39">
        <v>1140854953</v>
      </c>
      <c r="M39" t="s">
        <v>435</v>
      </c>
      <c r="N39" t="s">
        <v>436</v>
      </c>
      <c r="O39" t="s">
        <v>437</v>
      </c>
      <c r="P39" t="s">
        <v>438</v>
      </c>
      <c r="Q39" t="s">
        <v>439</v>
      </c>
      <c r="R39" t="s">
        <v>440</v>
      </c>
      <c r="S39">
        <v>1047361733</v>
      </c>
      <c r="T39" t="s">
        <v>274</v>
      </c>
      <c r="U39" t="s">
        <v>441</v>
      </c>
      <c r="V39" t="s">
        <v>403</v>
      </c>
      <c r="W39" t="s">
        <v>442</v>
      </c>
      <c r="X39" t="s">
        <v>443</v>
      </c>
      <c r="Y39" t="s">
        <v>121</v>
      </c>
      <c r="Z39">
        <v>12</v>
      </c>
      <c r="AA39" t="s">
        <v>65</v>
      </c>
      <c r="AB39" t="s">
        <v>56</v>
      </c>
      <c r="AC39" t="s">
        <v>56</v>
      </c>
      <c r="AD39">
        <v>0</v>
      </c>
      <c r="AE39" t="s">
        <v>66</v>
      </c>
      <c r="AF39" t="s">
        <v>56</v>
      </c>
      <c r="AG39" t="s">
        <v>56</v>
      </c>
      <c r="AH39" t="s">
        <v>56</v>
      </c>
      <c r="AI39" t="s">
        <v>56</v>
      </c>
      <c r="AJ39" t="s">
        <v>444</v>
      </c>
      <c r="AK39" t="s">
        <v>445</v>
      </c>
      <c r="AL39" t="s">
        <v>56</v>
      </c>
      <c r="AM39" t="s">
        <v>56</v>
      </c>
      <c r="AN39" t="s">
        <v>56</v>
      </c>
      <c r="AO39" t="s">
        <v>56</v>
      </c>
      <c r="AP39" t="s">
        <v>56</v>
      </c>
      <c r="AQ39" t="s">
        <v>71</v>
      </c>
      <c r="AR39" t="s">
        <v>56</v>
      </c>
      <c r="AS39" t="s">
        <v>56</v>
      </c>
      <c r="AT39" t="s">
        <v>56</v>
      </c>
      <c r="AU39" t="s">
        <v>56</v>
      </c>
      <c r="AV39" t="s">
        <v>56</v>
      </c>
      <c r="AW39" t="s">
        <v>56</v>
      </c>
      <c r="AX39">
        <v>4</v>
      </c>
    </row>
    <row r="40" spans="1:50" x14ac:dyDescent="0.25">
      <c r="A40" t="str">
        <f>"20200129121017107130"</f>
        <v>20200129121017107130</v>
      </c>
      <c r="B40" t="s">
        <v>72</v>
      </c>
      <c r="C40" t="s">
        <v>72</v>
      </c>
      <c r="D40" t="s">
        <v>446</v>
      </c>
      <c r="E40" t="str">
        <f>"760200165701"</f>
        <v>760200165701</v>
      </c>
      <c r="F40" t="s">
        <v>52</v>
      </c>
      <c r="G40">
        <v>891900438</v>
      </c>
      <c r="H40">
        <v>76020</v>
      </c>
      <c r="I40" t="s">
        <v>447</v>
      </c>
      <c r="J40">
        <v>2004120</v>
      </c>
      <c r="K40" t="s">
        <v>54</v>
      </c>
      <c r="L40">
        <v>1144087464</v>
      </c>
      <c r="M40" t="s">
        <v>117</v>
      </c>
      <c r="N40" t="s">
        <v>448</v>
      </c>
      <c r="O40" t="s">
        <v>249</v>
      </c>
      <c r="P40" t="s">
        <v>449</v>
      </c>
      <c r="Q40" t="s">
        <v>56</v>
      </c>
      <c r="R40" t="s">
        <v>54</v>
      </c>
      <c r="S40">
        <v>42079007</v>
      </c>
      <c r="T40" t="s">
        <v>59</v>
      </c>
      <c r="U40" t="s">
        <v>450</v>
      </c>
      <c r="V40" t="s">
        <v>451</v>
      </c>
      <c r="W40" t="s">
        <v>452</v>
      </c>
      <c r="X40" t="s">
        <v>453</v>
      </c>
      <c r="Y40" t="s">
        <v>64</v>
      </c>
      <c r="Z40">
        <v>11</v>
      </c>
      <c r="AA40" t="s">
        <v>87</v>
      </c>
      <c r="AB40" t="s">
        <v>56</v>
      </c>
      <c r="AC40" t="s">
        <v>56</v>
      </c>
      <c r="AD40">
        <v>0</v>
      </c>
      <c r="AE40" t="s">
        <v>66</v>
      </c>
      <c r="AF40" t="s">
        <v>56</v>
      </c>
      <c r="AG40" t="s">
        <v>56</v>
      </c>
      <c r="AH40" t="s">
        <v>56</v>
      </c>
      <c r="AI40" t="s">
        <v>56</v>
      </c>
      <c r="AJ40" t="s">
        <v>454</v>
      </c>
      <c r="AK40" t="s">
        <v>455</v>
      </c>
      <c r="AL40" t="s">
        <v>56</v>
      </c>
      <c r="AM40" t="s">
        <v>56</v>
      </c>
      <c r="AN40" t="s">
        <v>56</v>
      </c>
      <c r="AO40" t="s">
        <v>56</v>
      </c>
      <c r="AP40" t="s">
        <v>56</v>
      </c>
      <c r="AQ40" t="s">
        <v>71</v>
      </c>
      <c r="AR40" t="s">
        <v>56</v>
      </c>
      <c r="AS40" t="s">
        <v>56</v>
      </c>
      <c r="AT40" t="s">
        <v>56</v>
      </c>
      <c r="AU40" t="s">
        <v>56</v>
      </c>
      <c r="AV40" t="s">
        <v>56</v>
      </c>
      <c r="AW40" t="s">
        <v>56</v>
      </c>
      <c r="AX40">
        <v>4</v>
      </c>
    </row>
    <row r="41" spans="1:50" x14ac:dyDescent="0.25">
      <c r="A41" t="str">
        <f>"20200127110017055480"</f>
        <v>20200127110017055480</v>
      </c>
      <c r="B41" t="s">
        <v>190</v>
      </c>
      <c r="C41" t="s">
        <v>190</v>
      </c>
      <c r="D41" t="s">
        <v>456</v>
      </c>
      <c r="E41" t="str">
        <f>"200010083101"</f>
        <v>200010083101</v>
      </c>
      <c r="F41" t="s">
        <v>52</v>
      </c>
      <c r="G41">
        <v>900066797</v>
      </c>
      <c r="H41">
        <v>20001</v>
      </c>
      <c r="I41" t="s">
        <v>457</v>
      </c>
      <c r="J41" t="s">
        <v>458</v>
      </c>
      <c r="K41" t="s">
        <v>54</v>
      </c>
      <c r="L41">
        <v>49760462</v>
      </c>
      <c r="M41" t="s">
        <v>459</v>
      </c>
      <c r="N41" t="s">
        <v>117</v>
      </c>
      <c r="O41" t="s">
        <v>460</v>
      </c>
      <c r="P41" t="s">
        <v>403</v>
      </c>
      <c r="Q41">
        <v>8550</v>
      </c>
      <c r="R41" t="s">
        <v>54</v>
      </c>
      <c r="S41">
        <v>42495888</v>
      </c>
      <c r="T41" t="s">
        <v>296</v>
      </c>
      <c r="U41" t="s">
        <v>62</v>
      </c>
      <c r="V41" t="s">
        <v>109</v>
      </c>
      <c r="W41" t="s">
        <v>461</v>
      </c>
      <c r="X41" t="s">
        <v>462</v>
      </c>
      <c r="Y41" t="s">
        <v>86</v>
      </c>
      <c r="Z41">
        <v>12</v>
      </c>
      <c r="AA41" t="s">
        <v>65</v>
      </c>
      <c r="AB41" t="s">
        <v>56</v>
      </c>
      <c r="AC41" t="s">
        <v>56</v>
      </c>
      <c r="AD41">
        <v>0</v>
      </c>
      <c r="AE41" t="s">
        <v>66</v>
      </c>
      <c r="AF41" t="s">
        <v>56</v>
      </c>
      <c r="AG41" t="s">
        <v>56</v>
      </c>
      <c r="AH41" t="s">
        <v>56</v>
      </c>
      <c r="AI41" t="s">
        <v>56</v>
      </c>
      <c r="AJ41" t="s">
        <v>463</v>
      </c>
      <c r="AK41" t="s">
        <v>464</v>
      </c>
      <c r="AL41" t="s">
        <v>56</v>
      </c>
      <c r="AM41" t="s">
        <v>56</v>
      </c>
      <c r="AN41" t="s">
        <v>56</v>
      </c>
      <c r="AO41" t="s">
        <v>56</v>
      </c>
      <c r="AP41" t="s">
        <v>56</v>
      </c>
      <c r="AQ41" t="s">
        <v>71</v>
      </c>
      <c r="AR41" t="s">
        <v>56</v>
      </c>
      <c r="AS41" t="s">
        <v>56</v>
      </c>
      <c r="AT41" t="s">
        <v>56</v>
      </c>
      <c r="AU41" t="s">
        <v>56</v>
      </c>
      <c r="AV41" t="s">
        <v>56</v>
      </c>
      <c r="AW41" t="s">
        <v>56</v>
      </c>
      <c r="AX41">
        <v>4</v>
      </c>
    </row>
    <row r="42" spans="1:50" x14ac:dyDescent="0.25">
      <c r="A42" t="str">
        <f>"20200126189017035761"</f>
        <v>20200126189017035761</v>
      </c>
      <c r="B42" t="s">
        <v>244</v>
      </c>
      <c r="C42" t="s">
        <v>244</v>
      </c>
      <c r="D42" t="s">
        <v>465</v>
      </c>
      <c r="E42" t="str">
        <f>"134300074601"</f>
        <v>134300074601</v>
      </c>
      <c r="F42" t="s">
        <v>52</v>
      </c>
      <c r="G42">
        <v>900709216</v>
      </c>
      <c r="H42">
        <v>13430</v>
      </c>
      <c r="I42" t="s">
        <v>466</v>
      </c>
      <c r="J42" t="s">
        <v>467</v>
      </c>
      <c r="K42" t="s">
        <v>54</v>
      </c>
      <c r="L42">
        <v>1051447826</v>
      </c>
      <c r="M42" t="s">
        <v>117</v>
      </c>
      <c r="N42" t="s">
        <v>76</v>
      </c>
      <c r="O42" t="s">
        <v>130</v>
      </c>
      <c r="P42" t="s">
        <v>468</v>
      </c>
      <c r="Q42" t="s">
        <v>469</v>
      </c>
      <c r="R42" t="s">
        <v>54</v>
      </c>
      <c r="S42">
        <v>22805309</v>
      </c>
      <c r="T42" t="s">
        <v>470</v>
      </c>
      <c r="U42" t="s">
        <v>471</v>
      </c>
      <c r="V42" t="s">
        <v>472</v>
      </c>
      <c r="W42" t="s">
        <v>473</v>
      </c>
      <c r="X42" t="s">
        <v>183</v>
      </c>
      <c r="Y42" t="s">
        <v>101</v>
      </c>
      <c r="Z42">
        <v>11</v>
      </c>
      <c r="AA42" t="s">
        <v>87</v>
      </c>
      <c r="AB42" t="s">
        <v>56</v>
      </c>
      <c r="AC42" t="s">
        <v>56</v>
      </c>
      <c r="AD42">
        <v>0</v>
      </c>
      <c r="AE42" t="s">
        <v>66</v>
      </c>
      <c r="AF42" t="s">
        <v>56</v>
      </c>
      <c r="AG42" t="s">
        <v>56</v>
      </c>
      <c r="AH42" t="s">
        <v>56</v>
      </c>
      <c r="AI42" t="s">
        <v>56</v>
      </c>
      <c r="AJ42" t="s">
        <v>474</v>
      </c>
      <c r="AK42" t="s">
        <v>475</v>
      </c>
      <c r="AL42" t="s">
        <v>199</v>
      </c>
      <c r="AM42" t="s">
        <v>200</v>
      </c>
      <c r="AN42" t="s">
        <v>56</v>
      </c>
      <c r="AO42" t="s">
        <v>56</v>
      </c>
      <c r="AP42" t="s">
        <v>56</v>
      </c>
      <c r="AQ42" t="s">
        <v>71</v>
      </c>
      <c r="AR42" t="s">
        <v>56</v>
      </c>
      <c r="AS42" t="s">
        <v>56</v>
      </c>
      <c r="AT42" t="s">
        <v>56</v>
      </c>
      <c r="AU42" t="s">
        <v>56</v>
      </c>
      <c r="AV42" t="s">
        <v>56</v>
      </c>
      <c r="AW42" t="s">
        <v>56</v>
      </c>
      <c r="AX42">
        <v>4</v>
      </c>
    </row>
    <row r="43" spans="1:50" x14ac:dyDescent="0.25">
      <c r="A43" t="str">
        <f>"20200126130017037532"</f>
        <v>20200126130017037532</v>
      </c>
      <c r="B43" t="s">
        <v>244</v>
      </c>
      <c r="C43" t="s">
        <v>244</v>
      </c>
      <c r="D43" t="s">
        <v>476</v>
      </c>
      <c r="E43" t="str">
        <f>"134300049201"</f>
        <v>134300049201</v>
      </c>
      <c r="F43" t="s">
        <v>52</v>
      </c>
      <c r="G43">
        <v>900196347</v>
      </c>
      <c r="H43">
        <v>13430</v>
      </c>
      <c r="I43" t="s">
        <v>174</v>
      </c>
      <c r="J43" t="s">
        <v>175</v>
      </c>
      <c r="K43" t="s">
        <v>54</v>
      </c>
      <c r="L43">
        <v>1140817449</v>
      </c>
      <c r="M43" t="s">
        <v>477</v>
      </c>
      <c r="N43" t="s">
        <v>424</v>
      </c>
      <c r="O43" t="s">
        <v>109</v>
      </c>
      <c r="P43" t="s">
        <v>478</v>
      </c>
      <c r="Q43">
        <v>24345</v>
      </c>
      <c r="R43" t="s">
        <v>54</v>
      </c>
      <c r="S43">
        <v>22921337</v>
      </c>
      <c r="T43" t="s">
        <v>479</v>
      </c>
      <c r="U43" t="s">
        <v>62</v>
      </c>
      <c r="V43" t="s">
        <v>480</v>
      </c>
      <c r="W43" t="s">
        <v>481</v>
      </c>
      <c r="X43" t="s">
        <v>183</v>
      </c>
      <c r="Y43" t="s">
        <v>101</v>
      </c>
      <c r="Z43">
        <v>22</v>
      </c>
      <c r="AA43" t="s">
        <v>102</v>
      </c>
      <c r="AB43">
        <v>0</v>
      </c>
      <c r="AC43" t="s">
        <v>66</v>
      </c>
      <c r="AD43">
        <v>0</v>
      </c>
      <c r="AE43" t="s">
        <v>66</v>
      </c>
      <c r="AF43" t="s">
        <v>56</v>
      </c>
      <c r="AG43" t="s">
        <v>56</v>
      </c>
      <c r="AH43" t="s">
        <v>56</v>
      </c>
      <c r="AI43" t="s">
        <v>56</v>
      </c>
      <c r="AJ43" t="s">
        <v>482</v>
      </c>
      <c r="AK43" t="s">
        <v>483</v>
      </c>
      <c r="AL43" t="s">
        <v>56</v>
      </c>
      <c r="AM43" t="s">
        <v>56</v>
      </c>
      <c r="AN43" t="s">
        <v>56</v>
      </c>
      <c r="AO43" t="s">
        <v>56</v>
      </c>
      <c r="AP43" t="s">
        <v>56</v>
      </c>
      <c r="AQ43" t="s">
        <v>71</v>
      </c>
      <c r="AR43" t="s">
        <v>56</v>
      </c>
      <c r="AS43" t="s">
        <v>56</v>
      </c>
      <c r="AT43" t="s">
        <v>56</v>
      </c>
      <c r="AU43" t="s">
        <v>56</v>
      </c>
      <c r="AV43" t="s">
        <v>56</v>
      </c>
      <c r="AW43" t="s">
        <v>56</v>
      </c>
      <c r="AX43">
        <v>4</v>
      </c>
    </row>
    <row r="44" spans="1:50" x14ac:dyDescent="0.25">
      <c r="A44" t="str">
        <f>"20200130180017147164"</f>
        <v>20200130180017147164</v>
      </c>
      <c r="B44" t="s">
        <v>124</v>
      </c>
      <c r="C44" t="s">
        <v>124</v>
      </c>
      <c r="D44" t="s">
        <v>484</v>
      </c>
      <c r="E44" t="str">
        <f>"086850011001"</f>
        <v>086850011001</v>
      </c>
      <c r="F44" t="s">
        <v>52</v>
      </c>
      <c r="G44">
        <v>800174123</v>
      </c>
      <c r="H44" t="s">
        <v>433</v>
      </c>
      <c r="I44" t="s">
        <v>434</v>
      </c>
      <c r="J44">
        <v>8790494</v>
      </c>
      <c r="K44" t="s">
        <v>54</v>
      </c>
      <c r="L44">
        <v>1047337973</v>
      </c>
      <c r="M44" t="s">
        <v>485</v>
      </c>
      <c r="N44" t="s">
        <v>94</v>
      </c>
      <c r="O44" t="s">
        <v>99</v>
      </c>
      <c r="P44" t="s">
        <v>99</v>
      </c>
      <c r="Q44">
        <v>13029444</v>
      </c>
      <c r="R44" t="s">
        <v>54</v>
      </c>
      <c r="S44">
        <v>22365424</v>
      </c>
      <c r="T44" t="s">
        <v>60</v>
      </c>
      <c r="U44" t="s">
        <v>486</v>
      </c>
      <c r="V44" t="s">
        <v>487</v>
      </c>
      <c r="W44" t="s">
        <v>488</v>
      </c>
      <c r="X44" t="s">
        <v>443</v>
      </c>
      <c r="Y44" t="s">
        <v>121</v>
      </c>
      <c r="Z44">
        <v>12</v>
      </c>
      <c r="AA44" t="s">
        <v>65</v>
      </c>
      <c r="AB44" t="s">
        <v>56</v>
      </c>
      <c r="AC44" t="s">
        <v>56</v>
      </c>
      <c r="AD44">
        <v>0</v>
      </c>
      <c r="AE44" t="s">
        <v>66</v>
      </c>
      <c r="AF44" t="s">
        <v>56</v>
      </c>
      <c r="AG44" t="s">
        <v>56</v>
      </c>
      <c r="AH44" t="s">
        <v>56</v>
      </c>
      <c r="AI44" t="s">
        <v>56</v>
      </c>
      <c r="AJ44" t="s">
        <v>384</v>
      </c>
      <c r="AK44" t="s">
        <v>385</v>
      </c>
      <c r="AL44" t="s">
        <v>489</v>
      </c>
      <c r="AM44" t="s">
        <v>490</v>
      </c>
      <c r="AN44" t="s">
        <v>56</v>
      </c>
      <c r="AO44" t="s">
        <v>56</v>
      </c>
      <c r="AP44" t="s">
        <v>56</v>
      </c>
      <c r="AQ44" t="s">
        <v>71</v>
      </c>
      <c r="AR44" t="s">
        <v>56</v>
      </c>
      <c r="AS44" t="s">
        <v>56</v>
      </c>
      <c r="AT44" t="s">
        <v>56</v>
      </c>
      <c r="AU44" t="s">
        <v>56</v>
      </c>
      <c r="AV44" t="s">
        <v>56</v>
      </c>
      <c r="AW44" t="s">
        <v>56</v>
      </c>
      <c r="AX44">
        <v>4</v>
      </c>
    </row>
    <row r="45" spans="1:50" x14ac:dyDescent="0.25">
      <c r="A45" t="str">
        <f>"20200128171017076686"</f>
        <v>20200128171017076686</v>
      </c>
      <c r="B45" t="s">
        <v>151</v>
      </c>
      <c r="C45" t="s">
        <v>151</v>
      </c>
      <c r="D45" t="s">
        <v>491</v>
      </c>
      <c r="E45" t="str">
        <f>"134300049201"</f>
        <v>134300049201</v>
      </c>
      <c r="F45" t="s">
        <v>52</v>
      </c>
      <c r="G45">
        <v>900196347</v>
      </c>
      <c r="H45">
        <v>13430</v>
      </c>
      <c r="I45" t="s">
        <v>174</v>
      </c>
      <c r="J45" t="s">
        <v>175</v>
      </c>
      <c r="K45" t="s">
        <v>54</v>
      </c>
      <c r="L45">
        <v>9194500</v>
      </c>
      <c r="M45" t="s">
        <v>291</v>
      </c>
      <c r="N45" t="s">
        <v>492</v>
      </c>
      <c r="O45" t="s">
        <v>263</v>
      </c>
      <c r="P45" t="s">
        <v>493</v>
      </c>
      <c r="Q45" t="s">
        <v>494</v>
      </c>
      <c r="R45" t="s">
        <v>54</v>
      </c>
      <c r="S45">
        <v>1052987370</v>
      </c>
      <c r="T45" t="s">
        <v>495</v>
      </c>
      <c r="U45" t="s">
        <v>62</v>
      </c>
      <c r="V45" t="s">
        <v>496</v>
      </c>
      <c r="W45" t="s">
        <v>99</v>
      </c>
      <c r="X45" t="s">
        <v>183</v>
      </c>
      <c r="Y45" t="s">
        <v>101</v>
      </c>
      <c r="Z45">
        <v>11</v>
      </c>
      <c r="AA45" t="s">
        <v>87</v>
      </c>
      <c r="AB45" t="s">
        <v>56</v>
      </c>
      <c r="AC45" t="s">
        <v>56</v>
      </c>
      <c r="AD45">
        <v>0</v>
      </c>
      <c r="AE45" t="s">
        <v>66</v>
      </c>
      <c r="AF45" t="s">
        <v>56</v>
      </c>
      <c r="AG45" t="s">
        <v>56</v>
      </c>
      <c r="AH45" t="s">
        <v>56</v>
      </c>
      <c r="AI45" t="s">
        <v>56</v>
      </c>
      <c r="AJ45" t="s">
        <v>497</v>
      </c>
      <c r="AK45" t="s">
        <v>498</v>
      </c>
      <c r="AL45" t="s">
        <v>56</v>
      </c>
      <c r="AM45" t="s">
        <v>56</v>
      </c>
      <c r="AN45" t="s">
        <v>56</v>
      </c>
      <c r="AO45" t="s">
        <v>56</v>
      </c>
      <c r="AP45" t="s">
        <v>56</v>
      </c>
      <c r="AQ45" t="s">
        <v>71</v>
      </c>
      <c r="AR45" t="s">
        <v>56</v>
      </c>
      <c r="AS45" t="s">
        <v>56</v>
      </c>
      <c r="AT45" t="s">
        <v>56</v>
      </c>
      <c r="AU45" t="s">
        <v>56</v>
      </c>
      <c r="AV45" t="s">
        <v>56</v>
      </c>
      <c r="AW45" t="s">
        <v>56</v>
      </c>
      <c r="AX45">
        <v>4</v>
      </c>
    </row>
    <row r="46" spans="1:50" x14ac:dyDescent="0.25">
      <c r="A46" t="str">
        <f>"20200127156017049169"</f>
        <v>20200127156017049169</v>
      </c>
      <c r="B46" t="s">
        <v>190</v>
      </c>
      <c r="C46" t="s">
        <v>190</v>
      </c>
      <c r="D46" t="s">
        <v>499</v>
      </c>
      <c r="E46" t="str">
        <f>"200010029001"</f>
        <v>200010029001</v>
      </c>
      <c r="F46" t="s">
        <v>52</v>
      </c>
      <c r="G46">
        <v>800239977</v>
      </c>
      <c r="H46">
        <v>20001</v>
      </c>
      <c r="I46" t="s">
        <v>500</v>
      </c>
      <c r="J46">
        <v>5700466</v>
      </c>
      <c r="K46" t="s">
        <v>54</v>
      </c>
      <c r="L46">
        <v>79955207</v>
      </c>
      <c r="M46" t="s">
        <v>107</v>
      </c>
      <c r="N46" t="s">
        <v>501</v>
      </c>
      <c r="O46" t="s">
        <v>502</v>
      </c>
      <c r="P46" t="s">
        <v>503</v>
      </c>
      <c r="Q46" t="s">
        <v>56</v>
      </c>
      <c r="R46" t="s">
        <v>54</v>
      </c>
      <c r="S46">
        <v>26794213</v>
      </c>
      <c r="T46" t="s">
        <v>504</v>
      </c>
      <c r="U46" t="s">
        <v>424</v>
      </c>
      <c r="V46" t="s">
        <v>207</v>
      </c>
      <c r="W46" t="s">
        <v>505</v>
      </c>
      <c r="X46" t="s">
        <v>506</v>
      </c>
      <c r="Y46" t="s">
        <v>86</v>
      </c>
      <c r="Z46">
        <v>12</v>
      </c>
      <c r="AA46" t="s">
        <v>65</v>
      </c>
      <c r="AB46" t="s">
        <v>56</v>
      </c>
      <c r="AC46" t="s">
        <v>56</v>
      </c>
      <c r="AD46">
        <v>0</v>
      </c>
      <c r="AE46" t="s">
        <v>66</v>
      </c>
      <c r="AF46" t="s">
        <v>56</v>
      </c>
      <c r="AG46" t="s">
        <v>56</v>
      </c>
      <c r="AH46" t="s">
        <v>56</v>
      </c>
      <c r="AI46" t="s">
        <v>56</v>
      </c>
      <c r="AJ46" t="s">
        <v>507</v>
      </c>
      <c r="AK46" t="s">
        <v>508</v>
      </c>
      <c r="AL46" t="s">
        <v>509</v>
      </c>
      <c r="AM46" t="s">
        <v>510</v>
      </c>
      <c r="AN46" t="s">
        <v>56</v>
      </c>
      <c r="AO46" t="s">
        <v>56</v>
      </c>
      <c r="AP46" t="s">
        <v>56</v>
      </c>
      <c r="AQ46" t="s">
        <v>71</v>
      </c>
      <c r="AR46" t="s">
        <v>56</v>
      </c>
      <c r="AS46" t="s">
        <v>56</v>
      </c>
      <c r="AT46" t="s">
        <v>56</v>
      </c>
      <c r="AU46" t="s">
        <v>56</v>
      </c>
      <c r="AV46" t="s">
        <v>56</v>
      </c>
      <c r="AW46" t="s">
        <v>56</v>
      </c>
      <c r="AX46">
        <v>4</v>
      </c>
    </row>
    <row r="47" spans="1:50" x14ac:dyDescent="0.25">
      <c r="A47" t="str">
        <f>"20200127110017050240"</f>
        <v>20200127110017050240</v>
      </c>
      <c r="B47" t="s">
        <v>190</v>
      </c>
      <c r="C47" t="s">
        <v>190</v>
      </c>
      <c r="D47" t="s">
        <v>511</v>
      </c>
      <c r="E47" t="str">
        <f>"200010205401"</f>
        <v>200010205401</v>
      </c>
      <c r="F47" t="s">
        <v>52</v>
      </c>
      <c r="G47">
        <v>901058547</v>
      </c>
      <c r="H47">
        <v>20001</v>
      </c>
      <c r="I47" t="s">
        <v>512</v>
      </c>
      <c r="J47" t="s">
        <v>513</v>
      </c>
      <c r="K47" t="s">
        <v>54</v>
      </c>
      <c r="L47">
        <v>5135376</v>
      </c>
      <c r="M47" t="s">
        <v>514</v>
      </c>
      <c r="N47" t="s">
        <v>515</v>
      </c>
      <c r="O47" t="s">
        <v>516</v>
      </c>
      <c r="P47" t="s">
        <v>517</v>
      </c>
      <c r="Q47">
        <v>200461</v>
      </c>
      <c r="R47" t="s">
        <v>237</v>
      </c>
      <c r="S47">
        <v>1044637264</v>
      </c>
      <c r="T47" t="s">
        <v>518</v>
      </c>
      <c r="U47" t="s">
        <v>519</v>
      </c>
      <c r="V47" t="s">
        <v>520</v>
      </c>
      <c r="W47" t="s">
        <v>57</v>
      </c>
      <c r="X47" t="s">
        <v>462</v>
      </c>
      <c r="Y47" t="s">
        <v>86</v>
      </c>
      <c r="Z47">
        <v>12</v>
      </c>
      <c r="AA47" t="s">
        <v>65</v>
      </c>
      <c r="AB47" t="s">
        <v>56</v>
      </c>
      <c r="AC47" t="s">
        <v>56</v>
      </c>
      <c r="AD47">
        <v>0</v>
      </c>
      <c r="AE47" t="s">
        <v>66</v>
      </c>
      <c r="AF47" t="s">
        <v>56</v>
      </c>
      <c r="AG47" t="s">
        <v>56</v>
      </c>
      <c r="AH47" t="s">
        <v>56</v>
      </c>
      <c r="AI47" t="s">
        <v>56</v>
      </c>
      <c r="AJ47" t="s">
        <v>521</v>
      </c>
      <c r="AK47" t="s">
        <v>522</v>
      </c>
      <c r="AL47" t="s">
        <v>523</v>
      </c>
      <c r="AM47" t="s">
        <v>524</v>
      </c>
      <c r="AN47" t="s">
        <v>56</v>
      </c>
      <c r="AO47" t="s">
        <v>56</v>
      </c>
      <c r="AP47" t="s">
        <v>56</v>
      </c>
      <c r="AQ47" t="s">
        <v>71</v>
      </c>
      <c r="AR47" t="s">
        <v>56</v>
      </c>
      <c r="AS47" t="s">
        <v>56</v>
      </c>
      <c r="AT47" t="s">
        <v>56</v>
      </c>
      <c r="AU47" t="s">
        <v>56</v>
      </c>
      <c r="AV47" t="s">
        <v>56</v>
      </c>
      <c r="AW47" t="s">
        <v>56</v>
      </c>
      <c r="AX47">
        <v>4</v>
      </c>
    </row>
    <row r="48" spans="1:50" x14ac:dyDescent="0.25">
      <c r="A48" t="str">
        <f>"20200130181017131591"</f>
        <v>20200130181017131591</v>
      </c>
      <c r="B48" t="s">
        <v>124</v>
      </c>
      <c r="C48" t="s">
        <v>124</v>
      </c>
      <c r="D48" t="s">
        <v>525</v>
      </c>
      <c r="E48" t="str">
        <f>"761470728201"</f>
        <v>761470728201</v>
      </c>
      <c r="F48" t="s">
        <v>52</v>
      </c>
      <c r="G48">
        <v>900247710</v>
      </c>
      <c r="H48">
        <v>76147</v>
      </c>
      <c r="I48" t="s">
        <v>526</v>
      </c>
      <c r="J48">
        <v>2108988</v>
      </c>
      <c r="K48" t="s">
        <v>54</v>
      </c>
      <c r="L48">
        <v>18615571</v>
      </c>
      <c r="M48" t="s">
        <v>164</v>
      </c>
      <c r="N48" t="s">
        <v>527</v>
      </c>
      <c r="O48" t="s">
        <v>528</v>
      </c>
      <c r="P48" t="s">
        <v>249</v>
      </c>
      <c r="Q48" t="s">
        <v>529</v>
      </c>
      <c r="R48" t="s">
        <v>54</v>
      </c>
      <c r="S48">
        <v>29375179</v>
      </c>
      <c r="T48" t="s">
        <v>530</v>
      </c>
      <c r="U48" t="s">
        <v>531</v>
      </c>
      <c r="V48" t="s">
        <v>532</v>
      </c>
      <c r="W48" t="s">
        <v>533</v>
      </c>
      <c r="X48" t="s">
        <v>277</v>
      </c>
      <c r="Y48" t="s">
        <v>64</v>
      </c>
      <c r="Z48">
        <v>12</v>
      </c>
      <c r="AA48" t="s">
        <v>65</v>
      </c>
      <c r="AB48" t="s">
        <v>56</v>
      </c>
      <c r="AC48" t="s">
        <v>56</v>
      </c>
      <c r="AD48">
        <v>0</v>
      </c>
      <c r="AE48" t="s">
        <v>66</v>
      </c>
      <c r="AF48" t="s">
        <v>56</v>
      </c>
      <c r="AG48" t="s">
        <v>56</v>
      </c>
      <c r="AH48" t="s">
        <v>56</v>
      </c>
      <c r="AI48" t="s">
        <v>56</v>
      </c>
      <c r="AJ48" t="s">
        <v>534</v>
      </c>
      <c r="AK48" t="s">
        <v>535</v>
      </c>
      <c r="AL48" t="s">
        <v>536</v>
      </c>
      <c r="AM48" t="s">
        <v>537</v>
      </c>
      <c r="AN48" t="s">
        <v>56</v>
      </c>
      <c r="AO48" t="s">
        <v>56</v>
      </c>
      <c r="AP48" t="s">
        <v>56</v>
      </c>
      <c r="AQ48" t="s">
        <v>71</v>
      </c>
      <c r="AR48" t="s">
        <v>56</v>
      </c>
      <c r="AS48" t="s">
        <v>56</v>
      </c>
      <c r="AT48" t="s">
        <v>56</v>
      </c>
      <c r="AU48" t="s">
        <v>56</v>
      </c>
      <c r="AV48" t="s">
        <v>56</v>
      </c>
      <c r="AW48" t="s">
        <v>56</v>
      </c>
      <c r="AX48">
        <v>4</v>
      </c>
    </row>
    <row r="49" spans="1:50" x14ac:dyDescent="0.25">
      <c r="A49" t="str">
        <f>"20200131143017167307"</f>
        <v>20200131143017167307</v>
      </c>
      <c r="B49" t="s">
        <v>110</v>
      </c>
      <c r="C49" t="s">
        <v>110</v>
      </c>
      <c r="D49" t="s">
        <v>538</v>
      </c>
      <c r="E49" t="str">
        <f>"134300077501"</f>
        <v>134300077501</v>
      </c>
      <c r="F49" t="s">
        <v>52</v>
      </c>
      <c r="G49">
        <v>823002800</v>
      </c>
      <c r="H49">
        <v>13430</v>
      </c>
      <c r="I49" t="s">
        <v>539</v>
      </c>
      <c r="J49">
        <v>3107315890</v>
      </c>
      <c r="K49" t="s">
        <v>54</v>
      </c>
      <c r="L49">
        <v>92520392</v>
      </c>
      <c r="M49" t="s">
        <v>540</v>
      </c>
      <c r="N49" t="s">
        <v>164</v>
      </c>
      <c r="O49" t="s">
        <v>376</v>
      </c>
      <c r="P49" t="s">
        <v>109</v>
      </c>
      <c r="Q49">
        <v>282</v>
      </c>
      <c r="R49" t="s">
        <v>54</v>
      </c>
      <c r="S49">
        <v>33211183</v>
      </c>
      <c r="T49" t="s">
        <v>541</v>
      </c>
      <c r="U49" t="s">
        <v>62</v>
      </c>
      <c r="V49" t="s">
        <v>542</v>
      </c>
      <c r="W49" t="s">
        <v>543</v>
      </c>
      <c r="X49" t="s">
        <v>544</v>
      </c>
      <c r="Y49" t="s">
        <v>101</v>
      </c>
      <c r="Z49">
        <v>12</v>
      </c>
      <c r="AA49" t="s">
        <v>65</v>
      </c>
      <c r="AB49" t="s">
        <v>56</v>
      </c>
      <c r="AC49" t="s">
        <v>56</v>
      </c>
      <c r="AD49">
        <v>0</v>
      </c>
      <c r="AE49" t="s">
        <v>66</v>
      </c>
      <c r="AF49" t="s">
        <v>56</v>
      </c>
      <c r="AG49" t="s">
        <v>56</v>
      </c>
      <c r="AH49" t="s">
        <v>56</v>
      </c>
      <c r="AI49" t="s">
        <v>56</v>
      </c>
      <c r="AJ49" t="s">
        <v>545</v>
      </c>
      <c r="AK49" t="s">
        <v>546</v>
      </c>
      <c r="AL49" t="s">
        <v>56</v>
      </c>
      <c r="AM49" t="s">
        <v>56</v>
      </c>
      <c r="AN49" t="s">
        <v>56</v>
      </c>
      <c r="AO49" t="s">
        <v>56</v>
      </c>
      <c r="AP49" t="s">
        <v>56</v>
      </c>
      <c r="AQ49" t="s">
        <v>71</v>
      </c>
      <c r="AR49" t="s">
        <v>56</v>
      </c>
      <c r="AS49" t="s">
        <v>56</v>
      </c>
      <c r="AT49" t="s">
        <v>56</v>
      </c>
      <c r="AU49" t="s">
        <v>56</v>
      </c>
      <c r="AV49" t="s">
        <v>56</v>
      </c>
      <c r="AW49" t="s">
        <v>56</v>
      </c>
      <c r="AX49">
        <v>4</v>
      </c>
    </row>
    <row r="50" spans="1:50" x14ac:dyDescent="0.25">
      <c r="A50" t="str">
        <f>"20200127134017049214"</f>
        <v>20200127134017049214</v>
      </c>
      <c r="B50" t="s">
        <v>190</v>
      </c>
      <c r="C50" t="s">
        <v>190</v>
      </c>
      <c r="D50" t="s">
        <v>547</v>
      </c>
      <c r="E50" t="str">
        <f>"080010003601"</f>
        <v>080010003601</v>
      </c>
      <c r="F50" t="s">
        <v>52</v>
      </c>
      <c r="G50">
        <v>802000955</v>
      </c>
      <c r="H50" t="s">
        <v>112</v>
      </c>
      <c r="I50" t="s">
        <v>218</v>
      </c>
      <c r="J50" t="s">
        <v>56</v>
      </c>
      <c r="K50" t="s">
        <v>54</v>
      </c>
      <c r="L50">
        <v>32689204</v>
      </c>
      <c r="M50" t="s">
        <v>404</v>
      </c>
      <c r="N50" t="s">
        <v>548</v>
      </c>
      <c r="O50" t="s">
        <v>549</v>
      </c>
      <c r="P50" t="s">
        <v>57</v>
      </c>
      <c r="Q50" t="s">
        <v>550</v>
      </c>
      <c r="R50" t="s">
        <v>54</v>
      </c>
      <c r="S50">
        <v>32623626</v>
      </c>
      <c r="T50" t="s">
        <v>551</v>
      </c>
      <c r="U50" t="s">
        <v>296</v>
      </c>
      <c r="V50" t="s">
        <v>552</v>
      </c>
      <c r="W50" t="s">
        <v>553</v>
      </c>
      <c r="X50" t="s">
        <v>120</v>
      </c>
      <c r="Y50" t="s">
        <v>121</v>
      </c>
      <c r="Z50">
        <v>12</v>
      </c>
      <c r="AA50" t="s">
        <v>65</v>
      </c>
      <c r="AB50" t="s">
        <v>56</v>
      </c>
      <c r="AC50" t="s">
        <v>56</v>
      </c>
      <c r="AD50">
        <v>0</v>
      </c>
      <c r="AE50" t="s">
        <v>66</v>
      </c>
      <c r="AF50" t="s">
        <v>56</v>
      </c>
      <c r="AG50" t="s">
        <v>56</v>
      </c>
      <c r="AH50" t="s">
        <v>56</v>
      </c>
      <c r="AI50" t="s">
        <v>56</v>
      </c>
      <c r="AJ50" t="s">
        <v>536</v>
      </c>
      <c r="AK50" t="s">
        <v>537</v>
      </c>
      <c r="AL50" t="s">
        <v>56</v>
      </c>
      <c r="AM50" t="s">
        <v>56</v>
      </c>
      <c r="AN50" t="s">
        <v>56</v>
      </c>
      <c r="AO50" t="s">
        <v>56</v>
      </c>
      <c r="AP50" t="s">
        <v>56</v>
      </c>
      <c r="AQ50" t="s">
        <v>71</v>
      </c>
      <c r="AR50" t="s">
        <v>56</v>
      </c>
      <c r="AS50" t="s">
        <v>56</v>
      </c>
      <c r="AT50" t="s">
        <v>56</v>
      </c>
      <c r="AU50" t="s">
        <v>56</v>
      </c>
      <c r="AV50" t="s">
        <v>56</v>
      </c>
      <c r="AW50" t="s">
        <v>56</v>
      </c>
      <c r="AX50">
        <v>4</v>
      </c>
    </row>
    <row r="51" spans="1:50" x14ac:dyDescent="0.25">
      <c r="A51" t="str">
        <f>"20200129178017106214"</f>
        <v>20200129178017106214</v>
      </c>
      <c r="B51" t="s">
        <v>72</v>
      </c>
      <c r="C51" t="s">
        <v>72</v>
      </c>
      <c r="D51" t="s">
        <v>554</v>
      </c>
      <c r="E51" t="str">
        <f>"080010445442"</f>
        <v>080010445442</v>
      </c>
      <c r="F51" t="s">
        <v>52</v>
      </c>
      <c r="G51">
        <v>901139193</v>
      </c>
      <c r="H51" t="s">
        <v>112</v>
      </c>
      <c r="I51" t="s">
        <v>555</v>
      </c>
      <c r="J51">
        <v>3734999</v>
      </c>
      <c r="K51" t="s">
        <v>54</v>
      </c>
      <c r="L51">
        <v>1045668608</v>
      </c>
      <c r="M51" t="s">
        <v>204</v>
      </c>
      <c r="N51" t="s">
        <v>205</v>
      </c>
      <c r="O51" t="s">
        <v>206</v>
      </c>
      <c r="P51" t="s">
        <v>207</v>
      </c>
      <c r="Q51" t="s">
        <v>208</v>
      </c>
      <c r="R51" t="s">
        <v>54</v>
      </c>
      <c r="S51">
        <v>8660728</v>
      </c>
      <c r="T51" t="s">
        <v>540</v>
      </c>
      <c r="U51" t="s">
        <v>62</v>
      </c>
      <c r="V51" t="s">
        <v>156</v>
      </c>
      <c r="W51" t="s">
        <v>78</v>
      </c>
      <c r="X51" t="s">
        <v>120</v>
      </c>
      <c r="Y51" t="s">
        <v>121</v>
      </c>
      <c r="Z51">
        <v>12</v>
      </c>
      <c r="AA51" t="s">
        <v>65</v>
      </c>
      <c r="AB51" t="s">
        <v>56</v>
      </c>
      <c r="AC51" t="s">
        <v>56</v>
      </c>
      <c r="AD51">
        <v>0</v>
      </c>
      <c r="AE51" t="s">
        <v>66</v>
      </c>
      <c r="AF51" t="s">
        <v>56</v>
      </c>
      <c r="AG51" t="s">
        <v>56</v>
      </c>
      <c r="AH51" t="s">
        <v>56</v>
      </c>
      <c r="AI51" t="s">
        <v>56</v>
      </c>
      <c r="AJ51" t="s">
        <v>122</v>
      </c>
      <c r="AK51" t="s">
        <v>123</v>
      </c>
      <c r="AL51" t="s">
        <v>556</v>
      </c>
      <c r="AM51" t="s">
        <v>557</v>
      </c>
      <c r="AN51" t="s">
        <v>215</v>
      </c>
      <c r="AO51" t="s">
        <v>216</v>
      </c>
      <c r="AP51" t="s">
        <v>56</v>
      </c>
      <c r="AQ51" t="s">
        <v>71</v>
      </c>
      <c r="AR51" t="s">
        <v>56</v>
      </c>
      <c r="AS51" t="s">
        <v>56</v>
      </c>
      <c r="AT51" t="s">
        <v>56</v>
      </c>
      <c r="AU51" t="s">
        <v>56</v>
      </c>
      <c r="AV51" t="s">
        <v>56</v>
      </c>
      <c r="AW51" t="s">
        <v>56</v>
      </c>
      <c r="AX51">
        <v>4</v>
      </c>
    </row>
    <row r="52" spans="1:50" x14ac:dyDescent="0.25">
      <c r="A52" t="str">
        <f>"20200131145017176597"</f>
        <v>20200131145017176597</v>
      </c>
      <c r="B52" t="s">
        <v>110</v>
      </c>
      <c r="C52" t="s">
        <v>110</v>
      </c>
      <c r="D52" t="s">
        <v>558</v>
      </c>
      <c r="E52" t="str">
        <f>"080010022301"</f>
        <v>080010022301</v>
      </c>
      <c r="F52" t="s">
        <v>52</v>
      </c>
      <c r="G52">
        <v>72125229</v>
      </c>
      <c r="H52" t="s">
        <v>112</v>
      </c>
      <c r="I52" t="s">
        <v>303</v>
      </c>
      <c r="J52">
        <v>3781924</v>
      </c>
      <c r="K52" t="s">
        <v>54</v>
      </c>
      <c r="L52">
        <v>72125229</v>
      </c>
      <c r="M52" t="s">
        <v>304</v>
      </c>
      <c r="N52" t="s">
        <v>56</v>
      </c>
      <c r="O52" t="s">
        <v>305</v>
      </c>
      <c r="P52" t="s">
        <v>306</v>
      </c>
      <c r="Q52" t="s">
        <v>56</v>
      </c>
      <c r="R52" t="s">
        <v>54</v>
      </c>
      <c r="S52">
        <v>1001820900</v>
      </c>
      <c r="T52" t="s">
        <v>559</v>
      </c>
      <c r="U52" t="s">
        <v>205</v>
      </c>
      <c r="V52" t="s">
        <v>84</v>
      </c>
      <c r="W52" t="s">
        <v>560</v>
      </c>
      <c r="X52" t="s">
        <v>120</v>
      </c>
      <c r="Y52" t="s">
        <v>121</v>
      </c>
      <c r="Z52">
        <v>12</v>
      </c>
      <c r="AA52" t="s">
        <v>65</v>
      </c>
      <c r="AB52" t="s">
        <v>56</v>
      </c>
      <c r="AC52" t="s">
        <v>56</v>
      </c>
      <c r="AD52">
        <v>0</v>
      </c>
      <c r="AE52" t="s">
        <v>66</v>
      </c>
      <c r="AF52" t="s">
        <v>56</v>
      </c>
      <c r="AG52" t="s">
        <v>56</v>
      </c>
      <c r="AH52" t="s">
        <v>56</v>
      </c>
      <c r="AI52" t="s">
        <v>56</v>
      </c>
      <c r="AJ52" t="s">
        <v>310</v>
      </c>
      <c r="AK52" t="s">
        <v>311</v>
      </c>
      <c r="AL52" t="s">
        <v>56</v>
      </c>
      <c r="AM52" t="s">
        <v>56</v>
      </c>
      <c r="AN52" t="s">
        <v>56</v>
      </c>
      <c r="AO52" t="s">
        <v>56</v>
      </c>
      <c r="AP52" t="s">
        <v>56</v>
      </c>
      <c r="AQ52" t="s">
        <v>71</v>
      </c>
      <c r="AR52" t="s">
        <v>56</v>
      </c>
      <c r="AS52" t="s">
        <v>56</v>
      </c>
      <c r="AT52" t="s">
        <v>56</v>
      </c>
      <c r="AU52" t="s">
        <v>56</v>
      </c>
      <c r="AV52" t="s">
        <v>56</v>
      </c>
      <c r="AW52" t="s">
        <v>56</v>
      </c>
      <c r="AX52">
        <v>4</v>
      </c>
    </row>
    <row r="53" spans="1:50" x14ac:dyDescent="0.25">
      <c r="A53" t="str">
        <f>"20200124124017010264"</f>
        <v>20200124124017010264</v>
      </c>
      <c r="B53" t="s">
        <v>201</v>
      </c>
      <c r="C53" t="s">
        <v>201</v>
      </c>
      <c r="D53" t="s">
        <v>561</v>
      </c>
      <c r="E53" t="str">
        <f>"086380021701"</f>
        <v>086380021701</v>
      </c>
      <c r="F53" t="s">
        <v>52</v>
      </c>
      <c r="G53">
        <v>802009783</v>
      </c>
      <c r="H53" t="s">
        <v>246</v>
      </c>
      <c r="I53" t="s">
        <v>562</v>
      </c>
      <c r="J53" t="s">
        <v>56</v>
      </c>
      <c r="K53" t="s">
        <v>338</v>
      </c>
      <c r="L53">
        <v>386560</v>
      </c>
      <c r="M53" t="s">
        <v>81</v>
      </c>
      <c r="N53" t="s">
        <v>563</v>
      </c>
      <c r="O53" t="s">
        <v>564</v>
      </c>
      <c r="P53" t="s">
        <v>565</v>
      </c>
      <c r="Q53">
        <v>386560</v>
      </c>
      <c r="R53" t="s">
        <v>54</v>
      </c>
      <c r="S53">
        <v>8600404</v>
      </c>
      <c r="T53" t="s">
        <v>566</v>
      </c>
      <c r="U53" t="s">
        <v>155</v>
      </c>
      <c r="V53" t="s">
        <v>567</v>
      </c>
      <c r="W53" t="s">
        <v>568</v>
      </c>
      <c r="X53" t="s">
        <v>569</v>
      </c>
      <c r="Y53" t="s">
        <v>121</v>
      </c>
      <c r="Z53">
        <v>11</v>
      </c>
      <c r="AA53" t="s">
        <v>87</v>
      </c>
      <c r="AB53" t="s">
        <v>56</v>
      </c>
      <c r="AC53" t="s">
        <v>56</v>
      </c>
      <c r="AD53">
        <v>0</v>
      </c>
      <c r="AE53" t="s">
        <v>66</v>
      </c>
      <c r="AF53" t="s">
        <v>56</v>
      </c>
      <c r="AG53" t="s">
        <v>56</v>
      </c>
      <c r="AH53" t="s">
        <v>56</v>
      </c>
      <c r="AI53" t="s">
        <v>56</v>
      </c>
      <c r="AJ53" t="s">
        <v>570</v>
      </c>
      <c r="AK53" t="s">
        <v>571</v>
      </c>
      <c r="AL53" t="s">
        <v>56</v>
      </c>
      <c r="AM53" t="s">
        <v>56</v>
      </c>
      <c r="AN53" t="s">
        <v>56</v>
      </c>
      <c r="AO53" t="s">
        <v>56</v>
      </c>
      <c r="AP53" t="s">
        <v>56</v>
      </c>
      <c r="AQ53" t="s">
        <v>71</v>
      </c>
      <c r="AR53" t="s">
        <v>56</v>
      </c>
      <c r="AS53" t="s">
        <v>56</v>
      </c>
      <c r="AT53" t="s">
        <v>56</v>
      </c>
      <c r="AU53" t="s">
        <v>56</v>
      </c>
      <c r="AV53" t="s">
        <v>56</v>
      </c>
      <c r="AW53" t="s">
        <v>56</v>
      </c>
      <c r="AX53">
        <v>4</v>
      </c>
    </row>
    <row r="54" spans="1:50" x14ac:dyDescent="0.25">
      <c r="A54" t="str">
        <f>"20200130137017147105"</f>
        <v>20200130137017147105</v>
      </c>
      <c r="B54" t="s">
        <v>124</v>
      </c>
      <c r="C54" t="s">
        <v>124</v>
      </c>
      <c r="D54" t="s">
        <v>572</v>
      </c>
      <c r="E54" t="str">
        <f>"761470728201"</f>
        <v>761470728201</v>
      </c>
      <c r="F54" t="s">
        <v>52</v>
      </c>
      <c r="G54">
        <v>900247710</v>
      </c>
      <c r="H54">
        <v>76147</v>
      </c>
      <c r="I54" t="s">
        <v>526</v>
      </c>
      <c r="J54">
        <v>2108988</v>
      </c>
      <c r="K54" t="s">
        <v>54</v>
      </c>
      <c r="L54">
        <v>18615571</v>
      </c>
      <c r="M54" t="s">
        <v>164</v>
      </c>
      <c r="N54" t="s">
        <v>527</v>
      </c>
      <c r="O54" t="s">
        <v>528</v>
      </c>
      <c r="P54" t="s">
        <v>249</v>
      </c>
      <c r="Q54" t="s">
        <v>529</v>
      </c>
      <c r="R54" t="s">
        <v>237</v>
      </c>
      <c r="S54">
        <v>1006290404</v>
      </c>
      <c r="T54" t="s">
        <v>106</v>
      </c>
      <c r="U54" t="s">
        <v>219</v>
      </c>
      <c r="V54" t="s">
        <v>99</v>
      </c>
      <c r="W54" t="s">
        <v>297</v>
      </c>
      <c r="X54" t="s">
        <v>573</v>
      </c>
      <c r="Y54" t="s">
        <v>64</v>
      </c>
      <c r="Z54">
        <v>12</v>
      </c>
      <c r="AA54" t="s">
        <v>65</v>
      </c>
      <c r="AB54" t="s">
        <v>56</v>
      </c>
      <c r="AC54" t="s">
        <v>56</v>
      </c>
      <c r="AD54">
        <v>0</v>
      </c>
      <c r="AE54" t="s">
        <v>66</v>
      </c>
      <c r="AF54" t="s">
        <v>56</v>
      </c>
      <c r="AG54" t="s">
        <v>56</v>
      </c>
      <c r="AH54" t="s">
        <v>56</v>
      </c>
      <c r="AI54" t="s">
        <v>56</v>
      </c>
      <c r="AJ54" t="s">
        <v>574</v>
      </c>
      <c r="AK54" t="s">
        <v>575</v>
      </c>
      <c r="AL54" t="s">
        <v>56</v>
      </c>
      <c r="AM54" t="s">
        <v>56</v>
      </c>
      <c r="AN54" t="s">
        <v>56</v>
      </c>
      <c r="AO54" t="s">
        <v>56</v>
      </c>
      <c r="AP54" t="s">
        <v>56</v>
      </c>
      <c r="AQ54" t="s">
        <v>71</v>
      </c>
      <c r="AR54" t="s">
        <v>56</v>
      </c>
      <c r="AS54" t="s">
        <v>56</v>
      </c>
      <c r="AT54" t="s">
        <v>56</v>
      </c>
      <c r="AU54" t="s">
        <v>56</v>
      </c>
      <c r="AV54" t="s">
        <v>56</v>
      </c>
      <c r="AW54" t="s">
        <v>56</v>
      </c>
      <c r="AX54">
        <v>4</v>
      </c>
    </row>
    <row r="55" spans="1:50" x14ac:dyDescent="0.25">
      <c r="A55" t="str">
        <f>"20200127151017059329"</f>
        <v>20200127151017059329</v>
      </c>
      <c r="B55" t="s">
        <v>190</v>
      </c>
      <c r="C55" t="s">
        <v>190</v>
      </c>
      <c r="D55" t="s">
        <v>576</v>
      </c>
      <c r="E55" t="str">
        <f>"200010205401"</f>
        <v>200010205401</v>
      </c>
      <c r="F55" t="s">
        <v>52</v>
      </c>
      <c r="G55">
        <v>901058547</v>
      </c>
      <c r="H55">
        <v>20001</v>
      </c>
      <c r="I55" t="s">
        <v>512</v>
      </c>
      <c r="J55" t="s">
        <v>513</v>
      </c>
      <c r="K55" t="s">
        <v>54</v>
      </c>
      <c r="L55">
        <v>56078839</v>
      </c>
      <c r="M55" t="s">
        <v>577</v>
      </c>
      <c r="N55" t="s">
        <v>275</v>
      </c>
      <c r="O55" t="s">
        <v>225</v>
      </c>
      <c r="P55" t="s">
        <v>578</v>
      </c>
      <c r="Q55">
        <v>7093</v>
      </c>
      <c r="R55" t="s">
        <v>54</v>
      </c>
      <c r="S55">
        <v>49734875</v>
      </c>
      <c r="T55" t="s">
        <v>579</v>
      </c>
      <c r="U55" t="s">
        <v>580</v>
      </c>
      <c r="V55" t="s">
        <v>581</v>
      </c>
      <c r="W55" t="s">
        <v>582</v>
      </c>
      <c r="X55" t="s">
        <v>462</v>
      </c>
      <c r="Y55" t="s">
        <v>86</v>
      </c>
      <c r="Z55">
        <v>11</v>
      </c>
      <c r="AA55" t="s">
        <v>87</v>
      </c>
      <c r="AB55" t="s">
        <v>56</v>
      </c>
      <c r="AC55" t="s">
        <v>56</v>
      </c>
      <c r="AD55">
        <v>0</v>
      </c>
      <c r="AE55" t="s">
        <v>66</v>
      </c>
      <c r="AF55" t="s">
        <v>56</v>
      </c>
      <c r="AG55" t="s">
        <v>56</v>
      </c>
      <c r="AH55" t="s">
        <v>56</v>
      </c>
      <c r="AI55" t="s">
        <v>56</v>
      </c>
      <c r="AJ55" t="s">
        <v>583</v>
      </c>
      <c r="AK55" t="s">
        <v>584</v>
      </c>
      <c r="AL55" t="s">
        <v>56</v>
      </c>
      <c r="AM55" t="s">
        <v>56</v>
      </c>
      <c r="AN55" t="s">
        <v>56</v>
      </c>
      <c r="AO55" t="s">
        <v>56</v>
      </c>
      <c r="AP55" t="s">
        <v>56</v>
      </c>
      <c r="AQ55" t="s">
        <v>71</v>
      </c>
      <c r="AR55" t="s">
        <v>56</v>
      </c>
      <c r="AS55" t="s">
        <v>56</v>
      </c>
      <c r="AT55" t="s">
        <v>56</v>
      </c>
      <c r="AU55" t="s">
        <v>56</v>
      </c>
      <c r="AV55" t="s">
        <v>56</v>
      </c>
      <c r="AW55" t="s">
        <v>56</v>
      </c>
      <c r="AX55">
        <v>4</v>
      </c>
    </row>
    <row r="56" spans="1:50" x14ac:dyDescent="0.25">
      <c r="A56" t="str">
        <f>"20200129139017114792"</f>
        <v>20200129139017114792</v>
      </c>
      <c r="B56" t="s">
        <v>72</v>
      </c>
      <c r="C56" t="s">
        <v>72</v>
      </c>
      <c r="D56" t="s">
        <v>585</v>
      </c>
      <c r="E56" t="str">
        <f>"086380074501"</f>
        <v>086380074501</v>
      </c>
      <c r="F56" t="s">
        <v>52</v>
      </c>
      <c r="G56">
        <v>900080150</v>
      </c>
      <c r="H56" t="s">
        <v>246</v>
      </c>
      <c r="I56" t="s">
        <v>247</v>
      </c>
      <c r="J56">
        <v>8783805</v>
      </c>
      <c r="K56" t="s">
        <v>54</v>
      </c>
      <c r="L56">
        <v>32847775</v>
      </c>
      <c r="M56" t="s">
        <v>59</v>
      </c>
      <c r="N56" t="s">
        <v>342</v>
      </c>
      <c r="O56" t="s">
        <v>586</v>
      </c>
      <c r="P56" t="s">
        <v>587</v>
      </c>
      <c r="Q56" t="s">
        <v>588</v>
      </c>
      <c r="R56" t="s">
        <v>237</v>
      </c>
      <c r="S56">
        <v>1043590534</v>
      </c>
      <c r="T56" t="s">
        <v>589</v>
      </c>
      <c r="U56" t="s">
        <v>76</v>
      </c>
      <c r="V56" t="s">
        <v>568</v>
      </c>
      <c r="W56" t="s">
        <v>324</v>
      </c>
      <c r="X56" t="s">
        <v>590</v>
      </c>
      <c r="Y56" t="s">
        <v>121</v>
      </c>
      <c r="Z56">
        <v>12</v>
      </c>
      <c r="AA56" t="s">
        <v>65</v>
      </c>
      <c r="AB56" t="s">
        <v>56</v>
      </c>
      <c r="AC56" t="s">
        <v>56</v>
      </c>
      <c r="AD56">
        <v>0</v>
      </c>
      <c r="AE56" t="s">
        <v>66</v>
      </c>
      <c r="AF56" t="s">
        <v>56</v>
      </c>
      <c r="AG56" t="s">
        <v>56</v>
      </c>
      <c r="AH56" t="s">
        <v>56</v>
      </c>
      <c r="AI56" t="s">
        <v>56</v>
      </c>
      <c r="AJ56" t="s">
        <v>591</v>
      </c>
      <c r="AK56" t="s">
        <v>592</v>
      </c>
      <c r="AL56" t="s">
        <v>56</v>
      </c>
      <c r="AM56" t="s">
        <v>56</v>
      </c>
      <c r="AN56" t="s">
        <v>56</v>
      </c>
      <c r="AO56" t="s">
        <v>56</v>
      </c>
      <c r="AP56" t="s">
        <v>56</v>
      </c>
      <c r="AQ56" t="s">
        <v>71</v>
      </c>
      <c r="AR56" t="s">
        <v>56</v>
      </c>
      <c r="AS56" t="s">
        <v>56</v>
      </c>
      <c r="AT56" t="s">
        <v>56</v>
      </c>
      <c r="AU56" t="s">
        <v>56</v>
      </c>
      <c r="AV56" t="s">
        <v>56</v>
      </c>
      <c r="AW56" t="s">
        <v>56</v>
      </c>
      <c r="AX56">
        <v>4</v>
      </c>
    </row>
    <row r="57" spans="1:50" x14ac:dyDescent="0.25">
      <c r="A57" t="str">
        <f>"20200128120017091013"</f>
        <v>20200128120017091013</v>
      </c>
      <c r="B57" t="s">
        <v>151</v>
      </c>
      <c r="C57" t="s">
        <v>151</v>
      </c>
      <c r="D57" t="s">
        <v>593</v>
      </c>
      <c r="E57" t="str">
        <f>"475550016701"</f>
        <v>475550016701</v>
      </c>
      <c r="F57" t="s">
        <v>52</v>
      </c>
      <c r="G57">
        <v>819001895</v>
      </c>
      <c r="H57">
        <v>47555</v>
      </c>
      <c r="I57" t="s">
        <v>594</v>
      </c>
      <c r="J57" t="s">
        <v>595</v>
      </c>
      <c r="K57" t="s">
        <v>54</v>
      </c>
      <c r="L57">
        <v>73231771</v>
      </c>
      <c r="M57" t="s">
        <v>132</v>
      </c>
      <c r="N57" t="s">
        <v>596</v>
      </c>
      <c r="O57" t="s">
        <v>472</v>
      </c>
      <c r="P57" t="s">
        <v>597</v>
      </c>
      <c r="Q57" t="s">
        <v>598</v>
      </c>
      <c r="R57" t="s">
        <v>54</v>
      </c>
      <c r="S57">
        <v>39067560</v>
      </c>
      <c r="T57" t="s">
        <v>599</v>
      </c>
      <c r="U57" t="s">
        <v>600</v>
      </c>
      <c r="V57" t="s">
        <v>96</v>
      </c>
      <c r="W57" t="s">
        <v>601</v>
      </c>
      <c r="X57" t="s">
        <v>344</v>
      </c>
      <c r="Y57" t="s">
        <v>345</v>
      </c>
      <c r="Z57">
        <v>12</v>
      </c>
      <c r="AA57" t="s">
        <v>65</v>
      </c>
      <c r="AB57" t="s">
        <v>56</v>
      </c>
      <c r="AC57" t="s">
        <v>56</v>
      </c>
      <c r="AD57">
        <v>0</v>
      </c>
      <c r="AE57" t="s">
        <v>66</v>
      </c>
      <c r="AF57" t="s">
        <v>56</v>
      </c>
      <c r="AG57" t="s">
        <v>56</v>
      </c>
      <c r="AH57" t="s">
        <v>56</v>
      </c>
      <c r="AI57" t="s">
        <v>56</v>
      </c>
      <c r="AJ57" t="s">
        <v>454</v>
      </c>
      <c r="AK57" t="s">
        <v>455</v>
      </c>
      <c r="AL57" t="s">
        <v>56</v>
      </c>
      <c r="AM57" t="s">
        <v>56</v>
      </c>
      <c r="AN57" t="s">
        <v>56</v>
      </c>
      <c r="AO57" t="s">
        <v>56</v>
      </c>
      <c r="AP57" t="s">
        <v>56</v>
      </c>
      <c r="AQ57" t="s">
        <v>71</v>
      </c>
      <c r="AR57" t="s">
        <v>56</v>
      </c>
      <c r="AS57" t="s">
        <v>56</v>
      </c>
      <c r="AT57" t="s">
        <v>56</v>
      </c>
      <c r="AU57" t="s">
        <v>56</v>
      </c>
      <c r="AV57" t="s">
        <v>56</v>
      </c>
      <c r="AW57" t="s">
        <v>56</v>
      </c>
      <c r="AX57">
        <v>4</v>
      </c>
    </row>
    <row r="58" spans="1:50" x14ac:dyDescent="0.25">
      <c r="A58" t="str">
        <f>"20200201131017185155"</f>
        <v>20200201131017185155</v>
      </c>
      <c r="B58" t="s">
        <v>50</v>
      </c>
      <c r="C58" t="s">
        <v>50</v>
      </c>
      <c r="D58" t="s">
        <v>602</v>
      </c>
      <c r="E58" t="str">
        <f>"700010016301"</f>
        <v>700010016301</v>
      </c>
      <c r="F58" t="s">
        <v>52</v>
      </c>
      <c r="G58">
        <v>823002800</v>
      </c>
      <c r="H58">
        <v>70001</v>
      </c>
      <c r="I58" t="s">
        <v>603</v>
      </c>
      <c r="J58">
        <v>3126692716</v>
      </c>
      <c r="K58" t="s">
        <v>54</v>
      </c>
      <c r="L58">
        <v>92520392</v>
      </c>
      <c r="M58" t="s">
        <v>540</v>
      </c>
      <c r="N58" t="s">
        <v>164</v>
      </c>
      <c r="O58" t="s">
        <v>376</v>
      </c>
      <c r="P58" t="s">
        <v>109</v>
      </c>
      <c r="Q58">
        <v>282</v>
      </c>
      <c r="R58" t="s">
        <v>54</v>
      </c>
      <c r="S58">
        <v>92641202</v>
      </c>
      <c r="T58" t="s">
        <v>291</v>
      </c>
      <c r="U58" t="s">
        <v>604</v>
      </c>
      <c r="V58" t="s">
        <v>403</v>
      </c>
      <c r="W58" t="s">
        <v>211</v>
      </c>
      <c r="X58" t="s">
        <v>605</v>
      </c>
      <c r="Y58" t="s">
        <v>330</v>
      </c>
      <c r="Z58">
        <v>12</v>
      </c>
      <c r="AA58" t="s">
        <v>65</v>
      </c>
      <c r="AB58" t="s">
        <v>56</v>
      </c>
      <c r="AC58" t="s">
        <v>56</v>
      </c>
      <c r="AD58">
        <v>0</v>
      </c>
      <c r="AE58" t="s">
        <v>66</v>
      </c>
      <c r="AF58" t="s">
        <v>56</v>
      </c>
      <c r="AG58" t="s">
        <v>56</v>
      </c>
      <c r="AH58" t="s">
        <v>56</v>
      </c>
      <c r="AI58" t="s">
        <v>56</v>
      </c>
      <c r="AJ58" t="s">
        <v>463</v>
      </c>
      <c r="AK58" t="s">
        <v>464</v>
      </c>
      <c r="AL58" t="s">
        <v>56</v>
      </c>
      <c r="AM58" t="s">
        <v>56</v>
      </c>
      <c r="AN58" t="s">
        <v>56</v>
      </c>
      <c r="AO58" t="s">
        <v>56</v>
      </c>
      <c r="AP58" t="s">
        <v>56</v>
      </c>
      <c r="AQ58" t="s">
        <v>71</v>
      </c>
      <c r="AR58" t="s">
        <v>56</v>
      </c>
      <c r="AS58" t="s">
        <v>56</v>
      </c>
      <c r="AT58" t="s">
        <v>56</v>
      </c>
      <c r="AU58" t="s">
        <v>56</v>
      </c>
      <c r="AV58" t="s">
        <v>56</v>
      </c>
      <c r="AW58" t="s">
        <v>56</v>
      </c>
      <c r="AX58">
        <v>4</v>
      </c>
    </row>
    <row r="59" spans="1:50" x14ac:dyDescent="0.25">
      <c r="A59" t="str">
        <f>"20200127120017040733"</f>
        <v>20200127120017040733</v>
      </c>
      <c r="B59" t="s">
        <v>190</v>
      </c>
      <c r="C59" t="s">
        <v>190</v>
      </c>
      <c r="D59" t="s">
        <v>606</v>
      </c>
      <c r="E59" t="str">
        <f>"080010003601"</f>
        <v>080010003601</v>
      </c>
      <c r="F59" t="s">
        <v>52</v>
      </c>
      <c r="G59">
        <v>802000955</v>
      </c>
      <c r="H59" t="s">
        <v>112</v>
      </c>
      <c r="I59" t="s">
        <v>218</v>
      </c>
      <c r="J59" t="s">
        <v>56</v>
      </c>
      <c r="K59" t="s">
        <v>54</v>
      </c>
      <c r="L59">
        <v>1045754222</v>
      </c>
      <c r="M59" t="s">
        <v>607</v>
      </c>
      <c r="N59" t="s">
        <v>117</v>
      </c>
      <c r="O59" t="s">
        <v>608</v>
      </c>
      <c r="P59" t="s">
        <v>528</v>
      </c>
      <c r="Q59">
        <v>1045754222</v>
      </c>
      <c r="R59" t="s">
        <v>54</v>
      </c>
      <c r="S59">
        <v>3735934</v>
      </c>
      <c r="T59" t="s">
        <v>609</v>
      </c>
      <c r="U59" t="s">
        <v>62</v>
      </c>
      <c r="V59" t="s">
        <v>109</v>
      </c>
      <c r="W59" t="s">
        <v>610</v>
      </c>
      <c r="X59" t="s">
        <v>120</v>
      </c>
      <c r="Y59" t="s">
        <v>121</v>
      </c>
      <c r="Z59">
        <v>12</v>
      </c>
      <c r="AA59" t="s">
        <v>65</v>
      </c>
      <c r="AB59" t="s">
        <v>56</v>
      </c>
      <c r="AC59" t="s">
        <v>56</v>
      </c>
      <c r="AD59">
        <v>0</v>
      </c>
      <c r="AE59" t="s">
        <v>66</v>
      </c>
      <c r="AF59" t="s">
        <v>56</v>
      </c>
      <c r="AG59" t="s">
        <v>56</v>
      </c>
      <c r="AH59" t="s">
        <v>56</v>
      </c>
      <c r="AI59" t="s">
        <v>56</v>
      </c>
      <c r="AJ59" t="s">
        <v>611</v>
      </c>
      <c r="AK59" t="s">
        <v>612</v>
      </c>
      <c r="AL59" t="s">
        <v>613</v>
      </c>
      <c r="AM59" t="s">
        <v>614</v>
      </c>
      <c r="AN59" t="s">
        <v>56</v>
      </c>
      <c r="AO59" t="s">
        <v>56</v>
      </c>
      <c r="AP59" t="s">
        <v>56</v>
      </c>
      <c r="AQ59" t="s">
        <v>71</v>
      </c>
      <c r="AR59" t="s">
        <v>56</v>
      </c>
      <c r="AS59" t="s">
        <v>56</v>
      </c>
      <c r="AT59" t="s">
        <v>56</v>
      </c>
      <c r="AU59" t="s">
        <v>56</v>
      </c>
      <c r="AV59" t="s">
        <v>56</v>
      </c>
      <c r="AW59" t="s">
        <v>56</v>
      </c>
      <c r="AX59">
        <v>4</v>
      </c>
    </row>
    <row r="60" spans="1:50" x14ac:dyDescent="0.25">
      <c r="A60" t="str">
        <f>"20200129119017118364"</f>
        <v>20200129119017118364</v>
      </c>
      <c r="B60" t="s">
        <v>72</v>
      </c>
      <c r="C60" t="s">
        <v>72</v>
      </c>
      <c r="D60" t="s">
        <v>615</v>
      </c>
      <c r="E60" t="str">
        <f>"080010054401"</f>
        <v>080010054401</v>
      </c>
      <c r="F60" t="s">
        <v>52</v>
      </c>
      <c r="G60">
        <v>800194798</v>
      </c>
      <c r="H60" t="s">
        <v>112</v>
      </c>
      <c r="I60" t="s">
        <v>616</v>
      </c>
      <c r="J60" t="s">
        <v>56</v>
      </c>
      <c r="K60" t="s">
        <v>54</v>
      </c>
      <c r="L60">
        <v>72157558</v>
      </c>
      <c r="M60" t="s">
        <v>291</v>
      </c>
      <c r="N60" t="s">
        <v>261</v>
      </c>
      <c r="O60" t="s">
        <v>376</v>
      </c>
      <c r="P60" t="s">
        <v>617</v>
      </c>
      <c r="Q60" t="s">
        <v>618</v>
      </c>
      <c r="R60" t="s">
        <v>54</v>
      </c>
      <c r="S60">
        <v>26910824</v>
      </c>
      <c r="T60" t="s">
        <v>619</v>
      </c>
      <c r="U60" t="s">
        <v>59</v>
      </c>
      <c r="V60" t="s">
        <v>324</v>
      </c>
      <c r="W60" t="s">
        <v>240</v>
      </c>
      <c r="X60" t="s">
        <v>299</v>
      </c>
      <c r="Y60" t="s">
        <v>121</v>
      </c>
      <c r="Z60">
        <v>12</v>
      </c>
      <c r="AA60" t="s">
        <v>65</v>
      </c>
      <c r="AB60" t="s">
        <v>56</v>
      </c>
      <c r="AC60" t="s">
        <v>56</v>
      </c>
      <c r="AD60">
        <v>0</v>
      </c>
      <c r="AE60" t="s">
        <v>66</v>
      </c>
      <c r="AF60" t="s">
        <v>56</v>
      </c>
      <c r="AG60" t="s">
        <v>56</v>
      </c>
      <c r="AH60" t="s">
        <v>56</v>
      </c>
      <c r="AI60" t="s">
        <v>56</v>
      </c>
      <c r="AJ60" t="s">
        <v>160</v>
      </c>
      <c r="AK60" t="s">
        <v>161</v>
      </c>
      <c r="AL60" t="s">
        <v>56</v>
      </c>
      <c r="AM60" t="s">
        <v>56</v>
      </c>
      <c r="AN60" t="s">
        <v>56</v>
      </c>
      <c r="AO60" t="s">
        <v>56</v>
      </c>
      <c r="AP60" t="s">
        <v>56</v>
      </c>
      <c r="AQ60" t="s">
        <v>71</v>
      </c>
      <c r="AR60" t="s">
        <v>56</v>
      </c>
      <c r="AS60" t="s">
        <v>56</v>
      </c>
      <c r="AT60" t="s">
        <v>56</v>
      </c>
      <c r="AU60" t="s">
        <v>56</v>
      </c>
      <c r="AV60" t="s">
        <v>56</v>
      </c>
      <c r="AW60" t="s">
        <v>56</v>
      </c>
      <c r="AX60">
        <v>4</v>
      </c>
    </row>
    <row r="61" spans="1:50" x14ac:dyDescent="0.25">
      <c r="A61" t="str">
        <f>"20200129130017106180"</f>
        <v>20200129130017106180</v>
      </c>
      <c r="B61" t="s">
        <v>72</v>
      </c>
      <c r="C61" t="s">
        <v>72</v>
      </c>
      <c r="D61" t="s">
        <v>620</v>
      </c>
      <c r="E61" t="str">
        <f>"134300068301"</f>
        <v>134300068301</v>
      </c>
      <c r="F61" t="s">
        <v>52</v>
      </c>
      <c r="G61">
        <v>900827631</v>
      </c>
      <c r="H61">
        <v>13430</v>
      </c>
      <c r="I61" t="s">
        <v>258</v>
      </c>
      <c r="J61">
        <v>3145812515</v>
      </c>
      <c r="K61" t="s">
        <v>54</v>
      </c>
      <c r="L61">
        <v>78733522</v>
      </c>
      <c r="M61" t="s">
        <v>259</v>
      </c>
      <c r="N61" t="s">
        <v>223</v>
      </c>
      <c r="O61" t="s">
        <v>179</v>
      </c>
      <c r="P61" t="s">
        <v>260</v>
      </c>
      <c r="Q61">
        <v>23306</v>
      </c>
      <c r="R61" t="s">
        <v>54</v>
      </c>
      <c r="S61">
        <v>22417949</v>
      </c>
      <c r="T61" t="s">
        <v>621</v>
      </c>
      <c r="U61" t="s">
        <v>600</v>
      </c>
      <c r="V61" t="s">
        <v>622</v>
      </c>
      <c r="W61" t="s">
        <v>623</v>
      </c>
      <c r="X61" t="s">
        <v>135</v>
      </c>
      <c r="Y61" t="s">
        <v>330</v>
      </c>
      <c r="Z61">
        <v>12</v>
      </c>
      <c r="AA61" t="s">
        <v>65</v>
      </c>
      <c r="AB61" t="s">
        <v>56</v>
      </c>
      <c r="AC61" t="s">
        <v>56</v>
      </c>
      <c r="AD61">
        <v>0</v>
      </c>
      <c r="AE61" t="s">
        <v>66</v>
      </c>
      <c r="AF61" t="s">
        <v>56</v>
      </c>
      <c r="AG61" t="s">
        <v>56</v>
      </c>
      <c r="AH61" t="s">
        <v>56</v>
      </c>
      <c r="AI61" t="s">
        <v>56</v>
      </c>
      <c r="AJ61" t="s">
        <v>265</v>
      </c>
      <c r="AK61" t="s">
        <v>266</v>
      </c>
      <c r="AL61" t="s">
        <v>215</v>
      </c>
      <c r="AM61" t="s">
        <v>216</v>
      </c>
      <c r="AN61" t="s">
        <v>56</v>
      </c>
      <c r="AO61" t="s">
        <v>56</v>
      </c>
      <c r="AP61" t="s">
        <v>56</v>
      </c>
      <c r="AQ61" t="s">
        <v>71</v>
      </c>
      <c r="AR61" t="s">
        <v>56</v>
      </c>
      <c r="AS61" t="s">
        <v>56</v>
      </c>
      <c r="AT61" t="s">
        <v>56</v>
      </c>
      <c r="AU61" t="s">
        <v>56</v>
      </c>
      <c r="AV61" t="s">
        <v>56</v>
      </c>
      <c r="AW61" t="s">
        <v>56</v>
      </c>
      <c r="AX61">
        <v>4</v>
      </c>
    </row>
    <row r="62" spans="1:50" x14ac:dyDescent="0.25">
      <c r="A62" t="str">
        <f>"20200124111017014124"</f>
        <v>20200124111017014124</v>
      </c>
      <c r="B62" t="s">
        <v>201</v>
      </c>
      <c r="C62" t="s">
        <v>201</v>
      </c>
      <c r="D62" t="s">
        <v>624</v>
      </c>
      <c r="E62" t="str">
        <f>"084330205401"</f>
        <v>084330205401</v>
      </c>
      <c r="F62" t="s">
        <v>52</v>
      </c>
      <c r="G62">
        <v>900488067</v>
      </c>
      <c r="H62" t="s">
        <v>349</v>
      </c>
      <c r="I62" t="s">
        <v>350</v>
      </c>
      <c r="J62">
        <v>3207404550</v>
      </c>
      <c r="K62" t="s">
        <v>54</v>
      </c>
      <c r="L62">
        <v>1048267790</v>
      </c>
      <c r="M62" t="s">
        <v>351</v>
      </c>
      <c r="N62" t="s">
        <v>352</v>
      </c>
      <c r="O62" t="s">
        <v>353</v>
      </c>
      <c r="P62" t="s">
        <v>109</v>
      </c>
      <c r="Q62">
        <v>1048267790</v>
      </c>
      <c r="R62" t="s">
        <v>54</v>
      </c>
      <c r="S62">
        <v>26655943</v>
      </c>
      <c r="T62" t="s">
        <v>504</v>
      </c>
      <c r="U62" t="s">
        <v>196</v>
      </c>
      <c r="V62" t="s">
        <v>57</v>
      </c>
      <c r="W62" t="s">
        <v>560</v>
      </c>
      <c r="X62" t="s">
        <v>241</v>
      </c>
      <c r="Y62" t="s">
        <v>121</v>
      </c>
      <c r="Z62">
        <v>11</v>
      </c>
      <c r="AA62" t="s">
        <v>87</v>
      </c>
      <c r="AB62" t="s">
        <v>56</v>
      </c>
      <c r="AC62" t="s">
        <v>56</v>
      </c>
      <c r="AD62">
        <v>0</v>
      </c>
      <c r="AE62" t="s">
        <v>66</v>
      </c>
      <c r="AF62" t="s">
        <v>56</v>
      </c>
      <c r="AG62" t="s">
        <v>56</v>
      </c>
      <c r="AH62" t="s">
        <v>56</v>
      </c>
      <c r="AI62" t="s">
        <v>56</v>
      </c>
      <c r="AJ62" t="s">
        <v>356</v>
      </c>
      <c r="AK62" t="s">
        <v>357</v>
      </c>
      <c r="AL62" t="s">
        <v>56</v>
      </c>
      <c r="AM62" t="s">
        <v>56</v>
      </c>
      <c r="AN62" t="s">
        <v>56</v>
      </c>
      <c r="AO62" t="s">
        <v>56</v>
      </c>
      <c r="AP62" t="s">
        <v>56</v>
      </c>
      <c r="AQ62" t="s">
        <v>71</v>
      </c>
      <c r="AR62" t="s">
        <v>56</v>
      </c>
      <c r="AS62" t="s">
        <v>56</v>
      </c>
      <c r="AT62" t="s">
        <v>56</v>
      </c>
      <c r="AU62" t="s">
        <v>56</v>
      </c>
      <c r="AV62" t="s">
        <v>56</v>
      </c>
      <c r="AW62" t="s">
        <v>56</v>
      </c>
      <c r="AX62">
        <v>4</v>
      </c>
    </row>
    <row r="63" spans="1:50" x14ac:dyDescent="0.25">
      <c r="A63" t="str">
        <f>"20200129137017119253"</f>
        <v>20200129137017119253</v>
      </c>
      <c r="B63" t="s">
        <v>72</v>
      </c>
      <c r="C63" t="s">
        <v>72</v>
      </c>
      <c r="D63" t="s">
        <v>625</v>
      </c>
      <c r="E63" t="str">
        <f>"470580002301"</f>
        <v>470580002301</v>
      </c>
      <c r="F63" t="s">
        <v>52</v>
      </c>
      <c r="G63">
        <v>819001107</v>
      </c>
      <c r="H63">
        <v>47058</v>
      </c>
      <c r="I63" t="s">
        <v>626</v>
      </c>
      <c r="J63">
        <v>4258152</v>
      </c>
      <c r="K63" t="s">
        <v>54</v>
      </c>
      <c r="L63">
        <v>22585117</v>
      </c>
      <c r="M63" t="s">
        <v>577</v>
      </c>
      <c r="N63" t="s">
        <v>627</v>
      </c>
      <c r="O63" t="s">
        <v>194</v>
      </c>
      <c r="P63" t="s">
        <v>517</v>
      </c>
      <c r="Q63">
        <v>472587</v>
      </c>
      <c r="R63" t="s">
        <v>54</v>
      </c>
      <c r="S63">
        <v>1004307908</v>
      </c>
      <c r="T63" t="s">
        <v>132</v>
      </c>
      <c r="U63" t="s">
        <v>628</v>
      </c>
      <c r="V63" t="s">
        <v>629</v>
      </c>
      <c r="W63" t="s">
        <v>108</v>
      </c>
      <c r="X63" t="s">
        <v>344</v>
      </c>
      <c r="Y63" t="s">
        <v>345</v>
      </c>
      <c r="Z63">
        <v>12</v>
      </c>
      <c r="AA63" t="s">
        <v>65</v>
      </c>
      <c r="AB63" t="s">
        <v>56</v>
      </c>
      <c r="AC63" t="s">
        <v>56</v>
      </c>
      <c r="AD63">
        <v>0</v>
      </c>
      <c r="AE63" t="s">
        <v>66</v>
      </c>
      <c r="AF63" t="s">
        <v>56</v>
      </c>
      <c r="AG63" t="s">
        <v>56</v>
      </c>
      <c r="AH63" t="s">
        <v>56</v>
      </c>
      <c r="AI63" t="s">
        <v>56</v>
      </c>
      <c r="AJ63" t="s">
        <v>630</v>
      </c>
      <c r="AK63" t="s">
        <v>631</v>
      </c>
      <c r="AL63" t="s">
        <v>56</v>
      </c>
      <c r="AM63" t="s">
        <v>56</v>
      </c>
      <c r="AN63" t="s">
        <v>56</v>
      </c>
      <c r="AO63" t="s">
        <v>56</v>
      </c>
      <c r="AP63" t="s">
        <v>56</v>
      </c>
      <c r="AQ63" t="s">
        <v>71</v>
      </c>
      <c r="AR63" t="s">
        <v>56</v>
      </c>
      <c r="AS63" t="s">
        <v>56</v>
      </c>
      <c r="AT63" t="s">
        <v>56</v>
      </c>
      <c r="AU63" t="s">
        <v>56</v>
      </c>
      <c r="AV63" t="s">
        <v>56</v>
      </c>
      <c r="AW63" t="s">
        <v>56</v>
      </c>
      <c r="AX63">
        <v>4</v>
      </c>
    </row>
    <row r="64" spans="1:50" x14ac:dyDescent="0.25">
      <c r="A64" t="str">
        <f>"20200127196017058088"</f>
        <v>20200127196017058088</v>
      </c>
      <c r="B64" t="s">
        <v>190</v>
      </c>
      <c r="C64" t="s">
        <v>190</v>
      </c>
      <c r="D64" t="s">
        <v>632</v>
      </c>
      <c r="E64" t="str">
        <f>"084330015101"</f>
        <v>084330015101</v>
      </c>
      <c r="F64" t="s">
        <v>52</v>
      </c>
      <c r="G64">
        <v>802009806</v>
      </c>
      <c r="H64" t="s">
        <v>349</v>
      </c>
      <c r="I64" t="s">
        <v>633</v>
      </c>
      <c r="J64">
        <v>3478777</v>
      </c>
      <c r="K64" t="s">
        <v>54</v>
      </c>
      <c r="L64">
        <v>32866619</v>
      </c>
      <c r="M64" t="s">
        <v>634</v>
      </c>
      <c r="N64" t="s">
        <v>196</v>
      </c>
      <c r="O64" t="s">
        <v>635</v>
      </c>
      <c r="P64" t="s">
        <v>636</v>
      </c>
      <c r="Q64" t="s">
        <v>637</v>
      </c>
      <c r="R64" t="s">
        <v>237</v>
      </c>
      <c r="S64">
        <v>1001886929</v>
      </c>
      <c r="T64" t="s">
        <v>638</v>
      </c>
      <c r="U64" t="s">
        <v>296</v>
      </c>
      <c r="V64" t="s">
        <v>639</v>
      </c>
      <c r="W64" t="s">
        <v>640</v>
      </c>
      <c r="X64" t="s">
        <v>241</v>
      </c>
      <c r="Y64" t="s">
        <v>121</v>
      </c>
      <c r="Z64">
        <v>11</v>
      </c>
      <c r="AA64" t="s">
        <v>87</v>
      </c>
      <c r="AB64" t="s">
        <v>56</v>
      </c>
      <c r="AC64" t="s">
        <v>56</v>
      </c>
      <c r="AD64">
        <v>0</v>
      </c>
      <c r="AE64" t="s">
        <v>66</v>
      </c>
      <c r="AF64" t="s">
        <v>56</v>
      </c>
      <c r="AG64" t="s">
        <v>56</v>
      </c>
      <c r="AH64" t="s">
        <v>56</v>
      </c>
      <c r="AI64" t="s">
        <v>56</v>
      </c>
      <c r="AJ64" t="s">
        <v>641</v>
      </c>
      <c r="AK64" t="s">
        <v>642</v>
      </c>
      <c r="AL64" t="s">
        <v>56</v>
      </c>
      <c r="AM64" t="s">
        <v>56</v>
      </c>
      <c r="AN64" t="s">
        <v>56</v>
      </c>
      <c r="AO64" t="s">
        <v>56</v>
      </c>
      <c r="AP64" t="s">
        <v>56</v>
      </c>
      <c r="AQ64" t="s">
        <v>71</v>
      </c>
      <c r="AR64" t="s">
        <v>56</v>
      </c>
      <c r="AS64" t="s">
        <v>56</v>
      </c>
      <c r="AT64" t="s">
        <v>56</v>
      </c>
      <c r="AU64" t="s">
        <v>56</v>
      </c>
      <c r="AV64" t="s">
        <v>56</v>
      </c>
      <c r="AW64" t="s">
        <v>56</v>
      </c>
      <c r="AX64">
        <v>4</v>
      </c>
    </row>
    <row r="65" spans="1:50" x14ac:dyDescent="0.25">
      <c r="A65" t="str">
        <f>"20200127195017056345"</f>
        <v>20200127195017056345</v>
      </c>
      <c r="B65" t="s">
        <v>190</v>
      </c>
      <c r="C65" t="s">
        <v>190</v>
      </c>
      <c r="D65" t="s">
        <v>643</v>
      </c>
      <c r="E65" t="str">
        <f>"080010003601"</f>
        <v>080010003601</v>
      </c>
      <c r="F65" t="s">
        <v>52</v>
      </c>
      <c r="G65">
        <v>802000955</v>
      </c>
      <c r="H65" t="s">
        <v>112</v>
      </c>
      <c r="I65" t="s">
        <v>218</v>
      </c>
      <c r="J65" t="s">
        <v>56</v>
      </c>
      <c r="K65" t="s">
        <v>54</v>
      </c>
      <c r="L65">
        <v>1051357508</v>
      </c>
      <c r="M65" t="s">
        <v>644</v>
      </c>
      <c r="N65" t="s">
        <v>645</v>
      </c>
      <c r="O65" t="s">
        <v>646</v>
      </c>
      <c r="P65" t="s">
        <v>647</v>
      </c>
      <c r="Q65">
        <v>81153</v>
      </c>
      <c r="R65" t="s">
        <v>54</v>
      </c>
      <c r="S65">
        <v>32649628</v>
      </c>
      <c r="T65" t="s">
        <v>648</v>
      </c>
      <c r="U65" t="s">
        <v>62</v>
      </c>
      <c r="V65" t="s">
        <v>649</v>
      </c>
      <c r="W65" t="s">
        <v>650</v>
      </c>
      <c r="X65" t="s">
        <v>120</v>
      </c>
      <c r="Y65" t="s">
        <v>121</v>
      </c>
      <c r="Z65">
        <v>12</v>
      </c>
      <c r="AA65" t="s">
        <v>65</v>
      </c>
      <c r="AB65" t="s">
        <v>56</v>
      </c>
      <c r="AC65" t="s">
        <v>56</v>
      </c>
      <c r="AD65">
        <v>0</v>
      </c>
      <c r="AE65" t="s">
        <v>66</v>
      </c>
      <c r="AF65" t="s">
        <v>56</v>
      </c>
      <c r="AG65" t="s">
        <v>56</v>
      </c>
      <c r="AH65" t="s">
        <v>56</v>
      </c>
      <c r="AI65" t="s">
        <v>56</v>
      </c>
      <c r="AJ65" t="s">
        <v>228</v>
      </c>
      <c r="AK65" t="s">
        <v>229</v>
      </c>
      <c r="AL65" t="s">
        <v>56</v>
      </c>
      <c r="AM65" t="s">
        <v>56</v>
      </c>
      <c r="AN65" t="s">
        <v>56</v>
      </c>
      <c r="AO65" t="s">
        <v>56</v>
      </c>
      <c r="AP65" t="s">
        <v>56</v>
      </c>
      <c r="AQ65" t="s">
        <v>71</v>
      </c>
      <c r="AR65" t="s">
        <v>56</v>
      </c>
      <c r="AS65" t="s">
        <v>56</v>
      </c>
      <c r="AT65" t="s">
        <v>56</v>
      </c>
      <c r="AU65" t="s">
        <v>56</v>
      </c>
      <c r="AV65" t="s">
        <v>56</v>
      </c>
      <c r="AW65" t="s">
        <v>56</v>
      </c>
      <c r="AX65">
        <v>4</v>
      </c>
    </row>
    <row r="66" spans="1:50" x14ac:dyDescent="0.25">
      <c r="A66" t="str">
        <f>"20200131162017175106"</f>
        <v>20200131162017175106</v>
      </c>
      <c r="B66" t="s">
        <v>110</v>
      </c>
      <c r="C66" t="s">
        <v>110</v>
      </c>
      <c r="D66" t="s">
        <v>651</v>
      </c>
      <c r="E66" t="str">
        <f>"130010202201"</f>
        <v>130010202201</v>
      </c>
      <c r="F66" t="s">
        <v>52</v>
      </c>
      <c r="G66">
        <v>900223749</v>
      </c>
      <c r="H66">
        <v>13001</v>
      </c>
      <c r="I66" t="s">
        <v>652</v>
      </c>
      <c r="J66">
        <v>6475420</v>
      </c>
      <c r="K66" t="s">
        <v>54</v>
      </c>
      <c r="L66">
        <v>1143341456</v>
      </c>
      <c r="M66" t="s">
        <v>653</v>
      </c>
      <c r="N66" t="s">
        <v>654</v>
      </c>
      <c r="O66" t="s">
        <v>655</v>
      </c>
      <c r="P66" t="s">
        <v>656</v>
      </c>
      <c r="Q66">
        <v>17195</v>
      </c>
      <c r="R66" t="s">
        <v>440</v>
      </c>
      <c r="S66">
        <v>1062817907</v>
      </c>
      <c r="T66" t="s">
        <v>657</v>
      </c>
      <c r="U66" t="s">
        <v>62</v>
      </c>
      <c r="V66" t="s">
        <v>658</v>
      </c>
      <c r="W66" t="s">
        <v>659</v>
      </c>
      <c r="X66" t="s">
        <v>660</v>
      </c>
      <c r="Y66" t="s">
        <v>86</v>
      </c>
      <c r="Z66">
        <v>30</v>
      </c>
      <c r="AA66" t="s">
        <v>661</v>
      </c>
      <c r="AB66">
        <v>0</v>
      </c>
      <c r="AC66" t="s">
        <v>66</v>
      </c>
      <c r="AD66">
        <v>0</v>
      </c>
      <c r="AE66" t="s">
        <v>66</v>
      </c>
      <c r="AF66" t="s">
        <v>56</v>
      </c>
      <c r="AG66" t="s">
        <v>56</v>
      </c>
      <c r="AH66" t="s">
        <v>56</v>
      </c>
      <c r="AI66" t="s">
        <v>56</v>
      </c>
      <c r="AJ66" t="s">
        <v>662</v>
      </c>
      <c r="AK66" t="s">
        <v>663</v>
      </c>
      <c r="AL66" t="s">
        <v>88</v>
      </c>
      <c r="AM66" t="s">
        <v>89</v>
      </c>
      <c r="AN66" t="s">
        <v>664</v>
      </c>
      <c r="AO66" t="s">
        <v>665</v>
      </c>
      <c r="AP66" t="s">
        <v>56</v>
      </c>
      <c r="AQ66" t="s">
        <v>71</v>
      </c>
      <c r="AR66" t="s">
        <v>56</v>
      </c>
      <c r="AS66" t="s">
        <v>56</v>
      </c>
      <c r="AT66" t="s">
        <v>56</v>
      </c>
      <c r="AU66" t="s">
        <v>56</v>
      </c>
      <c r="AV66" t="s">
        <v>56</v>
      </c>
      <c r="AW66" t="s">
        <v>56</v>
      </c>
      <c r="AX66">
        <v>4</v>
      </c>
    </row>
    <row r="67" spans="1:50" x14ac:dyDescent="0.25">
      <c r="A67" t="str">
        <f>"20200124110017017356"</f>
        <v>20200124110017017356</v>
      </c>
      <c r="B67" t="s">
        <v>201</v>
      </c>
      <c r="C67" t="s">
        <v>201</v>
      </c>
      <c r="D67" t="s">
        <v>666</v>
      </c>
      <c r="E67" t="str">
        <f>"200010001801"</f>
        <v>200010001801</v>
      </c>
      <c r="F67" t="s">
        <v>52</v>
      </c>
      <c r="G67">
        <v>900008328</v>
      </c>
      <c r="H67">
        <v>20001</v>
      </c>
      <c r="I67" t="s">
        <v>336</v>
      </c>
      <c r="J67" t="s">
        <v>337</v>
      </c>
      <c r="K67" t="s">
        <v>54</v>
      </c>
      <c r="L67">
        <v>56077287</v>
      </c>
      <c r="M67" t="s">
        <v>667</v>
      </c>
      <c r="N67" t="s">
        <v>117</v>
      </c>
      <c r="O67" t="s">
        <v>61</v>
      </c>
      <c r="P67" t="s">
        <v>668</v>
      </c>
      <c r="Q67">
        <v>200192</v>
      </c>
      <c r="R67" t="s">
        <v>440</v>
      </c>
      <c r="S67">
        <v>1062817907</v>
      </c>
      <c r="T67" t="s">
        <v>657</v>
      </c>
      <c r="U67" t="s">
        <v>62</v>
      </c>
      <c r="V67" t="s">
        <v>658</v>
      </c>
      <c r="W67" t="s">
        <v>659</v>
      </c>
      <c r="X67" t="s">
        <v>660</v>
      </c>
      <c r="Y67" t="s">
        <v>86</v>
      </c>
      <c r="Z67">
        <v>22</v>
      </c>
      <c r="AA67" t="s">
        <v>102</v>
      </c>
      <c r="AB67">
        <v>0</v>
      </c>
      <c r="AC67" t="s">
        <v>66</v>
      </c>
      <c r="AD67">
        <v>0</v>
      </c>
      <c r="AE67" t="s">
        <v>66</v>
      </c>
      <c r="AF67" t="s">
        <v>56</v>
      </c>
      <c r="AG67" t="s">
        <v>56</v>
      </c>
      <c r="AH67" t="s">
        <v>56</v>
      </c>
      <c r="AI67" t="s">
        <v>56</v>
      </c>
      <c r="AJ67" t="s">
        <v>669</v>
      </c>
      <c r="AK67" t="s">
        <v>670</v>
      </c>
      <c r="AL67" t="s">
        <v>56</v>
      </c>
      <c r="AM67" t="s">
        <v>56</v>
      </c>
      <c r="AN67" t="s">
        <v>56</v>
      </c>
      <c r="AO67" t="s">
        <v>56</v>
      </c>
      <c r="AP67" t="s">
        <v>56</v>
      </c>
      <c r="AQ67" t="s">
        <v>71</v>
      </c>
      <c r="AR67" t="s">
        <v>56</v>
      </c>
      <c r="AS67" t="s">
        <v>56</v>
      </c>
      <c r="AT67" t="s">
        <v>56</v>
      </c>
      <c r="AU67" t="s">
        <v>56</v>
      </c>
      <c r="AV67" t="s">
        <v>56</v>
      </c>
      <c r="AW67" t="s">
        <v>56</v>
      </c>
      <c r="AX67">
        <v>4</v>
      </c>
    </row>
    <row r="68" spans="1:50" x14ac:dyDescent="0.25">
      <c r="A68" t="str">
        <f>"20200127140017048486"</f>
        <v>20200127140017048486</v>
      </c>
      <c r="B68" t="s">
        <v>190</v>
      </c>
      <c r="C68" t="s">
        <v>190</v>
      </c>
      <c r="D68" t="s">
        <v>671</v>
      </c>
      <c r="E68" t="str">
        <f>"080010380001"</f>
        <v>080010380001</v>
      </c>
      <c r="F68" t="s">
        <v>52</v>
      </c>
      <c r="G68">
        <v>900665930</v>
      </c>
      <c r="H68" t="s">
        <v>112</v>
      </c>
      <c r="I68" t="s">
        <v>113</v>
      </c>
      <c r="J68">
        <v>3175759202</v>
      </c>
      <c r="K68" t="s">
        <v>54</v>
      </c>
      <c r="L68">
        <v>1129501755</v>
      </c>
      <c r="M68" t="s">
        <v>672</v>
      </c>
      <c r="N68" t="s">
        <v>638</v>
      </c>
      <c r="O68" t="s">
        <v>673</v>
      </c>
      <c r="P68" t="s">
        <v>629</v>
      </c>
      <c r="Q68">
        <v>1326505</v>
      </c>
      <c r="R68" t="s">
        <v>54</v>
      </c>
      <c r="S68">
        <v>22967540</v>
      </c>
      <c r="T68" t="s">
        <v>674</v>
      </c>
      <c r="U68" t="s">
        <v>62</v>
      </c>
      <c r="V68" t="s">
        <v>675</v>
      </c>
      <c r="W68" t="s">
        <v>676</v>
      </c>
      <c r="X68" t="s">
        <v>120</v>
      </c>
      <c r="Y68" t="s">
        <v>121</v>
      </c>
      <c r="Z68">
        <v>12</v>
      </c>
      <c r="AA68" t="s">
        <v>65</v>
      </c>
      <c r="AB68" t="s">
        <v>56</v>
      </c>
      <c r="AC68" t="s">
        <v>56</v>
      </c>
      <c r="AD68">
        <v>0</v>
      </c>
      <c r="AE68" t="s">
        <v>66</v>
      </c>
      <c r="AF68" t="s">
        <v>56</v>
      </c>
      <c r="AG68" t="s">
        <v>56</v>
      </c>
      <c r="AH68" t="s">
        <v>56</v>
      </c>
      <c r="AI68" t="s">
        <v>56</v>
      </c>
      <c r="AJ68" t="s">
        <v>255</v>
      </c>
      <c r="AK68" t="s">
        <v>256</v>
      </c>
      <c r="AL68" t="s">
        <v>356</v>
      </c>
      <c r="AM68" t="s">
        <v>357</v>
      </c>
      <c r="AN68" t="s">
        <v>56</v>
      </c>
      <c r="AO68" t="s">
        <v>56</v>
      </c>
      <c r="AP68" t="s">
        <v>56</v>
      </c>
      <c r="AQ68" t="s">
        <v>71</v>
      </c>
      <c r="AR68" t="s">
        <v>56</v>
      </c>
      <c r="AS68" t="s">
        <v>56</v>
      </c>
      <c r="AT68" t="s">
        <v>56</v>
      </c>
      <c r="AU68" t="s">
        <v>56</v>
      </c>
      <c r="AV68" t="s">
        <v>56</v>
      </c>
      <c r="AW68" t="s">
        <v>56</v>
      </c>
      <c r="AX68">
        <v>4</v>
      </c>
    </row>
    <row r="69" spans="1:50" x14ac:dyDescent="0.25">
      <c r="A69" t="str">
        <f>"20200130140017140683"</f>
        <v>20200130140017140683</v>
      </c>
      <c r="B69" t="s">
        <v>124</v>
      </c>
      <c r="C69" t="s">
        <v>124</v>
      </c>
      <c r="D69" t="s">
        <v>677</v>
      </c>
      <c r="E69" t="str">
        <f>"761470851601"</f>
        <v>761470851601</v>
      </c>
      <c r="F69" t="s">
        <v>52</v>
      </c>
      <c r="G69">
        <v>900472731</v>
      </c>
      <c r="H69">
        <v>76147</v>
      </c>
      <c r="I69" t="s">
        <v>53</v>
      </c>
      <c r="J69">
        <v>2146686</v>
      </c>
      <c r="K69" t="s">
        <v>54</v>
      </c>
      <c r="L69">
        <v>1129567120</v>
      </c>
      <c r="M69" t="s">
        <v>678</v>
      </c>
      <c r="N69" t="s">
        <v>56</v>
      </c>
      <c r="O69" t="s">
        <v>679</v>
      </c>
      <c r="P69" t="s">
        <v>680</v>
      </c>
      <c r="Q69">
        <v>1129567120</v>
      </c>
      <c r="R69" t="s">
        <v>54</v>
      </c>
      <c r="S69">
        <v>29902182</v>
      </c>
      <c r="T69" t="s">
        <v>373</v>
      </c>
      <c r="U69" t="s">
        <v>117</v>
      </c>
      <c r="V69" t="s">
        <v>681</v>
      </c>
      <c r="W69" t="s">
        <v>682</v>
      </c>
      <c r="X69" t="s">
        <v>101</v>
      </c>
      <c r="Y69" t="s">
        <v>64</v>
      </c>
      <c r="Z69">
        <v>11</v>
      </c>
      <c r="AA69" t="s">
        <v>87</v>
      </c>
      <c r="AB69" t="s">
        <v>56</v>
      </c>
      <c r="AC69" t="s">
        <v>56</v>
      </c>
      <c r="AD69">
        <v>0</v>
      </c>
      <c r="AE69" t="s">
        <v>66</v>
      </c>
      <c r="AF69" t="s">
        <v>56</v>
      </c>
      <c r="AG69" t="s">
        <v>56</v>
      </c>
      <c r="AH69" t="s">
        <v>56</v>
      </c>
      <c r="AI69" t="s">
        <v>56</v>
      </c>
      <c r="AJ69" t="s">
        <v>683</v>
      </c>
      <c r="AK69" t="s">
        <v>684</v>
      </c>
      <c r="AL69" t="s">
        <v>56</v>
      </c>
      <c r="AM69" t="s">
        <v>56</v>
      </c>
      <c r="AN69" t="s">
        <v>56</v>
      </c>
      <c r="AO69" t="s">
        <v>56</v>
      </c>
      <c r="AP69" t="s">
        <v>56</v>
      </c>
      <c r="AQ69" t="s">
        <v>71</v>
      </c>
      <c r="AR69" t="s">
        <v>56</v>
      </c>
      <c r="AS69" t="s">
        <v>56</v>
      </c>
      <c r="AT69" t="s">
        <v>56</v>
      </c>
      <c r="AU69" t="s">
        <v>56</v>
      </c>
      <c r="AV69" t="s">
        <v>56</v>
      </c>
      <c r="AW69" t="s">
        <v>56</v>
      </c>
      <c r="AX69">
        <v>4</v>
      </c>
    </row>
    <row r="70" spans="1:50" x14ac:dyDescent="0.25">
      <c r="A70" t="str">
        <f>"20200131129017178180"</f>
        <v>20200131129017178180</v>
      </c>
      <c r="B70" t="s">
        <v>110</v>
      </c>
      <c r="C70" t="s">
        <v>110</v>
      </c>
      <c r="D70" t="s">
        <v>685</v>
      </c>
      <c r="E70" t="str">
        <f>"702150038001"</f>
        <v>702150038001</v>
      </c>
      <c r="F70" t="s">
        <v>52</v>
      </c>
      <c r="G70">
        <v>890480113</v>
      </c>
      <c r="H70">
        <v>70215</v>
      </c>
      <c r="I70" t="s">
        <v>686</v>
      </c>
      <c r="J70">
        <v>2840011</v>
      </c>
      <c r="K70" t="s">
        <v>54</v>
      </c>
      <c r="L70">
        <v>92500391</v>
      </c>
      <c r="M70" t="s">
        <v>192</v>
      </c>
      <c r="N70" t="s">
        <v>687</v>
      </c>
      <c r="O70" t="s">
        <v>688</v>
      </c>
      <c r="P70" t="s">
        <v>689</v>
      </c>
      <c r="Q70">
        <v>3920</v>
      </c>
      <c r="R70" t="s">
        <v>54</v>
      </c>
      <c r="S70">
        <v>42206165</v>
      </c>
      <c r="T70" t="s">
        <v>690</v>
      </c>
      <c r="U70" t="s">
        <v>59</v>
      </c>
      <c r="V70" t="s">
        <v>691</v>
      </c>
      <c r="W70" t="s">
        <v>692</v>
      </c>
      <c r="X70" t="s">
        <v>329</v>
      </c>
      <c r="Y70" t="s">
        <v>330</v>
      </c>
      <c r="Z70">
        <v>11</v>
      </c>
      <c r="AA70" t="s">
        <v>87</v>
      </c>
      <c r="AB70" t="s">
        <v>56</v>
      </c>
      <c r="AC70" t="s">
        <v>56</v>
      </c>
      <c r="AD70">
        <v>0</v>
      </c>
      <c r="AE70" t="s">
        <v>66</v>
      </c>
      <c r="AF70" t="s">
        <v>56</v>
      </c>
      <c r="AG70" t="s">
        <v>56</v>
      </c>
      <c r="AH70" t="s">
        <v>56</v>
      </c>
      <c r="AI70" t="s">
        <v>56</v>
      </c>
      <c r="AJ70" t="s">
        <v>693</v>
      </c>
      <c r="AK70" t="s">
        <v>694</v>
      </c>
      <c r="AL70" t="s">
        <v>56</v>
      </c>
      <c r="AM70" t="s">
        <v>56</v>
      </c>
      <c r="AN70" t="s">
        <v>56</v>
      </c>
      <c r="AO70" t="s">
        <v>56</v>
      </c>
      <c r="AP70" t="s">
        <v>56</v>
      </c>
      <c r="AQ70" t="s">
        <v>71</v>
      </c>
      <c r="AR70" t="s">
        <v>56</v>
      </c>
      <c r="AS70" t="s">
        <v>56</v>
      </c>
      <c r="AT70" t="s">
        <v>56</v>
      </c>
      <c r="AU70" t="s">
        <v>56</v>
      </c>
      <c r="AV70" t="s">
        <v>56</v>
      </c>
      <c r="AW70" t="s">
        <v>56</v>
      </c>
      <c r="AX70">
        <v>4</v>
      </c>
    </row>
    <row r="71" spans="1:50" x14ac:dyDescent="0.25">
      <c r="A71" t="str">
        <f>"20200131186017178628"</f>
        <v>20200131186017178628</v>
      </c>
      <c r="B71" t="s">
        <v>110</v>
      </c>
      <c r="C71" t="s">
        <v>110</v>
      </c>
      <c r="D71" t="s">
        <v>695</v>
      </c>
      <c r="E71" t="str">
        <f>"702150038001"</f>
        <v>702150038001</v>
      </c>
      <c r="F71" t="s">
        <v>52</v>
      </c>
      <c r="G71">
        <v>890480113</v>
      </c>
      <c r="H71">
        <v>70215</v>
      </c>
      <c r="I71" t="s">
        <v>686</v>
      </c>
      <c r="J71">
        <v>2840011</v>
      </c>
      <c r="K71" t="s">
        <v>54</v>
      </c>
      <c r="L71">
        <v>92500391</v>
      </c>
      <c r="M71" t="s">
        <v>192</v>
      </c>
      <c r="N71" t="s">
        <v>687</v>
      </c>
      <c r="O71" t="s">
        <v>688</v>
      </c>
      <c r="P71" t="s">
        <v>689</v>
      </c>
      <c r="Q71">
        <v>3920</v>
      </c>
      <c r="R71" t="s">
        <v>54</v>
      </c>
      <c r="S71">
        <v>42206165</v>
      </c>
      <c r="T71" t="s">
        <v>690</v>
      </c>
      <c r="U71" t="s">
        <v>59</v>
      </c>
      <c r="V71" t="s">
        <v>691</v>
      </c>
      <c r="W71" t="s">
        <v>692</v>
      </c>
      <c r="X71" t="s">
        <v>329</v>
      </c>
      <c r="Y71" t="s">
        <v>330</v>
      </c>
      <c r="Z71">
        <v>11</v>
      </c>
      <c r="AA71" t="s">
        <v>87</v>
      </c>
      <c r="AB71" t="s">
        <v>56</v>
      </c>
      <c r="AC71" t="s">
        <v>56</v>
      </c>
      <c r="AD71">
        <v>0</v>
      </c>
      <c r="AE71" t="s">
        <v>66</v>
      </c>
      <c r="AF71" t="s">
        <v>56</v>
      </c>
      <c r="AG71" t="s">
        <v>56</v>
      </c>
      <c r="AH71" t="s">
        <v>56</v>
      </c>
      <c r="AI71" t="s">
        <v>56</v>
      </c>
      <c r="AJ71" t="s">
        <v>696</v>
      </c>
      <c r="AK71" t="s">
        <v>697</v>
      </c>
      <c r="AL71" t="s">
        <v>56</v>
      </c>
      <c r="AM71" t="s">
        <v>56</v>
      </c>
      <c r="AN71" t="s">
        <v>56</v>
      </c>
      <c r="AO71" t="s">
        <v>56</v>
      </c>
      <c r="AP71" t="s">
        <v>56</v>
      </c>
      <c r="AQ71" t="s">
        <v>71</v>
      </c>
      <c r="AR71" t="s">
        <v>56</v>
      </c>
      <c r="AS71" t="s">
        <v>56</v>
      </c>
      <c r="AT71" t="s">
        <v>56</v>
      </c>
      <c r="AU71" t="s">
        <v>56</v>
      </c>
      <c r="AV71" t="s">
        <v>56</v>
      </c>
      <c r="AW71" t="s">
        <v>56</v>
      </c>
      <c r="AX71">
        <v>4</v>
      </c>
    </row>
    <row r="72" spans="1:50" x14ac:dyDescent="0.25">
      <c r="A72" t="str">
        <f>"20200131173017177967"</f>
        <v>20200131173017177967</v>
      </c>
      <c r="B72" t="s">
        <v>110</v>
      </c>
      <c r="C72" t="s">
        <v>110</v>
      </c>
      <c r="D72" t="s">
        <v>698</v>
      </c>
      <c r="E72" t="str">
        <f>"702150038001"</f>
        <v>702150038001</v>
      </c>
      <c r="F72" t="s">
        <v>52</v>
      </c>
      <c r="G72">
        <v>890480113</v>
      </c>
      <c r="H72">
        <v>70215</v>
      </c>
      <c r="I72" t="s">
        <v>686</v>
      </c>
      <c r="J72">
        <v>2840011</v>
      </c>
      <c r="K72" t="s">
        <v>54</v>
      </c>
      <c r="L72">
        <v>92500391</v>
      </c>
      <c r="M72" t="s">
        <v>192</v>
      </c>
      <c r="N72" t="s">
        <v>687</v>
      </c>
      <c r="O72" t="s">
        <v>688</v>
      </c>
      <c r="P72" t="s">
        <v>689</v>
      </c>
      <c r="Q72">
        <v>3920</v>
      </c>
      <c r="R72" t="s">
        <v>54</v>
      </c>
      <c r="S72">
        <v>42206165</v>
      </c>
      <c r="T72" t="s">
        <v>690</v>
      </c>
      <c r="U72" t="s">
        <v>59</v>
      </c>
      <c r="V72" t="s">
        <v>691</v>
      </c>
      <c r="W72" t="s">
        <v>692</v>
      </c>
      <c r="X72" t="s">
        <v>329</v>
      </c>
      <c r="Y72" t="s">
        <v>330</v>
      </c>
      <c r="Z72">
        <v>11</v>
      </c>
      <c r="AA72" t="s">
        <v>87</v>
      </c>
      <c r="AB72" t="s">
        <v>56</v>
      </c>
      <c r="AC72" t="s">
        <v>56</v>
      </c>
      <c r="AD72">
        <v>0</v>
      </c>
      <c r="AE72" t="s">
        <v>66</v>
      </c>
      <c r="AF72" t="s">
        <v>56</v>
      </c>
      <c r="AG72" t="s">
        <v>56</v>
      </c>
      <c r="AH72" t="s">
        <v>56</v>
      </c>
      <c r="AI72" t="s">
        <v>56</v>
      </c>
      <c r="AJ72" t="s">
        <v>215</v>
      </c>
      <c r="AK72" t="s">
        <v>216</v>
      </c>
      <c r="AL72" t="s">
        <v>56</v>
      </c>
      <c r="AM72" t="s">
        <v>56</v>
      </c>
      <c r="AN72" t="s">
        <v>56</v>
      </c>
      <c r="AO72" t="s">
        <v>56</v>
      </c>
      <c r="AP72" t="s">
        <v>56</v>
      </c>
      <c r="AQ72" t="s">
        <v>71</v>
      </c>
      <c r="AR72" t="s">
        <v>56</v>
      </c>
      <c r="AS72" t="s">
        <v>56</v>
      </c>
      <c r="AT72" t="s">
        <v>56</v>
      </c>
      <c r="AU72" t="s">
        <v>56</v>
      </c>
      <c r="AV72" t="s">
        <v>56</v>
      </c>
      <c r="AW72" t="s">
        <v>56</v>
      </c>
      <c r="AX72">
        <v>4</v>
      </c>
    </row>
    <row r="73" spans="1:50" x14ac:dyDescent="0.25">
      <c r="A73" t="str">
        <f>"20200131180017178063"</f>
        <v>20200131180017178063</v>
      </c>
      <c r="B73" t="s">
        <v>110</v>
      </c>
      <c r="C73" t="s">
        <v>110</v>
      </c>
      <c r="D73" t="s">
        <v>699</v>
      </c>
      <c r="E73" t="str">
        <f>"702150038001"</f>
        <v>702150038001</v>
      </c>
      <c r="F73" t="s">
        <v>52</v>
      </c>
      <c r="G73">
        <v>890480113</v>
      </c>
      <c r="H73">
        <v>70215</v>
      </c>
      <c r="I73" t="s">
        <v>686</v>
      </c>
      <c r="J73">
        <v>2840011</v>
      </c>
      <c r="K73" t="s">
        <v>54</v>
      </c>
      <c r="L73">
        <v>92500391</v>
      </c>
      <c r="M73" t="s">
        <v>192</v>
      </c>
      <c r="N73" t="s">
        <v>687</v>
      </c>
      <c r="O73" t="s">
        <v>688</v>
      </c>
      <c r="P73" t="s">
        <v>689</v>
      </c>
      <c r="Q73">
        <v>3920</v>
      </c>
      <c r="R73" t="s">
        <v>54</v>
      </c>
      <c r="S73">
        <v>42206165</v>
      </c>
      <c r="T73" t="s">
        <v>690</v>
      </c>
      <c r="U73" t="s">
        <v>59</v>
      </c>
      <c r="V73" t="s">
        <v>691</v>
      </c>
      <c r="W73" t="s">
        <v>692</v>
      </c>
      <c r="X73" t="s">
        <v>329</v>
      </c>
      <c r="Y73" t="s">
        <v>330</v>
      </c>
      <c r="Z73">
        <v>11</v>
      </c>
      <c r="AA73" t="s">
        <v>87</v>
      </c>
      <c r="AB73" t="s">
        <v>56</v>
      </c>
      <c r="AC73" t="s">
        <v>56</v>
      </c>
      <c r="AD73">
        <v>0</v>
      </c>
      <c r="AE73" t="s">
        <v>66</v>
      </c>
      <c r="AF73" t="s">
        <v>56</v>
      </c>
      <c r="AG73" t="s">
        <v>56</v>
      </c>
      <c r="AH73" t="s">
        <v>56</v>
      </c>
      <c r="AI73" t="s">
        <v>56</v>
      </c>
      <c r="AJ73" t="s">
        <v>215</v>
      </c>
      <c r="AK73" t="s">
        <v>216</v>
      </c>
      <c r="AL73" t="s">
        <v>56</v>
      </c>
      <c r="AM73" t="s">
        <v>56</v>
      </c>
      <c r="AN73" t="s">
        <v>56</v>
      </c>
      <c r="AO73" t="s">
        <v>56</v>
      </c>
      <c r="AP73" t="s">
        <v>56</v>
      </c>
      <c r="AQ73" t="s">
        <v>71</v>
      </c>
      <c r="AR73" t="s">
        <v>56</v>
      </c>
      <c r="AS73" t="s">
        <v>56</v>
      </c>
      <c r="AT73" t="s">
        <v>56</v>
      </c>
      <c r="AU73" t="s">
        <v>56</v>
      </c>
      <c r="AV73" t="s">
        <v>56</v>
      </c>
      <c r="AW73" t="s">
        <v>56</v>
      </c>
      <c r="AX73">
        <v>4</v>
      </c>
    </row>
    <row r="74" spans="1:50" x14ac:dyDescent="0.25">
      <c r="A74" t="str">
        <f>"20200129184017110528"</f>
        <v>20200129184017110528</v>
      </c>
      <c r="B74" t="s">
        <v>72</v>
      </c>
      <c r="C74" t="s">
        <v>72</v>
      </c>
      <c r="D74" t="s">
        <v>700</v>
      </c>
      <c r="E74" t="str">
        <f>"200010205401"</f>
        <v>200010205401</v>
      </c>
      <c r="F74" t="s">
        <v>52</v>
      </c>
      <c r="G74">
        <v>901058547</v>
      </c>
      <c r="H74">
        <v>20001</v>
      </c>
      <c r="I74" t="s">
        <v>512</v>
      </c>
      <c r="J74" t="s">
        <v>513</v>
      </c>
      <c r="K74" t="s">
        <v>54</v>
      </c>
      <c r="L74">
        <v>56078839</v>
      </c>
      <c r="M74" t="s">
        <v>577</v>
      </c>
      <c r="N74" t="s">
        <v>275</v>
      </c>
      <c r="O74" t="s">
        <v>225</v>
      </c>
      <c r="P74" t="s">
        <v>578</v>
      </c>
      <c r="Q74">
        <v>7093</v>
      </c>
      <c r="R74" t="s">
        <v>440</v>
      </c>
      <c r="S74">
        <v>1067729728</v>
      </c>
      <c r="T74" t="s">
        <v>701</v>
      </c>
      <c r="U74" t="s">
        <v>702</v>
      </c>
      <c r="V74" t="s">
        <v>376</v>
      </c>
      <c r="W74" t="s">
        <v>703</v>
      </c>
      <c r="X74" t="s">
        <v>704</v>
      </c>
      <c r="Y74" t="s">
        <v>86</v>
      </c>
      <c r="Z74">
        <v>11</v>
      </c>
      <c r="AA74" t="s">
        <v>87</v>
      </c>
      <c r="AB74" t="s">
        <v>56</v>
      </c>
      <c r="AC74" t="s">
        <v>56</v>
      </c>
      <c r="AD74">
        <v>0</v>
      </c>
      <c r="AE74" t="s">
        <v>66</v>
      </c>
      <c r="AF74" t="s">
        <v>56</v>
      </c>
      <c r="AG74" t="s">
        <v>56</v>
      </c>
      <c r="AH74" t="s">
        <v>56</v>
      </c>
      <c r="AI74" t="s">
        <v>56</v>
      </c>
      <c r="AJ74" t="s">
        <v>310</v>
      </c>
      <c r="AK74" t="s">
        <v>311</v>
      </c>
      <c r="AL74" t="s">
        <v>56</v>
      </c>
      <c r="AM74" t="s">
        <v>56</v>
      </c>
      <c r="AN74" t="s">
        <v>56</v>
      </c>
      <c r="AO74" t="s">
        <v>56</v>
      </c>
      <c r="AP74" t="s">
        <v>56</v>
      </c>
      <c r="AQ74" t="s">
        <v>71</v>
      </c>
      <c r="AR74" t="s">
        <v>56</v>
      </c>
      <c r="AS74" t="s">
        <v>56</v>
      </c>
      <c r="AT74" t="s">
        <v>56</v>
      </c>
      <c r="AU74" t="s">
        <v>56</v>
      </c>
      <c r="AV74" t="s">
        <v>56</v>
      </c>
      <c r="AW74" t="s">
        <v>56</v>
      </c>
      <c r="AX74">
        <v>4</v>
      </c>
    </row>
    <row r="75" spans="1:50" x14ac:dyDescent="0.25">
      <c r="A75" t="str">
        <f>"20200127136017059614"</f>
        <v>20200127136017059614</v>
      </c>
      <c r="B75" t="s">
        <v>190</v>
      </c>
      <c r="C75" t="s">
        <v>190</v>
      </c>
      <c r="D75" t="s">
        <v>705</v>
      </c>
      <c r="E75" t="str">
        <f>"080010003601"</f>
        <v>080010003601</v>
      </c>
      <c r="F75" t="s">
        <v>52</v>
      </c>
      <c r="G75">
        <v>802000955</v>
      </c>
      <c r="H75" t="s">
        <v>112</v>
      </c>
      <c r="I75" t="s">
        <v>218</v>
      </c>
      <c r="J75" t="s">
        <v>56</v>
      </c>
      <c r="K75" t="s">
        <v>54</v>
      </c>
      <c r="L75">
        <v>1051357508</v>
      </c>
      <c r="M75" t="s">
        <v>644</v>
      </c>
      <c r="N75" t="s">
        <v>645</v>
      </c>
      <c r="O75" t="s">
        <v>646</v>
      </c>
      <c r="P75" t="s">
        <v>647</v>
      </c>
      <c r="Q75">
        <v>81153</v>
      </c>
      <c r="R75" t="s">
        <v>54</v>
      </c>
      <c r="S75">
        <v>8759277</v>
      </c>
      <c r="T75" t="s">
        <v>164</v>
      </c>
      <c r="U75" t="s">
        <v>155</v>
      </c>
      <c r="V75" t="s">
        <v>706</v>
      </c>
      <c r="W75" t="s">
        <v>707</v>
      </c>
      <c r="X75" t="s">
        <v>299</v>
      </c>
      <c r="Y75" t="s">
        <v>121</v>
      </c>
      <c r="Z75">
        <v>12</v>
      </c>
      <c r="AA75" t="s">
        <v>65</v>
      </c>
      <c r="AB75" t="s">
        <v>56</v>
      </c>
      <c r="AC75" t="s">
        <v>56</v>
      </c>
      <c r="AD75">
        <v>0</v>
      </c>
      <c r="AE75" t="s">
        <v>66</v>
      </c>
      <c r="AF75" t="s">
        <v>56</v>
      </c>
      <c r="AG75" t="s">
        <v>56</v>
      </c>
      <c r="AH75" t="s">
        <v>56</v>
      </c>
      <c r="AI75" t="s">
        <v>56</v>
      </c>
      <c r="AJ75" t="s">
        <v>228</v>
      </c>
      <c r="AK75" t="s">
        <v>229</v>
      </c>
      <c r="AL75" t="s">
        <v>56</v>
      </c>
      <c r="AM75" t="s">
        <v>56</v>
      </c>
      <c r="AN75" t="s">
        <v>56</v>
      </c>
      <c r="AO75" t="s">
        <v>56</v>
      </c>
      <c r="AP75" t="s">
        <v>56</v>
      </c>
      <c r="AQ75" t="s">
        <v>71</v>
      </c>
      <c r="AR75" t="s">
        <v>56</v>
      </c>
      <c r="AS75" t="s">
        <v>56</v>
      </c>
      <c r="AT75" t="s">
        <v>56</v>
      </c>
      <c r="AU75" t="s">
        <v>56</v>
      </c>
      <c r="AV75" t="s">
        <v>56</v>
      </c>
      <c r="AW75" t="s">
        <v>56</v>
      </c>
      <c r="AX75">
        <v>4</v>
      </c>
    </row>
    <row r="76" spans="1:50" x14ac:dyDescent="0.25">
      <c r="A76" t="str">
        <f>"20200129110017118010"</f>
        <v>20200129110017118010</v>
      </c>
      <c r="B76" t="s">
        <v>72</v>
      </c>
      <c r="C76" t="s">
        <v>72</v>
      </c>
      <c r="D76" t="s">
        <v>708</v>
      </c>
      <c r="E76" t="str">
        <f>"052661312702"</f>
        <v>052661312702</v>
      </c>
      <c r="F76" t="s">
        <v>52</v>
      </c>
      <c r="G76">
        <v>900643097</v>
      </c>
      <c r="H76" t="s">
        <v>709</v>
      </c>
      <c r="I76" t="s">
        <v>710</v>
      </c>
      <c r="J76">
        <v>4449768</v>
      </c>
      <c r="K76" t="s">
        <v>54</v>
      </c>
      <c r="L76">
        <v>10282430</v>
      </c>
      <c r="M76" t="s">
        <v>81</v>
      </c>
      <c r="N76" t="s">
        <v>165</v>
      </c>
      <c r="O76" t="s">
        <v>711</v>
      </c>
      <c r="P76" t="s">
        <v>712</v>
      </c>
      <c r="Q76" t="s">
        <v>713</v>
      </c>
      <c r="R76" t="s">
        <v>54</v>
      </c>
      <c r="S76">
        <v>4827889</v>
      </c>
      <c r="T76" t="s">
        <v>714</v>
      </c>
      <c r="U76" t="s">
        <v>94</v>
      </c>
      <c r="V76" t="s">
        <v>715</v>
      </c>
      <c r="W76" t="s">
        <v>62</v>
      </c>
      <c r="X76" t="s">
        <v>716</v>
      </c>
      <c r="Y76" t="s">
        <v>717</v>
      </c>
      <c r="Z76">
        <v>11</v>
      </c>
      <c r="AA76" t="s">
        <v>87</v>
      </c>
      <c r="AB76" t="s">
        <v>56</v>
      </c>
      <c r="AC76" t="s">
        <v>56</v>
      </c>
      <c r="AD76">
        <v>0</v>
      </c>
      <c r="AE76" t="s">
        <v>66</v>
      </c>
      <c r="AF76" t="s">
        <v>56</v>
      </c>
      <c r="AG76" t="s">
        <v>56</v>
      </c>
      <c r="AH76" t="s">
        <v>56</v>
      </c>
      <c r="AI76" t="s">
        <v>56</v>
      </c>
      <c r="AJ76" t="s">
        <v>718</v>
      </c>
      <c r="AK76" t="s">
        <v>719</v>
      </c>
      <c r="AL76" t="s">
        <v>56</v>
      </c>
      <c r="AM76" t="s">
        <v>56</v>
      </c>
      <c r="AN76" t="s">
        <v>56</v>
      </c>
      <c r="AO76" t="s">
        <v>56</v>
      </c>
      <c r="AP76" t="s">
        <v>56</v>
      </c>
      <c r="AQ76" t="s">
        <v>71</v>
      </c>
      <c r="AR76" t="s">
        <v>56</v>
      </c>
      <c r="AS76" t="s">
        <v>56</v>
      </c>
      <c r="AT76" t="s">
        <v>56</v>
      </c>
      <c r="AU76" t="s">
        <v>56</v>
      </c>
      <c r="AV76" t="s">
        <v>56</v>
      </c>
      <c r="AW76" t="s">
        <v>56</v>
      </c>
      <c r="AX76">
        <v>4</v>
      </c>
    </row>
    <row r="77" spans="1:50" x14ac:dyDescent="0.25">
      <c r="A77" t="str">
        <f>"20200131165017166548"</f>
        <v>20200131165017166548</v>
      </c>
      <c r="B77" t="s">
        <v>110</v>
      </c>
      <c r="C77" t="s">
        <v>110</v>
      </c>
      <c r="D77" t="s">
        <v>720</v>
      </c>
      <c r="E77" t="str">
        <f>"080010476101"</f>
        <v>080010476101</v>
      </c>
      <c r="F77" t="s">
        <v>52</v>
      </c>
      <c r="G77">
        <v>901290414</v>
      </c>
      <c r="H77" t="s">
        <v>112</v>
      </c>
      <c r="I77" t="s">
        <v>721</v>
      </c>
      <c r="J77">
        <v>3564016</v>
      </c>
      <c r="K77" t="s">
        <v>54</v>
      </c>
      <c r="L77">
        <v>72357813</v>
      </c>
      <c r="M77" t="s">
        <v>291</v>
      </c>
      <c r="N77" t="s">
        <v>155</v>
      </c>
      <c r="O77" t="s">
        <v>109</v>
      </c>
      <c r="P77" t="s">
        <v>722</v>
      </c>
      <c r="Q77" t="s">
        <v>723</v>
      </c>
      <c r="R77" t="s">
        <v>237</v>
      </c>
      <c r="S77">
        <v>1031820034</v>
      </c>
      <c r="T77" t="s">
        <v>596</v>
      </c>
      <c r="U77" t="s">
        <v>724</v>
      </c>
      <c r="V77" t="s">
        <v>725</v>
      </c>
      <c r="W77" t="s">
        <v>726</v>
      </c>
      <c r="X77" t="s">
        <v>120</v>
      </c>
      <c r="Y77" t="s">
        <v>121</v>
      </c>
      <c r="Z77">
        <v>12</v>
      </c>
      <c r="AA77" t="s">
        <v>65</v>
      </c>
      <c r="AB77" t="s">
        <v>56</v>
      </c>
      <c r="AC77" t="s">
        <v>56</v>
      </c>
      <c r="AD77">
        <v>0</v>
      </c>
      <c r="AE77" t="s">
        <v>66</v>
      </c>
      <c r="AF77" t="s">
        <v>56</v>
      </c>
      <c r="AG77" t="s">
        <v>56</v>
      </c>
      <c r="AH77" t="s">
        <v>56</v>
      </c>
      <c r="AI77" t="s">
        <v>56</v>
      </c>
      <c r="AJ77" t="s">
        <v>727</v>
      </c>
      <c r="AK77" t="s">
        <v>728</v>
      </c>
      <c r="AL77" t="s">
        <v>729</v>
      </c>
      <c r="AM77" t="s">
        <v>730</v>
      </c>
      <c r="AN77" t="s">
        <v>56</v>
      </c>
      <c r="AO77" t="s">
        <v>56</v>
      </c>
      <c r="AP77" t="s">
        <v>56</v>
      </c>
      <c r="AQ77" t="s">
        <v>71</v>
      </c>
      <c r="AR77" t="s">
        <v>56</v>
      </c>
      <c r="AS77" t="s">
        <v>56</v>
      </c>
      <c r="AT77" t="s">
        <v>56</v>
      </c>
      <c r="AU77" t="s">
        <v>56</v>
      </c>
      <c r="AV77" t="s">
        <v>56</v>
      </c>
      <c r="AW77" t="s">
        <v>56</v>
      </c>
      <c r="AX77">
        <v>4</v>
      </c>
    </row>
    <row r="78" spans="1:50" x14ac:dyDescent="0.25">
      <c r="A78" t="str">
        <f>"20200129143017103260"</f>
        <v>20200129143017103260</v>
      </c>
      <c r="B78" t="s">
        <v>72</v>
      </c>
      <c r="C78" t="s">
        <v>72</v>
      </c>
      <c r="D78" t="s">
        <v>731</v>
      </c>
      <c r="E78" t="str">
        <f>"086380050301"</f>
        <v>086380050301</v>
      </c>
      <c r="F78" t="s">
        <v>52</v>
      </c>
      <c r="G78">
        <v>900008600</v>
      </c>
      <c r="H78" t="s">
        <v>246</v>
      </c>
      <c r="I78" t="s">
        <v>732</v>
      </c>
      <c r="J78" t="s">
        <v>733</v>
      </c>
      <c r="K78" t="s">
        <v>54</v>
      </c>
      <c r="L78">
        <v>1045754222</v>
      </c>
      <c r="M78" t="s">
        <v>607</v>
      </c>
      <c r="N78" t="s">
        <v>117</v>
      </c>
      <c r="O78" t="s">
        <v>608</v>
      </c>
      <c r="P78" t="s">
        <v>528</v>
      </c>
      <c r="Q78">
        <v>1045754222</v>
      </c>
      <c r="R78" t="s">
        <v>54</v>
      </c>
      <c r="S78">
        <v>3755801</v>
      </c>
      <c r="T78" t="s">
        <v>734</v>
      </c>
      <c r="U78" t="s">
        <v>62</v>
      </c>
      <c r="V78" t="s">
        <v>691</v>
      </c>
      <c r="W78" t="s">
        <v>735</v>
      </c>
      <c r="X78" t="s">
        <v>590</v>
      </c>
      <c r="Y78" t="s">
        <v>121</v>
      </c>
      <c r="Z78">
        <v>12</v>
      </c>
      <c r="AA78" t="s">
        <v>65</v>
      </c>
      <c r="AB78" t="s">
        <v>56</v>
      </c>
      <c r="AC78" t="s">
        <v>56</v>
      </c>
      <c r="AD78">
        <v>0</v>
      </c>
      <c r="AE78" t="s">
        <v>66</v>
      </c>
      <c r="AF78" t="s">
        <v>56</v>
      </c>
      <c r="AG78" t="s">
        <v>56</v>
      </c>
      <c r="AH78" t="s">
        <v>56</v>
      </c>
      <c r="AI78" t="s">
        <v>56</v>
      </c>
      <c r="AJ78" t="s">
        <v>736</v>
      </c>
      <c r="AK78" t="s">
        <v>737</v>
      </c>
      <c r="AL78" t="s">
        <v>56</v>
      </c>
      <c r="AM78" t="s">
        <v>56</v>
      </c>
      <c r="AN78" t="s">
        <v>56</v>
      </c>
      <c r="AO78" t="s">
        <v>56</v>
      </c>
      <c r="AP78" t="s">
        <v>56</v>
      </c>
      <c r="AQ78" t="s">
        <v>71</v>
      </c>
      <c r="AR78" t="s">
        <v>56</v>
      </c>
      <c r="AS78" t="s">
        <v>56</v>
      </c>
      <c r="AT78" t="s">
        <v>56</v>
      </c>
      <c r="AU78" t="s">
        <v>56</v>
      </c>
      <c r="AV78" t="s">
        <v>56</v>
      </c>
      <c r="AW78" t="s">
        <v>56</v>
      </c>
      <c r="AX78">
        <v>4</v>
      </c>
    </row>
    <row r="79" spans="1:50" x14ac:dyDescent="0.25">
      <c r="A79" t="str">
        <f>"20200128142017073143"</f>
        <v>20200128142017073143</v>
      </c>
      <c r="B79" t="s">
        <v>151</v>
      </c>
      <c r="C79" t="s">
        <v>151</v>
      </c>
      <c r="D79" t="s">
        <v>738</v>
      </c>
      <c r="E79" t="str">
        <f>"760410406501"</f>
        <v>760410406501</v>
      </c>
      <c r="F79" t="s">
        <v>52</v>
      </c>
      <c r="G79">
        <v>891900446</v>
      </c>
      <c r="H79">
        <v>76041</v>
      </c>
      <c r="I79" t="s">
        <v>739</v>
      </c>
      <c r="J79" t="s">
        <v>740</v>
      </c>
      <c r="K79" t="s">
        <v>54</v>
      </c>
      <c r="L79">
        <v>71581647</v>
      </c>
      <c r="M79" t="s">
        <v>741</v>
      </c>
      <c r="N79" t="s">
        <v>94</v>
      </c>
      <c r="O79" t="s">
        <v>742</v>
      </c>
      <c r="P79" t="s">
        <v>403</v>
      </c>
      <c r="Q79">
        <v>10263</v>
      </c>
      <c r="R79" t="s">
        <v>54</v>
      </c>
      <c r="S79">
        <v>29841387</v>
      </c>
      <c r="T79" t="s">
        <v>373</v>
      </c>
      <c r="U79" t="s">
        <v>117</v>
      </c>
      <c r="V79" t="s">
        <v>622</v>
      </c>
      <c r="W79" t="s">
        <v>743</v>
      </c>
      <c r="X79" t="s">
        <v>744</v>
      </c>
      <c r="Y79" t="s">
        <v>64</v>
      </c>
      <c r="Z79">
        <v>12</v>
      </c>
      <c r="AA79" t="s">
        <v>65</v>
      </c>
      <c r="AB79" t="s">
        <v>56</v>
      </c>
      <c r="AC79" t="s">
        <v>56</v>
      </c>
      <c r="AD79">
        <v>0</v>
      </c>
      <c r="AE79" t="s">
        <v>66</v>
      </c>
      <c r="AF79" t="s">
        <v>56</v>
      </c>
      <c r="AG79" t="s">
        <v>56</v>
      </c>
      <c r="AH79" t="s">
        <v>56</v>
      </c>
      <c r="AI79" t="s">
        <v>56</v>
      </c>
      <c r="AJ79" t="s">
        <v>745</v>
      </c>
      <c r="AK79" t="s">
        <v>746</v>
      </c>
      <c r="AL79" t="s">
        <v>215</v>
      </c>
      <c r="AM79" t="s">
        <v>216</v>
      </c>
      <c r="AN79" t="s">
        <v>747</v>
      </c>
      <c r="AO79" t="s">
        <v>748</v>
      </c>
      <c r="AP79" t="s">
        <v>56</v>
      </c>
      <c r="AQ79" t="s">
        <v>71</v>
      </c>
      <c r="AR79" t="s">
        <v>56</v>
      </c>
      <c r="AS79" t="s">
        <v>56</v>
      </c>
      <c r="AT79" t="s">
        <v>56</v>
      </c>
      <c r="AU79" t="s">
        <v>56</v>
      </c>
      <c r="AV79" t="s">
        <v>56</v>
      </c>
      <c r="AW79" t="s">
        <v>56</v>
      </c>
      <c r="AX79">
        <v>4</v>
      </c>
    </row>
    <row r="80" spans="1:50" x14ac:dyDescent="0.25">
      <c r="A80" t="str">
        <f>"20200128120017074067"</f>
        <v>20200128120017074067</v>
      </c>
      <c r="B80" t="s">
        <v>151</v>
      </c>
      <c r="C80" t="s">
        <v>151</v>
      </c>
      <c r="D80" t="s">
        <v>749</v>
      </c>
      <c r="E80" t="str">
        <f>"760410406501"</f>
        <v>760410406501</v>
      </c>
      <c r="F80" t="s">
        <v>52</v>
      </c>
      <c r="G80">
        <v>891900446</v>
      </c>
      <c r="H80">
        <v>76041</v>
      </c>
      <c r="I80" t="s">
        <v>739</v>
      </c>
      <c r="J80" t="s">
        <v>740</v>
      </c>
      <c r="K80" t="s">
        <v>54</v>
      </c>
      <c r="L80">
        <v>71581647</v>
      </c>
      <c r="M80" t="s">
        <v>741</v>
      </c>
      <c r="N80" t="s">
        <v>94</v>
      </c>
      <c r="O80" t="s">
        <v>742</v>
      </c>
      <c r="P80" t="s">
        <v>403</v>
      </c>
      <c r="Q80">
        <v>10263</v>
      </c>
      <c r="R80" t="s">
        <v>54</v>
      </c>
      <c r="S80">
        <v>29841387</v>
      </c>
      <c r="T80" t="s">
        <v>373</v>
      </c>
      <c r="U80" t="s">
        <v>117</v>
      </c>
      <c r="V80" t="s">
        <v>622</v>
      </c>
      <c r="W80" t="s">
        <v>743</v>
      </c>
      <c r="X80" t="s">
        <v>744</v>
      </c>
      <c r="Y80" t="s">
        <v>64</v>
      </c>
      <c r="Z80">
        <v>12</v>
      </c>
      <c r="AA80" t="s">
        <v>65</v>
      </c>
      <c r="AB80" t="s">
        <v>56</v>
      </c>
      <c r="AC80" t="s">
        <v>56</v>
      </c>
      <c r="AD80">
        <v>0</v>
      </c>
      <c r="AE80" t="s">
        <v>66</v>
      </c>
      <c r="AF80" t="s">
        <v>56</v>
      </c>
      <c r="AG80" t="s">
        <v>56</v>
      </c>
      <c r="AH80" t="s">
        <v>56</v>
      </c>
      <c r="AI80" t="s">
        <v>56</v>
      </c>
      <c r="AJ80" t="s">
        <v>745</v>
      </c>
      <c r="AK80" t="s">
        <v>746</v>
      </c>
      <c r="AL80" t="s">
        <v>215</v>
      </c>
      <c r="AM80" t="s">
        <v>216</v>
      </c>
      <c r="AN80" t="s">
        <v>747</v>
      </c>
      <c r="AO80" t="s">
        <v>748</v>
      </c>
      <c r="AP80" t="s">
        <v>56</v>
      </c>
      <c r="AQ80" t="s">
        <v>71</v>
      </c>
      <c r="AR80" t="s">
        <v>56</v>
      </c>
      <c r="AS80" t="s">
        <v>56</v>
      </c>
      <c r="AT80" t="s">
        <v>56</v>
      </c>
      <c r="AU80" t="s">
        <v>56</v>
      </c>
      <c r="AV80" t="s">
        <v>56</v>
      </c>
      <c r="AW80" t="s">
        <v>56</v>
      </c>
      <c r="AX80">
        <v>4</v>
      </c>
    </row>
    <row r="81" spans="1:50" x14ac:dyDescent="0.25">
      <c r="A81" t="str">
        <f>"20200127176017054672"</f>
        <v>20200127176017054672</v>
      </c>
      <c r="B81" t="s">
        <v>190</v>
      </c>
      <c r="C81" t="s">
        <v>190</v>
      </c>
      <c r="D81" t="s">
        <v>750</v>
      </c>
      <c r="E81" t="str">
        <f>"760410406501"</f>
        <v>760410406501</v>
      </c>
      <c r="F81" t="s">
        <v>52</v>
      </c>
      <c r="G81">
        <v>891900446</v>
      </c>
      <c r="H81">
        <v>76041</v>
      </c>
      <c r="I81" t="s">
        <v>739</v>
      </c>
      <c r="J81" t="s">
        <v>740</v>
      </c>
      <c r="K81" t="s">
        <v>54</v>
      </c>
      <c r="L81">
        <v>71581647</v>
      </c>
      <c r="M81" t="s">
        <v>741</v>
      </c>
      <c r="N81" t="s">
        <v>94</v>
      </c>
      <c r="O81" t="s">
        <v>742</v>
      </c>
      <c r="P81" t="s">
        <v>403</v>
      </c>
      <c r="Q81">
        <v>10263</v>
      </c>
      <c r="R81" t="s">
        <v>54</v>
      </c>
      <c r="S81">
        <v>29841387</v>
      </c>
      <c r="T81" t="s">
        <v>373</v>
      </c>
      <c r="U81" t="s">
        <v>117</v>
      </c>
      <c r="V81" t="s">
        <v>622</v>
      </c>
      <c r="W81" t="s">
        <v>743</v>
      </c>
      <c r="X81" t="s">
        <v>744</v>
      </c>
      <c r="Y81" t="s">
        <v>64</v>
      </c>
      <c r="Z81">
        <v>12</v>
      </c>
      <c r="AA81" t="s">
        <v>65</v>
      </c>
      <c r="AB81" t="s">
        <v>56</v>
      </c>
      <c r="AC81" t="s">
        <v>56</v>
      </c>
      <c r="AD81">
        <v>0</v>
      </c>
      <c r="AE81" t="s">
        <v>66</v>
      </c>
      <c r="AF81" t="s">
        <v>56</v>
      </c>
      <c r="AG81" t="s">
        <v>56</v>
      </c>
      <c r="AH81" t="s">
        <v>56</v>
      </c>
      <c r="AI81" t="s">
        <v>56</v>
      </c>
      <c r="AJ81" t="s">
        <v>745</v>
      </c>
      <c r="AK81" t="s">
        <v>746</v>
      </c>
      <c r="AL81" t="s">
        <v>215</v>
      </c>
      <c r="AM81" t="s">
        <v>216</v>
      </c>
      <c r="AN81" t="s">
        <v>747</v>
      </c>
      <c r="AO81" t="s">
        <v>748</v>
      </c>
      <c r="AP81" t="s">
        <v>56</v>
      </c>
      <c r="AQ81" t="s">
        <v>71</v>
      </c>
      <c r="AR81" t="s">
        <v>56</v>
      </c>
      <c r="AS81" t="s">
        <v>56</v>
      </c>
      <c r="AT81" t="s">
        <v>56</v>
      </c>
      <c r="AU81" t="s">
        <v>56</v>
      </c>
      <c r="AV81" t="s">
        <v>56</v>
      </c>
      <c r="AW81" t="s">
        <v>56</v>
      </c>
      <c r="AX81">
        <v>4</v>
      </c>
    </row>
    <row r="82" spans="1:50" x14ac:dyDescent="0.25">
      <c r="A82" t="str">
        <f>"20200127159017054849"</f>
        <v>20200127159017054849</v>
      </c>
      <c r="B82" t="s">
        <v>190</v>
      </c>
      <c r="C82" t="s">
        <v>190</v>
      </c>
      <c r="D82" t="s">
        <v>751</v>
      </c>
      <c r="E82" t="str">
        <f>"760410406501"</f>
        <v>760410406501</v>
      </c>
      <c r="F82" t="s">
        <v>52</v>
      </c>
      <c r="G82">
        <v>891900446</v>
      </c>
      <c r="H82">
        <v>76041</v>
      </c>
      <c r="I82" t="s">
        <v>739</v>
      </c>
      <c r="J82" t="s">
        <v>740</v>
      </c>
      <c r="K82" t="s">
        <v>54</v>
      </c>
      <c r="L82">
        <v>71581647</v>
      </c>
      <c r="M82" t="s">
        <v>741</v>
      </c>
      <c r="N82" t="s">
        <v>94</v>
      </c>
      <c r="O82" t="s">
        <v>742</v>
      </c>
      <c r="P82" t="s">
        <v>403</v>
      </c>
      <c r="Q82">
        <v>10263</v>
      </c>
      <c r="R82" t="s">
        <v>54</v>
      </c>
      <c r="S82">
        <v>29841387</v>
      </c>
      <c r="T82" t="s">
        <v>373</v>
      </c>
      <c r="U82" t="s">
        <v>117</v>
      </c>
      <c r="V82" t="s">
        <v>622</v>
      </c>
      <c r="W82" t="s">
        <v>743</v>
      </c>
      <c r="X82" t="s">
        <v>744</v>
      </c>
      <c r="Y82" t="s">
        <v>64</v>
      </c>
      <c r="Z82">
        <v>12</v>
      </c>
      <c r="AA82" t="s">
        <v>65</v>
      </c>
      <c r="AB82" t="s">
        <v>56</v>
      </c>
      <c r="AC82" t="s">
        <v>56</v>
      </c>
      <c r="AD82">
        <v>0</v>
      </c>
      <c r="AE82" t="s">
        <v>66</v>
      </c>
      <c r="AF82" t="s">
        <v>56</v>
      </c>
      <c r="AG82" t="s">
        <v>56</v>
      </c>
      <c r="AH82" t="s">
        <v>56</v>
      </c>
      <c r="AI82" t="s">
        <v>56</v>
      </c>
      <c r="AJ82" t="s">
        <v>745</v>
      </c>
      <c r="AK82" t="s">
        <v>746</v>
      </c>
      <c r="AL82" t="s">
        <v>215</v>
      </c>
      <c r="AM82" t="s">
        <v>216</v>
      </c>
      <c r="AN82" t="s">
        <v>747</v>
      </c>
      <c r="AO82" t="s">
        <v>748</v>
      </c>
      <c r="AP82" t="s">
        <v>56</v>
      </c>
      <c r="AQ82" t="s">
        <v>71</v>
      </c>
      <c r="AR82" t="s">
        <v>56</v>
      </c>
      <c r="AS82" t="s">
        <v>56</v>
      </c>
      <c r="AT82" t="s">
        <v>56</v>
      </c>
      <c r="AU82" t="s">
        <v>56</v>
      </c>
      <c r="AV82" t="s">
        <v>56</v>
      </c>
      <c r="AW82" t="s">
        <v>56</v>
      </c>
      <c r="AX82">
        <v>4</v>
      </c>
    </row>
    <row r="83" spans="1:50" x14ac:dyDescent="0.25">
      <c r="A83" t="str">
        <f>"20200125190017032513"</f>
        <v>20200125190017032513</v>
      </c>
      <c r="B83" t="s">
        <v>752</v>
      </c>
      <c r="C83" t="s">
        <v>752</v>
      </c>
      <c r="D83" t="s">
        <v>753</v>
      </c>
      <c r="E83" t="str">
        <f>"080010054401"</f>
        <v>080010054401</v>
      </c>
      <c r="F83" t="s">
        <v>52</v>
      </c>
      <c r="G83">
        <v>800194798</v>
      </c>
      <c r="H83" t="s">
        <v>112</v>
      </c>
      <c r="I83" t="s">
        <v>616</v>
      </c>
      <c r="J83" t="s">
        <v>56</v>
      </c>
      <c r="K83" t="s">
        <v>54</v>
      </c>
      <c r="L83">
        <v>1047222132</v>
      </c>
      <c r="M83" t="s">
        <v>667</v>
      </c>
      <c r="N83" t="s">
        <v>627</v>
      </c>
      <c r="O83" t="s">
        <v>754</v>
      </c>
      <c r="P83" t="s">
        <v>755</v>
      </c>
      <c r="Q83" t="s">
        <v>756</v>
      </c>
      <c r="R83" t="s">
        <v>54</v>
      </c>
      <c r="S83">
        <v>7405952</v>
      </c>
      <c r="T83" t="s">
        <v>757</v>
      </c>
      <c r="U83" t="s">
        <v>62</v>
      </c>
      <c r="V83" t="s">
        <v>758</v>
      </c>
      <c r="W83" t="s">
        <v>759</v>
      </c>
      <c r="X83" t="s">
        <v>299</v>
      </c>
      <c r="Y83" t="s">
        <v>121</v>
      </c>
      <c r="Z83">
        <v>22</v>
      </c>
      <c r="AA83" t="s">
        <v>102</v>
      </c>
      <c r="AB83">
        <v>0</v>
      </c>
      <c r="AC83" t="s">
        <v>66</v>
      </c>
      <c r="AD83">
        <v>0</v>
      </c>
      <c r="AE83" t="s">
        <v>66</v>
      </c>
      <c r="AF83" t="s">
        <v>56</v>
      </c>
      <c r="AG83" t="s">
        <v>56</v>
      </c>
      <c r="AH83" t="s">
        <v>56</v>
      </c>
      <c r="AI83" t="s">
        <v>56</v>
      </c>
      <c r="AJ83" t="s">
        <v>760</v>
      </c>
      <c r="AK83" t="s">
        <v>761</v>
      </c>
      <c r="AL83" t="s">
        <v>56</v>
      </c>
      <c r="AM83" t="s">
        <v>56</v>
      </c>
      <c r="AN83" t="s">
        <v>56</v>
      </c>
      <c r="AO83" t="s">
        <v>56</v>
      </c>
      <c r="AP83" t="s">
        <v>56</v>
      </c>
      <c r="AQ83" t="s">
        <v>71</v>
      </c>
      <c r="AR83" t="s">
        <v>56</v>
      </c>
      <c r="AS83" t="s">
        <v>56</v>
      </c>
      <c r="AT83" t="s">
        <v>56</v>
      </c>
      <c r="AU83" t="s">
        <v>56</v>
      </c>
      <c r="AV83" t="s">
        <v>56</v>
      </c>
      <c r="AW83" t="s">
        <v>56</v>
      </c>
      <c r="AX83">
        <v>4</v>
      </c>
    </row>
    <row r="84" spans="1:50" x14ac:dyDescent="0.25">
      <c r="A84" t="str">
        <f>"20200125176017026687"</f>
        <v>20200125176017026687</v>
      </c>
      <c r="B84" t="s">
        <v>752</v>
      </c>
      <c r="C84" t="s">
        <v>752</v>
      </c>
      <c r="D84" t="s">
        <v>762</v>
      </c>
      <c r="E84" t="str">
        <f>"080010025301"</f>
        <v>080010025301</v>
      </c>
      <c r="F84" t="s">
        <v>52</v>
      </c>
      <c r="G84">
        <v>800033723</v>
      </c>
      <c r="H84" t="s">
        <v>112</v>
      </c>
      <c r="I84" t="s">
        <v>763</v>
      </c>
      <c r="J84">
        <v>3681522</v>
      </c>
      <c r="K84" t="s">
        <v>54</v>
      </c>
      <c r="L84">
        <v>72005091</v>
      </c>
      <c r="M84" t="s">
        <v>764</v>
      </c>
      <c r="N84" t="s">
        <v>132</v>
      </c>
      <c r="O84" t="s">
        <v>528</v>
      </c>
      <c r="P84" t="s">
        <v>765</v>
      </c>
      <c r="Q84" t="s">
        <v>766</v>
      </c>
      <c r="R84" t="s">
        <v>54</v>
      </c>
      <c r="S84">
        <v>22302827</v>
      </c>
      <c r="T84" t="s">
        <v>767</v>
      </c>
      <c r="U84" t="s">
        <v>768</v>
      </c>
      <c r="V84" t="s">
        <v>769</v>
      </c>
      <c r="W84" t="s">
        <v>770</v>
      </c>
      <c r="X84" t="s">
        <v>120</v>
      </c>
      <c r="Y84" t="s">
        <v>121</v>
      </c>
      <c r="Z84">
        <v>12</v>
      </c>
      <c r="AA84" t="s">
        <v>65</v>
      </c>
      <c r="AB84" t="s">
        <v>56</v>
      </c>
      <c r="AC84" t="s">
        <v>56</v>
      </c>
      <c r="AD84">
        <v>0</v>
      </c>
      <c r="AE84" t="s">
        <v>66</v>
      </c>
      <c r="AF84" t="s">
        <v>56</v>
      </c>
      <c r="AG84" t="s">
        <v>56</v>
      </c>
      <c r="AH84" t="s">
        <v>56</v>
      </c>
      <c r="AI84" t="s">
        <v>56</v>
      </c>
      <c r="AJ84" t="s">
        <v>771</v>
      </c>
      <c r="AK84" t="s">
        <v>772</v>
      </c>
      <c r="AL84" t="s">
        <v>56</v>
      </c>
      <c r="AM84" t="s">
        <v>56</v>
      </c>
      <c r="AN84" t="s">
        <v>56</v>
      </c>
      <c r="AO84" t="s">
        <v>56</v>
      </c>
      <c r="AP84" t="s">
        <v>56</v>
      </c>
      <c r="AQ84" t="s">
        <v>71</v>
      </c>
      <c r="AR84" t="s">
        <v>56</v>
      </c>
      <c r="AS84" t="s">
        <v>56</v>
      </c>
      <c r="AT84" t="s">
        <v>56</v>
      </c>
      <c r="AU84" t="s">
        <v>56</v>
      </c>
      <c r="AV84" t="s">
        <v>56</v>
      </c>
      <c r="AW84" t="s">
        <v>56</v>
      </c>
      <c r="AX84">
        <v>4</v>
      </c>
    </row>
    <row r="85" spans="1:50" x14ac:dyDescent="0.25">
      <c r="A85" t="str">
        <f>"20200130133017146651"</f>
        <v>20200130133017146651</v>
      </c>
      <c r="B85" t="s">
        <v>124</v>
      </c>
      <c r="C85" t="s">
        <v>124</v>
      </c>
      <c r="D85" t="s">
        <v>773</v>
      </c>
      <c r="E85" t="str">
        <f>"700010016301"</f>
        <v>700010016301</v>
      </c>
      <c r="F85" t="s">
        <v>52</v>
      </c>
      <c r="G85">
        <v>823002800</v>
      </c>
      <c r="H85">
        <v>70001</v>
      </c>
      <c r="I85" t="s">
        <v>603</v>
      </c>
      <c r="J85">
        <v>3126692716</v>
      </c>
      <c r="K85" t="s">
        <v>54</v>
      </c>
      <c r="L85">
        <v>33205215</v>
      </c>
      <c r="M85" t="s">
        <v>117</v>
      </c>
      <c r="N85" t="s">
        <v>600</v>
      </c>
      <c r="O85" t="s">
        <v>194</v>
      </c>
      <c r="P85" t="s">
        <v>774</v>
      </c>
      <c r="Q85">
        <v>159196</v>
      </c>
      <c r="R85" t="s">
        <v>54</v>
      </c>
      <c r="S85">
        <v>9111719</v>
      </c>
      <c r="T85" t="s">
        <v>81</v>
      </c>
      <c r="U85" t="s">
        <v>325</v>
      </c>
      <c r="V85" t="s">
        <v>775</v>
      </c>
      <c r="W85" t="s">
        <v>79</v>
      </c>
      <c r="X85" t="s">
        <v>605</v>
      </c>
      <c r="Y85" t="s">
        <v>330</v>
      </c>
      <c r="Z85">
        <v>12</v>
      </c>
      <c r="AA85" t="s">
        <v>65</v>
      </c>
      <c r="AB85" t="s">
        <v>56</v>
      </c>
      <c r="AC85" t="s">
        <v>56</v>
      </c>
      <c r="AD85">
        <v>0</v>
      </c>
      <c r="AE85" t="s">
        <v>66</v>
      </c>
      <c r="AF85" t="s">
        <v>56</v>
      </c>
      <c r="AG85" t="s">
        <v>56</v>
      </c>
      <c r="AH85" t="s">
        <v>56</v>
      </c>
      <c r="AI85" t="s">
        <v>56</v>
      </c>
      <c r="AJ85" t="s">
        <v>776</v>
      </c>
      <c r="AK85" t="s">
        <v>777</v>
      </c>
      <c r="AL85" t="s">
        <v>56</v>
      </c>
      <c r="AM85" t="s">
        <v>56</v>
      </c>
      <c r="AN85" t="s">
        <v>56</v>
      </c>
      <c r="AO85" t="s">
        <v>56</v>
      </c>
      <c r="AP85" t="s">
        <v>56</v>
      </c>
      <c r="AQ85" t="s">
        <v>71</v>
      </c>
      <c r="AR85" t="s">
        <v>56</v>
      </c>
      <c r="AS85" t="s">
        <v>56</v>
      </c>
      <c r="AT85" t="s">
        <v>56</v>
      </c>
      <c r="AU85" t="s">
        <v>56</v>
      </c>
      <c r="AV85" t="s">
        <v>56</v>
      </c>
      <c r="AW85" t="s">
        <v>56</v>
      </c>
      <c r="AX85">
        <v>4</v>
      </c>
    </row>
    <row r="86" spans="1:50" x14ac:dyDescent="0.25">
      <c r="A86" t="str">
        <f>"20200130137017146750"</f>
        <v>20200130137017146750</v>
      </c>
      <c r="B86" t="s">
        <v>124</v>
      </c>
      <c r="C86" t="s">
        <v>124</v>
      </c>
      <c r="D86" t="s">
        <v>778</v>
      </c>
      <c r="E86" t="str">
        <f>"700010016301"</f>
        <v>700010016301</v>
      </c>
      <c r="F86" t="s">
        <v>52</v>
      </c>
      <c r="G86">
        <v>823002800</v>
      </c>
      <c r="H86">
        <v>70001</v>
      </c>
      <c r="I86" t="s">
        <v>603</v>
      </c>
      <c r="J86">
        <v>3126692716</v>
      </c>
      <c r="K86" t="s">
        <v>54</v>
      </c>
      <c r="L86">
        <v>33205215</v>
      </c>
      <c r="M86" t="s">
        <v>117</v>
      </c>
      <c r="N86" t="s">
        <v>600</v>
      </c>
      <c r="O86" t="s">
        <v>194</v>
      </c>
      <c r="P86" t="s">
        <v>774</v>
      </c>
      <c r="Q86">
        <v>159196</v>
      </c>
      <c r="R86" t="s">
        <v>54</v>
      </c>
      <c r="S86">
        <v>9111719</v>
      </c>
      <c r="T86" t="s">
        <v>81</v>
      </c>
      <c r="U86" t="s">
        <v>325</v>
      </c>
      <c r="V86" t="s">
        <v>775</v>
      </c>
      <c r="W86" t="s">
        <v>79</v>
      </c>
      <c r="X86" t="s">
        <v>605</v>
      </c>
      <c r="Y86" t="s">
        <v>330</v>
      </c>
      <c r="Z86">
        <v>12</v>
      </c>
      <c r="AA86" t="s">
        <v>65</v>
      </c>
      <c r="AB86" t="s">
        <v>56</v>
      </c>
      <c r="AC86" t="s">
        <v>56</v>
      </c>
      <c r="AD86">
        <v>0</v>
      </c>
      <c r="AE86" t="s">
        <v>66</v>
      </c>
      <c r="AF86" t="s">
        <v>56</v>
      </c>
      <c r="AG86" t="s">
        <v>56</v>
      </c>
      <c r="AH86" t="s">
        <v>56</v>
      </c>
      <c r="AI86" t="s">
        <v>56</v>
      </c>
      <c r="AJ86" t="s">
        <v>545</v>
      </c>
      <c r="AK86" t="s">
        <v>546</v>
      </c>
      <c r="AL86" t="s">
        <v>56</v>
      </c>
      <c r="AM86" t="s">
        <v>56</v>
      </c>
      <c r="AN86" t="s">
        <v>56</v>
      </c>
      <c r="AO86" t="s">
        <v>56</v>
      </c>
      <c r="AP86" t="s">
        <v>56</v>
      </c>
      <c r="AQ86" t="s">
        <v>71</v>
      </c>
      <c r="AR86" t="s">
        <v>56</v>
      </c>
      <c r="AS86" t="s">
        <v>56</v>
      </c>
      <c r="AT86" t="s">
        <v>56</v>
      </c>
      <c r="AU86" t="s">
        <v>56</v>
      </c>
      <c r="AV86" t="s">
        <v>56</v>
      </c>
      <c r="AW86" t="s">
        <v>56</v>
      </c>
      <c r="AX86">
        <v>4</v>
      </c>
    </row>
    <row r="87" spans="1:50" x14ac:dyDescent="0.25">
      <c r="A87" t="str">
        <f>"20200130119017152283"</f>
        <v>20200130119017152283</v>
      </c>
      <c r="B87" t="s">
        <v>124</v>
      </c>
      <c r="C87" t="s">
        <v>124</v>
      </c>
      <c r="D87" t="s">
        <v>779</v>
      </c>
      <c r="E87" t="str">
        <f>"080010003601"</f>
        <v>080010003601</v>
      </c>
      <c r="F87" t="s">
        <v>52</v>
      </c>
      <c r="G87">
        <v>802000955</v>
      </c>
      <c r="H87" t="s">
        <v>112</v>
      </c>
      <c r="I87" t="s">
        <v>218</v>
      </c>
      <c r="J87" t="s">
        <v>56</v>
      </c>
      <c r="K87" t="s">
        <v>54</v>
      </c>
      <c r="L87">
        <v>1051357508</v>
      </c>
      <c r="M87" t="s">
        <v>644</v>
      </c>
      <c r="N87" t="s">
        <v>645</v>
      </c>
      <c r="O87" t="s">
        <v>646</v>
      </c>
      <c r="P87" t="s">
        <v>647</v>
      </c>
      <c r="Q87">
        <v>81153</v>
      </c>
      <c r="R87" t="s">
        <v>54</v>
      </c>
      <c r="S87">
        <v>32815747</v>
      </c>
      <c r="T87" t="s">
        <v>780</v>
      </c>
      <c r="U87" t="s">
        <v>373</v>
      </c>
      <c r="V87" t="s">
        <v>425</v>
      </c>
      <c r="W87" t="s">
        <v>308</v>
      </c>
      <c r="X87" t="s">
        <v>299</v>
      </c>
      <c r="Y87" t="s">
        <v>121</v>
      </c>
      <c r="Z87">
        <v>12</v>
      </c>
      <c r="AA87" t="s">
        <v>65</v>
      </c>
      <c r="AB87" t="s">
        <v>56</v>
      </c>
      <c r="AC87" t="s">
        <v>56</v>
      </c>
      <c r="AD87">
        <v>0</v>
      </c>
      <c r="AE87" t="s">
        <v>66</v>
      </c>
      <c r="AF87" t="s">
        <v>56</v>
      </c>
      <c r="AG87" t="s">
        <v>56</v>
      </c>
      <c r="AH87" t="s">
        <v>56</v>
      </c>
      <c r="AI87" t="s">
        <v>56</v>
      </c>
      <c r="AJ87" t="s">
        <v>228</v>
      </c>
      <c r="AK87" t="s">
        <v>229</v>
      </c>
      <c r="AL87" t="s">
        <v>56</v>
      </c>
      <c r="AM87" t="s">
        <v>56</v>
      </c>
      <c r="AN87" t="s">
        <v>56</v>
      </c>
      <c r="AO87" t="s">
        <v>56</v>
      </c>
      <c r="AP87" t="s">
        <v>56</v>
      </c>
      <c r="AQ87" t="s">
        <v>71</v>
      </c>
      <c r="AR87" t="s">
        <v>56</v>
      </c>
      <c r="AS87" t="s">
        <v>56</v>
      </c>
      <c r="AT87" t="s">
        <v>56</v>
      </c>
      <c r="AU87" t="s">
        <v>56</v>
      </c>
      <c r="AV87" t="s">
        <v>56</v>
      </c>
      <c r="AW87" t="s">
        <v>56</v>
      </c>
      <c r="AX87">
        <v>4</v>
      </c>
    </row>
    <row r="88" spans="1:50" x14ac:dyDescent="0.25">
      <c r="A88" t="str">
        <f>"20200128163017091997"</f>
        <v>20200128163017091997</v>
      </c>
      <c r="B88" t="s">
        <v>151</v>
      </c>
      <c r="C88" t="s">
        <v>151</v>
      </c>
      <c r="D88" t="s">
        <v>781</v>
      </c>
      <c r="E88" t="str">
        <f>"080010025301"</f>
        <v>080010025301</v>
      </c>
      <c r="F88" t="s">
        <v>52</v>
      </c>
      <c r="G88">
        <v>800033723</v>
      </c>
      <c r="H88" t="s">
        <v>112</v>
      </c>
      <c r="I88" t="s">
        <v>763</v>
      </c>
      <c r="J88">
        <v>3681522</v>
      </c>
      <c r="K88" t="s">
        <v>54</v>
      </c>
      <c r="L88">
        <v>72005091</v>
      </c>
      <c r="M88" t="s">
        <v>764</v>
      </c>
      <c r="N88" t="s">
        <v>132</v>
      </c>
      <c r="O88" t="s">
        <v>528</v>
      </c>
      <c r="P88" t="s">
        <v>765</v>
      </c>
      <c r="Q88" t="s">
        <v>766</v>
      </c>
      <c r="R88" t="s">
        <v>54</v>
      </c>
      <c r="S88">
        <v>72070263</v>
      </c>
      <c r="T88" t="s">
        <v>782</v>
      </c>
      <c r="U88" t="s">
        <v>424</v>
      </c>
      <c r="V88" t="s">
        <v>783</v>
      </c>
      <c r="W88" t="s">
        <v>381</v>
      </c>
      <c r="X88" t="s">
        <v>120</v>
      </c>
      <c r="Y88" t="s">
        <v>121</v>
      </c>
      <c r="Z88">
        <v>12</v>
      </c>
      <c r="AA88" t="s">
        <v>65</v>
      </c>
      <c r="AB88" t="s">
        <v>56</v>
      </c>
      <c r="AC88" t="s">
        <v>56</v>
      </c>
      <c r="AD88">
        <v>0</v>
      </c>
      <c r="AE88" t="s">
        <v>66</v>
      </c>
      <c r="AF88" t="s">
        <v>56</v>
      </c>
      <c r="AG88" t="s">
        <v>56</v>
      </c>
      <c r="AH88" t="s">
        <v>56</v>
      </c>
      <c r="AI88" t="s">
        <v>56</v>
      </c>
      <c r="AJ88" t="s">
        <v>215</v>
      </c>
      <c r="AK88" t="s">
        <v>216</v>
      </c>
      <c r="AL88" t="s">
        <v>56</v>
      </c>
      <c r="AM88" t="s">
        <v>56</v>
      </c>
      <c r="AN88" t="s">
        <v>56</v>
      </c>
      <c r="AO88" t="s">
        <v>56</v>
      </c>
      <c r="AP88" t="s">
        <v>56</v>
      </c>
      <c r="AQ88" t="s">
        <v>71</v>
      </c>
      <c r="AR88" t="s">
        <v>56</v>
      </c>
      <c r="AS88" t="s">
        <v>56</v>
      </c>
      <c r="AT88" t="s">
        <v>56</v>
      </c>
      <c r="AU88" t="s">
        <v>56</v>
      </c>
      <c r="AV88" t="s">
        <v>56</v>
      </c>
      <c r="AW88" t="s">
        <v>56</v>
      </c>
      <c r="AX88">
        <v>4</v>
      </c>
    </row>
    <row r="89" spans="1:50" x14ac:dyDescent="0.25">
      <c r="A89" t="str">
        <f>"20200125124017028254"</f>
        <v>20200125124017028254</v>
      </c>
      <c r="B89" t="s">
        <v>752</v>
      </c>
      <c r="C89" t="s">
        <v>752</v>
      </c>
      <c r="D89" t="s">
        <v>784</v>
      </c>
      <c r="E89" t="str">
        <f>"080010409201"</f>
        <v>080010409201</v>
      </c>
      <c r="F89" t="s">
        <v>52</v>
      </c>
      <c r="G89">
        <v>900448414</v>
      </c>
      <c r="H89" t="s">
        <v>112</v>
      </c>
      <c r="I89" t="s">
        <v>785</v>
      </c>
      <c r="J89">
        <v>3545674</v>
      </c>
      <c r="K89" t="s">
        <v>54</v>
      </c>
      <c r="L89">
        <v>64552066</v>
      </c>
      <c r="M89" t="s">
        <v>786</v>
      </c>
      <c r="N89" t="s">
        <v>787</v>
      </c>
      <c r="O89" t="s">
        <v>788</v>
      </c>
      <c r="P89" t="s">
        <v>789</v>
      </c>
      <c r="Q89">
        <v>12159</v>
      </c>
      <c r="R89" t="s">
        <v>54</v>
      </c>
      <c r="S89">
        <v>9193490</v>
      </c>
      <c r="T89" t="s">
        <v>790</v>
      </c>
      <c r="U89" t="s">
        <v>791</v>
      </c>
      <c r="V89" t="s">
        <v>792</v>
      </c>
      <c r="W89" t="s">
        <v>793</v>
      </c>
      <c r="X89" t="s">
        <v>120</v>
      </c>
      <c r="Y89" t="s">
        <v>121</v>
      </c>
      <c r="Z89">
        <v>12</v>
      </c>
      <c r="AA89" t="s">
        <v>65</v>
      </c>
      <c r="AB89" t="s">
        <v>56</v>
      </c>
      <c r="AC89" t="s">
        <v>56</v>
      </c>
      <c r="AD89">
        <v>0</v>
      </c>
      <c r="AE89" t="s">
        <v>66</v>
      </c>
      <c r="AF89" t="s">
        <v>56</v>
      </c>
      <c r="AG89" t="s">
        <v>56</v>
      </c>
      <c r="AH89" t="s">
        <v>56</v>
      </c>
      <c r="AI89" t="s">
        <v>56</v>
      </c>
      <c r="AJ89" t="s">
        <v>794</v>
      </c>
      <c r="AK89" t="s">
        <v>795</v>
      </c>
      <c r="AL89" t="s">
        <v>56</v>
      </c>
      <c r="AM89" t="s">
        <v>56</v>
      </c>
      <c r="AN89" t="s">
        <v>56</v>
      </c>
      <c r="AO89" t="s">
        <v>56</v>
      </c>
      <c r="AP89" t="s">
        <v>56</v>
      </c>
      <c r="AQ89" t="s">
        <v>71</v>
      </c>
      <c r="AR89" t="s">
        <v>56</v>
      </c>
      <c r="AS89" t="s">
        <v>56</v>
      </c>
      <c r="AT89" t="s">
        <v>56</v>
      </c>
      <c r="AU89" t="s">
        <v>56</v>
      </c>
      <c r="AV89" t="s">
        <v>56</v>
      </c>
      <c r="AW89" t="s">
        <v>56</v>
      </c>
      <c r="AX89">
        <v>4</v>
      </c>
    </row>
    <row r="90" spans="1:50" x14ac:dyDescent="0.25">
      <c r="A90" t="str">
        <f>"20200128180017082363"</f>
        <v>20200128180017082363</v>
      </c>
      <c r="B90" t="s">
        <v>151</v>
      </c>
      <c r="C90" t="s">
        <v>151</v>
      </c>
      <c r="D90" t="s">
        <v>796</v>
      </c>
      <c r="E90" t="str">
        <f>"086380015401"</f>
        <v>086380015401</v>
      </c>
      <c r="F90" t="s">
        <v>52</v>
      </c>
      <c r="G90">
        <v>890103127</v>
      </c>
      <c r="H90" t="s">
        <v>246</v>
      </c>
      <c r="I90" t="s">
        <v>797</v>
      </c>
      <c r="J90" t="s">
        <v>798</v>
      </c>
      <c r="K90" t="s">
        <v>54</v>
      </c>
      <c r="L90">
        <v>72162152</v>
      </c>
      <c r="M90" t="s">
        <v>81</v>
      </c>
      <c r="N90" t="s">
        <v>799</v>
      </c>
      <c r="O90" t="s">
        <v>800</v>
      </c>
      <c r="P90" t="s">
        <v>801</v>
      </c>
      <c r="Q90" t="s">
        <v>802</v>
      </c>
      <c r="R90" t="s">
        <v>54</v>
      </c>
      <c r="S90">
        <v>22627302</v>
      </c>
      <c r="T90" t="s">
        <v>803</v>
      </c>
      <c r="U90" t="s">
        <v>804</v>
      </c>
      <c r="V90" t="s">
        <v>805</v>
      </c>
      <c r="W90" t="s">
        <v>806</v>
      </c>
      <c r="X90" t="s">
        <v>590</v>
      </c>
      <c r="Y90" t="s">
        <v>121</v>
      </c>
      <c r="Z90">
        <v>12</v>
      </c>
      <c r="AA90" t="s">
        <v>65</v>
      </c>
      <c r="AB90" t="s">
        <v>56</v>
      </c>
      <c r="AC90" t="s">
        <v>56</v>
      </c>
      <c r="AD90">
        <v>0</v>
      </c>
      <c r="AE90" t="s">
        <v>66</v>
      </c>
      <c r="AF90" t="s">
        <v>56</v>
      </c>
      <c r="AG90" t="s">
        <v>56</v>
      </c>
      <c r="AH90" t="s">
        <v>56</v>
      </c>
      <c r="AI90" t="s">
        <v>56</v>
      </c>
      <c r="AJ90" t="s">
        <v>255</v>
      </c>
      <c r="AK90" t="s">
        <v>256</v>
      </c>
      <c r="AL90" t="s">
        <v>56</v>
      </c>
      <c r="AM90" t="s">
        <v>56</v>
      </c>
      <c r="AN90" t="s">
        <v>56</v>
      </c>
      <c r="AO90" t="s">
        <v>56</v>
      </c>
      <c r="AP90" t="s">
        <v>56</v>
      </c>
      <c r="AQ90" t="s">
        <v>71</v>
      </c>
      <c r="AR90" t="s">
        <v>56</v>
      </c>
      <c r="AS90" t="s">
        <v>56</v>
      </c>
      <c r="AT90" t="s">
        <v>56</v>
      </c>
      <c r="AU90" t="s">
        <v>56</v>
      </c>
      <c r="AV90" t="s">
        <v>56</v>
      </c>
      <c r="AW90" t="s">
        <v>56</v>
      </c>
      <c r="AX90">
        <v>4</v>
      </c>
    </row>
    <row r="91" spans="1:50" x14ac:dyDescent="0.25">
      <c r="A91" t="str">
        <f>"20200127125017042190"</f>
        <v>20200127125017042190</v>
      </c>
      <c r="B91" t="s">
        <v>190</v>
      </c>
      <c r="C91" t="s">
        <v>190</v>
      </c>
      <c r="D91" t="s">
        <v>807</v>
      </c>
      <c r="E91" t="str">
        <f>"080010122401"</f>
        <v>080010122401</v>
      </c>
      <c r="F91" t="s">
        <v>52</v>
      </c>
      <c r="G91">
        <v>802013835</v>
      </c>
      <c r="H91" t="s">
        <v>112</v>
      </c>
      <c r="I91" t="s">
        <v>808</v>
      </c>
      <c r="J91" t="s">
        <v>56</v>
      </c>
      <c r="K91" t="s">
        <v>54</v>
      </c>
      <c r="L91">
        <v>8734418</v>
      </c>
      <c r="M91" t="s">
        <v>223</v>
      </c>
      <c r="N91" t="s">
        <v>809</v>
      </c>
      <c r="O91" t="s">
        <v>810</v>
      </c>
      <c r="P91" t="s">
        <v>811</v>
      </c>
      <c r="Q91">
        <v>8734418</v>
      </c>
      <c r="R91" t="s">
        <v>54</v>
      </c>
      <c r="S91">
        <v>8713886</v>
      </c>
      <c r="T91" t="s">
        <v>281</v>
      </c>
      <c r="U91" t="s">
        <v>132</v>
      </c>
      <c r="V91" t="s">
        <v>656</v>
      </c>
      <c r="W91" t="s">
        <v>812</v>
      </c>
      <c r="X91" t="s">
        <v>299</v>
      </c>
      <c r="Y91" t="s">
        <v>121</v>
      </c>
      <c r="Z91">
        <v>12</v>
      </c>
      <c r="AA91" t="s">
        <v>65</v>
      </c>
      <c r="AB91" t="s">
        <v>56</v>
      </c>
      <c r="AC91" t="s">
        <v>56</v>
      </c>
      <c r="AD91">
        <v>0</v>
      </c>
      <c r="AE91" t="s">
        <v>66</v>
      </c>
      <c r="AF91" t="s">
        <v>56</v>
      </c>
      <c r="AG91" t="s">
        <v>56</v>
      </c>
      <c r="AH91" t="s">
        <v>56</v>
      </c>
      <c r="AI91" t="s">
        <v>56</v>
      </c>
      <c r="AJ91" t="s">
        <v>813</v>
      </c>
      <c r="AK91" t="s">
        <v>814</v>
      </c>
      <c r="AL91" t="s">
        <v>56</v>
      </c>
      <c r="AM91" t="s">
        <v>56</v>
      </c>
      <c r="AN91" t="s">
        <v>56</v>
      </c>
      <c r="AO91" t="s">
        <v>56</v>
      </c>
      <c r="AP91" t="s">
        <v>56</v>
      </c>
      <c r="AQ91" t="s">
        <v>71</v>
      </c>
      <c r="AR91" t="s">
        <v>56</v>
      </c>
      <c r="AS91" t="s">
        <v>56</v>
      </c>
      <c r="AT91" t="s">
        <v>56</v>
      </c>
      <c r="AU91" t="s">
        <v>56</v>
      </c>
      <c r="AV91" t="s">
        <v>56</v>
      </c>
      <c r="AW91" t="s">
        <v>56</v>
      </c>
      <c r="AX91">
        <v>4</v>
      </c>
    </row>
    <row r="92" spans="1:50" x14ac:dyDescent="0.25">
      <c r="A92" t="str">
        <f>"20200128132017073693"</f>
        <v>20200128132017073693</v>
      </c>
      <c r="B92" t="s">
        <v>151</v>
      </c>
      <c r="C92" t="s">
        <v>151</v>
      </c>
      <c r="D92" t="s">
        <v>815</v>
      </c>
      <c r="E92" t="str">
        <f>"200010205401"</f>
        <v>200010205401</v>
      </c>
      <c r="F92" t="s">
        <v>52</v>
      </c>
      <c r="G92">
        <v>901058547</v>
      </c>
      <c r="H92">
        <v>20001</v>
      </c>
      <c r="I92" t="s">
        <v>512</v>
      </c>
      <c r="J92" t="s">
        <v>513</v>
      </c>
      <c r="K92" t="s">
        <v>54</v>
      </c>
      <c r="L92">
        <v>18937856</v>
      </c>
      <c r="M92" t="s">
        <v>81</v>
      </c>
      <c r="N92" t="s">
        <v>164</v>
      </c>
      <c r="O92" t="s">
        <v>816</v>
      </c>
      <c r="P92" t="s">
        <v>425</v>
      </c>
      <c r="Q92" t="s">
        <v>817</v>
      </c>
      <c r="R92" t="s">
        <v>54</v>
      </c>
      <c r="S92">
        <v>26871213</v>
      </c>
      <c r="T92" t="s">
        <v>818</v>
      </c>
      <c r="U92" t="s">
        <v>62</v>
      </c>
      <c r="V92" t="s">
        <v>819</v>
      </c>
      <c r="W92" t="s">
        <v>297</v>
      </c>
      <c r="X92" t="s">
        <v>407</v>
      </c>
      <c r="Y92" t="s">
        <v>86</v>
      </c>
      <c r="Z92">
        <v>12</v>
      </c>
      <c r="AA92" t="s">
        <v>65</v>
      </c>
      <c r="AB92" t="s">
        <v>56</v>
      </c>
      <c r="AC92" t="s">
        <v>56</v>
      </c>
      <c r="AD92">
        <v>0</v>
      </c>
      <c r="AE92" t="s">
        <v>66</v>
      </c>
      <c r="AF92" t="s">
        <v>56</v>
      </c>
      <c r="AG92" t="s">
        <v>56</v>
      </c>
      <c r="AH92" t="s">
        <v>56</v>
      </c>
      <c r="AI92" t="s">
        <v>56</v>
      </c>
      <c r="AJ92" t="s">
        <v>820</v>
      </c>
      <c r="AK92" t="s">
        <v>821</v>
      </c>
      <c r="AL92" t="s">
        <v>822</v>
      </c>
      <c r="AM92" t="s">
        <v>823</v>
      </c>
      <c r="AN92" t="s">
        <v>824</v>
      </c>
      <c r="AO92" t="s">
        <v>825</v>
      </c>
      <c r="AP92" t="s">
        <v>56</v>
      </c>
      <c r="AQ92" t="s">
        <v>71</v>
      </c>
      <c r="AR92" t="s">
        <v>56</v>
      </c>
      <c r="AS92" t="s">
        <v>56</v>
      </c>
      <c r="AT92" t="s">
        <v>56</v>
      </c>
      <c r="AU92" t="s">
        <v>56</v>
      </c>
      <c r="AV92" t="s">
        <v>56</v>
      </c>
      <c r="AW92" t="s">
        <v>56</v>
      </c>
      <c r="AX92">
        <v>4</v>
      </c>
    </row>
    <row r="93" spans="1:50" x14ac:dyDescent="0.25">
      <c r="A93" t="str">
        <f>"20200129184017098590"</f>
        <v>20200129184017098590</v>
      </c>
      <c r="B93" t="s">
        <v>72</v>
      </c>
      <c r="C93" t="s">
        <v>72</v>
      </c>
      <c r="D93" t="s">
        <v>826</v>
      </c>
      <c r="E93" t="str">
        <f>"080010349401"</f>
        <v>080010349401</v>
      </c>
      <c r="F93" t="s">
        <v>52</v>
      </c>
      <c r="G93">
        <v>900458308</v>
      </c>
      <c r="H93" t="s">
        <v>112</v>
      </c>
      <c r="I93" t="s">
        <v>370</v>
      </c>
      <c r="J93" t="s">
        <v>371</v>
      </c>
      <c r="K93" t="s">
        <v>54</v>
      </c>
      <c r="L93">
        <v>1143378811</v>
      </c>
      <c r="M93" t="s">
        <v>372</v>
      </c>
      <c r="N93" t="s">
        <v>373</v>
      </c>
      <c r="O93" t="s">
        <v>109</v>
      </c>
      <c r="P93" t="s">
        <v>374</v>
      </c>
      <c r="Q93">
        <v>1143378811</v>
      </c>
      <c r="R93" t="s">
        <v>54</v>
      </c>
      <c r="S93">
        <v>1143135833</v>
      </c>
      <c r="T93" t="s">
        <v>127</v>
      </c>
      <c r="U93" t="s">
        <v>62</v>
      </c>
      <c r="V93" t="s">
        <v>560</v>
      </c>
      <c r="W93" t="s">
        <v>402</v>
      </c>
      <c r="X93" t="s">
        <v>299</v>
      </c>
      <c r="Y93" t="s">
        <v>121</v>
      </c>
      <c r="Z93">
        <v>12</v>
      </c>
      <c r="AA93" t="s">
        <v>65</v>
      </c>
      <c r="AB93" t="s">
        <v>56</v>
      </c>
      <c r="AC93" t="s">
        <v>56</v>
      </c>
      <c r="AD93">
        <v>0</v>
      </c>
      <c r="AE93" t="s">
        <v>66</v>
      </c>
      <c r="AF93" t="s">
        <v>56</v>
      </c>
      <c r="AG93" t="s">
        <v>56</v>
      </c>
      <c r="AH93" t="s">
        <v>56</v>
      </c>
      <c r="AI93" t="s">
        <v>56</v>
      </c>
      <c r="AJ93" t="s">
        <v>356</v>
      </c>
      <c r="AK93" t="s">
        <v>357</v>
      </c>
      <c r="AL93" t="s">
        <v>255</v>
      </c>
      <c r="AM93" t="s">
        <v>256</v>
      </c>
      <c r="AN93" t="s">
        <v>56</v>
      </c>
      <c r="AO93" t="s">
        <v>56</v>
      </c>
      <c r="AP93" t="s">
        <v>56</v>
      </c>
      <c r="AQ93" t="s">
        <v>71</v>
      </c>
      <c r="AR93" t="s">
        <v>56</v>
      </c>
      <c r="AS93" t="s">
        <v>56</v>
      </c>
      <c r="AT93" t="s">
        <v>56</v>
      </c>
      <c r="AU93" t="s">
        <v>56</v>
      </c>
      <c r="AV93" t="s">
        <v>56</v>
      </c>
      <c r="AW93" t="s">
        <v>56</v>
      </c>
      <c r="AX93">
        <v>4</v>
      </c>
    </row>
    <row r="94" spans="1:50" x14ac:dyDescent="0.25">
      <c r="A94" t="str">
        <f>"20200129174017098611"</f>
        <v>20200129174017098611</v>
      </c>
      <c r="B94" t="s">
        <v>72</v>
      </c>
      <c r="C94" t="s">
        <v>72</v>
      </c>
      <c r="D94" t="s">
        <v>827</v>
      </c>
      <c r="E94" t="str">
        <f>"080010349401"</f>
        <v>080010349401</v>
      </c>
      <c r="F94" t="s">
        <v>52</v>
      </c>
      <c r="G94">
        <v>900458308</v>
      </c>
      <c r="H94" t="s">
        <v>112</v>
      </c>
      <c r="I94" t="s">
        <v>370</v>
      </c>
      <c r="J94" t="s">
        <v>371</v>
      </c>
      <c r="K94" t="s">
        <v>54</v>
      </c>
      <c r="L94">
        <v>1143378811</v>
      </c>
      <c r="M94" t="s">
        <v>372</v>
      </c>
      <c r="N94" t="s">
        <v>373</v>
      </c>
      <c r="O94" t="s">
        <v>109</v>
      </c>
      <c r="P94" t="s">
        <v>374</v>
      </c>
      <c r="Q94">
        <v>1143378811</v>
      </c>
      <c r="R94" t="s">
        <v>54</v>
      </c>
      <c r="S94">
        <v>1143135833</v>
      </c>
      <c r="T94" t="s">
        <v>127</v>
      </c>
      <c r="U94" t="s">
        <v>62</v>
      </c>
      <c r="V94" t="s">
        <v>560</v>
      </c>
      <c r="W94" t="s">
        <v>402</v>
      </c>
      <c r="X94" t="s">
        <v>299</v>
      </c>
      <c r="Y94" t="s">
        <v>121</v>
      </c>
      <c r="Z94">
        <v>12</v>
      </c>
      <c r="AA94" t="s">
        <v>65</v>
      </c>
      <c r="AB94" t="s">
        <v>56</v>
      </c>
      <c r="AC94" t="s">
        <v>56</v>
      </c>
      <c r="AD94">
        <v>0</v>
      </c>
      <c r="AE94" t="s">
        <v>66</v>
      </c>
      <c r="AF94" t="s">
        <v>56</v>
      </c>
      <c r="AG94" t="s">
        <v>56</v>
      </c>
      <c r="AH94" t="s">
        <v>56</v>
      </c>
      <c r="AI94" t="s">
        <v>56</v>
      </c>
      <c r="AJ94" t="s">
        <v>828</v>
      </c>
      <c r="AK94" t="s">
        <v>829</v>
      </c>
      <c r="AL94" t="s">
        <v>56</v>
      </c>
      <c r="AM94" t="s">
        <v>56</v>
      </c>
      <c r="AN94" t="s">
        <v>56</v>
      </c>
      <c r="AO94" t="s">
        <v>56</v>
      </c>
      <c r="AP94" t="s">
        <v>56</v>
      </c>
      <c r="AQ94" t="s">
        <v>71</v>
      </c>
      <c r="AR94" t="s">
        <v>56</v>
      </c>
      <c r="AS94" t="s">
        <v>56</v>
      </c>
      <c r="AT94" t="s">
        <v>56</v>
      </c>
      <c r="AU94" t="s">
        <v>56</v>
      </c>
      <c r="AV94" t="s">
        <v>56</v>
      </c>
      <c r="AW94" t="s">
        <v>56</v>
      </c>
      <c r="AX94">
        <v>4</v>
      </c>
    </row>
    <row r="95" spans="1:50" x14ac:dyDescent="0.25">
      <c r="A95" t="str">
        <f>"20200129124017098623"</f>
        <v>20200129124017098623</v>
      </c>
      <c r="B95" t="s">
        <v>72</v>
      </c>
      <c r="C95" t="s">
        <v>72</v>
      </c>
      <c r="D95" t="s">
        <v>830</v>
      </c>
      <c r="E95" t="str">
        <f>"080010349401"</f>
        <v>080010349401</v>
      </c>
      <c r="F95" t="s">
        <v>52</v>
      </c>
      <c r="G95">
        <v>900458308</v>
      </c>
      <c r="H95" t="s">
        <v>112</v>
      </c>
      <c r="I95" t="s">
        <v>370</v>
      </c>
      <c r="J95" t="s">
        <v>371</v>
      </c>
      <c r="K95" t="s">
        <v>54</v>
      </c>
      <c r="L95">
        <v>1143378811</v>
      </c>
      <c r="M95" t="s">
        <v>372</v>
      </c>
      <c r="N95" t="s">
        <v>373</v>
      </c>
      <c r="O95" t="s">
        <v>109</v>
      </c>
      <c r="P95" t="s">
        <v>374</v>
      </c>
      <c r="Q95">
        <v>1143378811</v>
      </c>
      <c r="R95" t="s">
        <v>54</v>
      </c>
      <c r="S95">
        <v>1143135833</v>
      </c>
      <c r="T95" t="s">
        <v>127</v>
      </c>
      <c r="U95" t="s">
        <v>62</v>
      </c>
      <c r="V95" t="s">
        <v>560</v>
      </c>
      <c r="W95" t="s">
        <v>402</v>
      </c>
      <c r="X95" t="s">
        <v>299</v>
      </c>
      <c r="Y95" t="s">
        <v>121</v>
      </c>
      <c r="Z95">
        <v>12</v>
      </c>
      <c r="AA95" t="s">
        <v>65</v>
      </c>
      <c r="AB95" t="s">
        <v>56</v>
      </c>
      <c r="AC95" t="s">
        <v>56</v>
      </c>
      <c r="AD95">
        <v>0</v>
      </c>
      <c r="AE95" t="s">
        <v>66</v>
      </c>
      <c r="AF95" t="s">
        <v>56</v>
      </c>
      <c r="AG95" t="s">
        <v>56</v>
      </c>
      <c r="AH95" t="s">
        <v>56</v>
      </c>
      <c r="AI95" t="s">
        <v>56</v>
      </c>
      <c r="AJ95" t="s">
        <v>397</v>
      </c>
      <c r="AK95" t="s">
        <v>398</v>
      </c>
      <c r="AL95" t="s">
        <v>56</v>
      </c>
      <c r="AM95" t="s">
        <v>56</v>
      </c>
      <c r="AN95" t="s">
        <v>56</v>
      </c>
      <c r="AO95" t="s">
        <v>56</v>
      </c>
      <c r="AP95" t="s">
        <v>56</v>
      </c>
      <c r="AQ95" t="s">
        <v>71</v>
      </c>
      <c r="AR95" t="s">
        <v>56</v>
      </c>
      <c r="AS95" t="s">
        <v>56</v>
      </c>
      <c r="AT95" t="s">
        <v>56</v>
      </c>
      <c r="AU95" t="s">
        <v>56</v>
      </c>
      <c r="AV95" t="s">
        <v>56</v>
      </c>
      <c r="AW95" t="s">
        <v>56</v>
      </c>
      <c r="AX95">
        <v>4</v>
      </c>
    </row>
    <row r="96" spans="1:50" x14ac:dyDescent="0.25">
      <c r="A96" t="str">
        <f>"20200129140017124061"</f>
        <v>20200129140017124061</v>
      </c>
      <c r="B96" t="s">
        <v>72</v>
      </c>
      <c r="C96" t="s">
        <v>72</v>
      </c>
      <c r="D96" t="s">
        <v>831</v>
      </c>
      <c r="E96" t="str">
        <f>"080010349401"</f>
        <v>080010349401</v>
      </c>
      <c r="F96" t="s">
        <v>52</v>
      </c>
      <c r="G96">
        <v>900458308</v>
      </c>
      <c r="H96" t="s">
        <v>112</v>
      </c>
      <c r="I96" t="s">
        <v>370</v>
      </c>
      <c r="J96" t="s">
        <v>371</v>
      </c>
      <c r="K96" t="s">
        <v>54</v>
      </c>
      <c r="L96">
        <v>1143378811</v>
      </c>
      <c r="M96" t="s">
        <v>372</v>
      </c>
      <c r="N96" t="s">
        <v>373</v>
      </c>
      <c r="O96" t="s">
        <v>109</v>
      </c>
      <c r="P96" t="s">
        <v>374</v>
      </c>
      <c r="Q96">
        <v>1143378811</v>
      </c>
      <c r="R96" t="s">
        <v>54</v>
      </c>
      <c r="S96">
        <v>22451087</v>
      </c>
      <c r="T96" t="s">
        <v>832</v>
      </c>
      <c r="U96" t="s">
        <v>117</v>
      </c>
      <c r="V96" t="s">
        <v>833</v>
      </c>
      <c r="W96" t="s">
        <v>834</v>
      </c>
      <c r="X96" t="s">
        <v>254</v>
      </c>
      <c r="Y96" t="s">
        <v>121</v>
      </c>
      <c r="Z96">
        <v>12</v>
      </c>
      <c r="AA96" t="s">
        <v>65</v>
      </c>
      <c r="AB96" t="s">
        <v>56</v>
      </c>
      <c r="AC96" t="s">
        <v>56</v>
      </c>
      <c r="AD96">
        <v>0</v>
      </c>
      <c r="AE96" t="s">
        <v>66</v>
      </c>
      <c r="AF96" t="s">
        <v>56</v>
      </c>
      <c r="AG96" t="s">
        <v>56</v>
      </c>
      <c r="AH96" t="s">
        <v>56</v>
      </c>
      <c r="AI96" t="s">
        <v>56</v>
      </c>
      <c r="AJ96" t="s">
        <v>356</v>
      </c>
      <c r="AK96" t="s">
        <v>357</v>
      </c>
      <c r="AL96" t="s">
        <v>255</v>
      </c>
      <c r="AM96" t="s">
        <v>256</v>
      </c>
      <c r="AN96" t="s">
        <v>56</v>
      </c>
      <c r="AO96" t="s">
        <v>56</v>
      </c>
      <c r="AP96" t="s">
        <v>56</v>
      </c>
      <c r="AQ96" t="s">
        <v>71</v>
      </c>
      <c r="AR96" t="s">
        <v>56</v>
      </c>
      <c r="AS96" t="s">
        <v>56</v>
      </c>
      <c r="AT96" t="s">
        <v>56</v>
      </c>
      <c r="AU96" t="s">
        <v>56</v>
      </c>
      <c r="AV96" t="s">
        <v>56</v>
      </c>
      <c r="AW96" t="s">
        <v>56</v>
      </c>
      <c r="AX96">
        <v>4</v>
      </c>
    </row>
    <row r="97" spans="1:50" x14ac:dyDescent="0.25">
      <c r="A97" t="str">
        <f>"20200124177017013807"</f>
        <v>20200124177017013807</v>
      </c>
      <c r="B97" t="s">
        <v>201</v>
      </c>
      <c r="C97" t="s">
        <v>201</v>
      </c>
      <c r="D97" t="s">
        <v>835</v>
      </c>
      <c r="E97" t="str">
        <f>"761470371502"</f>
        <v>761470371502</v>
      </c>
      <c r="F97" t="s">
        <v>52</v>
      </c>
      <c r="G97">
        <v>890303841</v>
      </c>
      <c r="H97">
        <v>76147</v>
      </c>
      <c r="I97" t="s">
        <v>359</v>
      </c>
      <c r="J97">
        <v>2132425</v>
      </c>
      <c r="K97" t="s">
        <v>54</v>
      </c>
      <c r="L97">
        <v>16830715</v>
      </c>
      <c r="M97" t="s">
        <v>127</v>
      </c>
      <c r="N97" t="s">
        <v>360</v>
      </c>
      <c r="O97" t="s">
        <v>361</v>
      </c>
      <c r="P97" t="s">
        <v>362</v>
      </c>
      <c r="Q97">
        <v>1913</v>
      </c>
      <c r="R97" t="s">
        <v>54</v>
      </c>
      <c r="S97">
        <v>29135900</v>
      </c>
      <c r="T97" t="s">
        <v>59</v>
      </c>
      <c r="U97" t="s">
        <v>342</v>
      </c>
      <c r="V97" t="s">
        <v>169</v>
      </c>
      <c r="W97" t="s">
        <v>836</v>
      </c>
      <c r="X97" t="s">
        <v>453</v>
      </c>
      <c r="Y97" t="s">
        <v>64</v>
      </c>
      <c r="Z97">
        <v>11</v>
      </c>
      <c r="AA97" t="s">
        <v>87</v>
      </c>
      <c r="AB97" t="s">
        <v>56</v>
      </c>
      <c r="AC97" t="s">
        <v>56</v>
      </c>
      <c r="AD97">
        <v>0</v>
      </c>
      <c r="AE97" t="s">
        <v>66</v>
      </c>
      <c r="AF97" t="s">
        <v>56</v>
      </c>
      <c r="AG97" t="s">
        <v>56</v>
      </c>
      <c r="AH97" t="s">
        <v>56</v>
      </c>
      <c r="AI97" t="s">
        <v>56</v>
      </c>
      <c r="AJ97" t="s">
        <v>171</v>
      </c>
      <c r="AK97" t="s">
        <v>172</v>
      </c>
      <c r="AL97" t="s">
        <v>56</v>
      </c>
      <c r="AM97" t="s">
        <v>56</v>
      </c>
      <c r="AN97" t="s">
        <v>56</v>
      </c>
      <c r="AO97" t="s">
        <v>56</v>
      </c>
      <c r="AP97" t="s">
        <v>56</v>
      </c>
      <c r="AQ97" t="s">
        <v>71</v>
      </c>
      <c r="AR97" t="s">
        <v>56</v>
      </c>
      <c r="AS97" t="s">
        <v>56</v>
      </c>
      <c r="AT97" t="s">
        <v>56</v>
      </c>
      <c r="AU97" t="s">
        <v>56</v>
      </c>
      <c r="AV97" t="s">
        <v>56</v>
      </c>
      <c r="AW97" t="s">
        <v>56</v>
      </c>
      <c r="AX97">
        <v>4</v>
      </c>
    </row>
    <row r="98" spans="1:50" x14ac:dyDescent="0.25">
      <c r="A98" t="str">
        <f>"20200128181017084996"</f>
        <v>20200128181017084996</v>
      </c>
      <c r="B98" t="s">
        <v>151</v>
      </c>
      <c r="C98" t="s">
        <v>151</v>
      </c>
      <c r="D98" t="s">
        <v>837</v>
      </c>
      <c r="E98" t="str">
        <f>"760200165701"</f>
        <v>760200165701</v>
      </c>
      <c r="F98" t="s">
        <v>52</v>
      </c>
      <c r="G98">
        <v>891900438</v>
      </c>
      <c r="H98">
        <v>76020</v>
      </c>
      <c r="I98" t="s">
        <v>447</v>
      </c>
      <c r="J98">
        <v>2004120</v>
      </c>
      <c r="K98" t="s">
        <v>54</v>
      </c>
      <c r="L98">
        <v>10123191</v>
      </c>
      <c r="M98" t="s">
        <v>291</v>
      </c>
      <c r="N98" t="s">
        <v>838</v>
      </c>
      <c r="O98" t="s">
        <v>839</v>
      </c>
      <c r="P98" t="s">
        <v>425</v>
      </c>
      <c r="Q98">
        <v>762392</v>
      </c>
      <c r="R98" t="s">
        <v>54</v>
      </c>
      <c r="S98">
        <v>29132705</v>
      </c>
      <c r="T98" t="s">
        <v>117</v>
      </c>
      <c r="U98" t="s">
        <v>840</v>
      </c>
      <c r="V98" t="s">
        <v>841</v>
      </c>
      <c r="W98" t="s">
        <v>263</v>
      </c>
      <c r="X98" t="s">
        <v>453</v>
      </c>
      <c r="Y98" t="s">
        <v>64</v>
      </c>
      <c r="Z98">
        <v>11</v>
      </c>
      <c r="AA98" t="s">
        <v>87</v>
      </c>
      <c r="AB98" t="s">
        <v>56</v>
      </c>
      <c r="AC98" t="s">
        <v>56</v>
      </c>
      <c r="AD98">
        <v>0</v>
      </c>
      <c r="AE98" t="s">
        <v>66</v>
      </c>
      <c r="AF98" t="s">
        <v>56</v>
      </c>
      <c r="AG98" t="s">
        <v>56</v>
      </c>
      <c r="AH98" t="s">
        <v>56</v>
      </c>
      <c r="AI98" t="s">
        <v>56</v>
      </c>
      <c r="AJ98" t="s">
        <v>255</v>
      </c>
      <c r="AK98" t="s">
        <v>256</v>
      </c>
      <c r="AL98" t="s">
        <v>56</v>
      </c>
      <c r="AM98" t="s">
        <v>56</v>
      </c>
      <c r="AN98" t="s">
        <v>56</v>
      </c>
      <c r="AO98" t="s">
        <v>56</v>
      </c>
      <c r="AP98" t="s">
        <v>56</v>
      </c>
      <c r="AQ98" t="s">
        <v>71</v>
      </c>
      <c r="AR98" t="s">
        <v>56</v>
      </c>
      <c r="AS98" t="s">
        <v>56</v>
      </c>
      <c r="AT98" t="s">
        <v>56</v>
      </c>
      <c r="AU98" t="s">
        <v>56</v>
      </c>
      <c r="AV98" t="s">
        <v>56</v>
      </c>
      <c r="AW98" t="s">
        <v>56</v>
      </c>
      <c r="AX98">
        <v>4</v>
      </c>
    </row>
    <row r="99" spans="1:50" x14ac:dyDescent="0.25">
      <c r="A99" t="str">
        <f>"20200201115017186112"</f>
        <v>20200201115017186112</v>
      </c>
      <c r="B99" t="s">
        <v>50</v>
      </c>
      <c r="C99" t="s">
        <v>50</v>
      </c>
      <c r="D99" t="s">
        <v>842</v>
      </c>
      <c r="E99" t="str">
        <f>"200010090101"</f>
        <v>200010090101</v>
      </c>
      <c r="F99" t="s">
        <v>52</v>
      </c>
      <c r="G99">
        <v>900016598</v>
      </c>
      <c r="H99">
        <v>20001</v>
      </c>
      <c r="I99" t="s">
        <v>843</v>
      </c>
      <c r="J99">
        <v>5898632</v>
      </c>
      <c r="K99" t="s">
        <v>54</v>
      </c>
      <c r="L99">
        <v>77191041</v>
      </c>
      <c r="M99" t="s">
        <v>844</v>
      </c>
      <c r="N99" t="s">
        <v>76</v>
      </c>
      <c r="O99" t="s">
        <v>146</v>
      </c>
      <c r="P99" t="s">
        <v>845</v>
      </c>
      <c r="Q99">
        <v>77191041</v>
      </c>
      <c r="R99" t="s">
        <v>54</v>
      </c>
      <c r="S99">
        <v>63272962</v>
      </c>
      <c r="T99" t="s">
        <v>846</v>
      </c>
      <c r="U99" t="s">
        <v>62</v>
      </c>
      <c r="V99" t="s">
        <v>847</v>
      </c>
      <c r="W99" t="s">
        <v>848</v>
      </c>
      <c r="X99" t="s">
        <v>849</v>
      </c>
      <c r="Y99" t="s">
        <v>86</v>
      </c>
      <c r="Z99">
        <v>12</v>
      </c>
      <c r="AA99" t="s">
        <v>65</v>
      </c>
      <c r="AB99" t="s">
        <v>56</v>
      </c>
      <c r="AC99" t="s">
        <v>56</v>
      </c>
      <c r="AD99">
        <v>0</v>
      </c>
      <c r="AE99" t="s">
        <v>66</v>
      </c>
      <c r="AF99" t="s">
        <v>56</v>
      </c>
      <c r="AG99" t="s">
        <v>56</v>
      </c>
      <c r="AH99" t="s">
        <v>56</v>
      </c>
      <c r="AI99" t="s">
        <v>56</v>
      </c>
      <c r="AJ99" t="s">
        <v>850</v>
      </c>
      <c r="AK99" t="s">
        <v>851</v>
      </c>
      <c r="AL99" t="s">
        <v>56</v>
      </c>
      <c r="AM99" t="s">
        <v>56</v>
      </c>
      <c r="AN99" t="s">
        <v>56</v>
      </c>
      <c r="AO99" t="s">
        <v>56</v>
      </c>
      <c r="AP99" t="s">
        <v>56</v>
      </c>
      <c r="AQ99" t="s">
        <v>71</v>
      </c>
      <c r="AR99" t="s">
        <v>56</v>
      </c>
      <c r="AS99" t="s">
        <v>56</v>
      </c>
      <c r="AT99" t="s">
        <v>56</v>
      </c>
      <c r="AU99" t="s">
        <v>56</v>
      </c>
      <c r="AV99" t="s">
        <v>56</v>
      </c>
      <c r="AW99" t="s">
        <v>56</v>
      </c>
      <c r="AX99">
        <v>4</v>
      </c>
    </row>
    <row r="100" spans="1:50" x14ac:dyDescent="0.25">
      <c r="A100" t="str">
        <f>"20200127137017049892"</f>
        <v>20200127137017049892</v>
      </c>
      <c r="B100" t="s">
        <v>190</v>
      </c>
      <c r="C100" t="s">
        <v>190</v>
      </c>
      <c r="D100" t="s">
        <v>852</v>
      </c>
      <c r="E100" t="str">
        <f>"270010032201"</f>
        <v>270010032201</v>
      </c>
      <c r="F100" t="s">
        <v>52</v>
      </c>
      <c r="G100">
        <v>900189713</v>
      </c>
      <c r="H100">
        <v>27001</v>
      </c>
      <c r="I100" t="s">
        <v>853</v>
      </c>
      <c r="J100">
        <v>6707530</v>
      </c>
      <c r="K100" t="s">
        <v>54</v>
      </c>
      <c r="L100">
        <v>80019443</v>
      </c>
      <c r="M100" t="s">
        <v>854</v>
      </c>
      <c r="N100" t="s">
        <v>86</v>
      </c>
      <c r="O100" t="s">
        <v>855</v>
      </c>
      <c r="P100" t="s">
        <v>856</v>
      </c>
      <c r="Q100">
        <v>271374</v>
      </c>
      <c r="R100" t="s">
        <v>54</v>
      </c>
      <c r="S100">
        <v>26378032</v>
      </c>
      <c r="T100" t="s">
        <v>857</v>
      </c>
      <c r="U100" t="s">
        <v>62</v>
      </c>
      <c r="V100" t="s">
        <v>858</v>
      </c>
      <c r="W100" t="s">
        <v>859</v>
      </c>
      <c r="X100" t="s">
        <v>860</v>
      </c>
      <c r="Y100" t="s">
        <v>717</v>
      </c>
      <c r="Z100">
        <v>12</v>
      </c>
      <c r="AA100" t="s">
        <v>65</v>
      </c>
      <c r="AB100" t="s">
        <v>56</v>
      </c>
      <c r="AC100" t="s">
        <v>56</v>
      </c>
      <c r="AD100">
        <v>0</v>
      </c>
      <c r="AE100" t="s">
        <v>66</v>
      </c>
      <c r="AF100" t="s">
        <v>56</v>
      </c>
      <c r="AG100" t="s">
        <v>56</v>
      </c>
      <c r="AH100" t="s">
        <v>56</v>
      </c>
      <c r="AI100" t="s">
        <v>56</v>
      </c>
      <c r="AJ100" t="s">
        <v>861</v>
      </c>
      <c r="AK100" t="s">
        <v>862</v>
      </c>
      <c r="AL100" t="s">
        <v>56</v>
      </c>
      <c r="AM100" t="s">
        <v>56</v>
      </c>
      <c r="AN100" t="s">
        <v>56</v>
      </c>
      <c r="AO100" t="s">
        <v>56</v>
      </c>
      <c r="AP100" t="s">
        <v>56</v>
      </c>
      <c r="AQ100" t="s">
        <v>71</v>
      </c>
      <c r="AR100" t="s">
        <v>56</v>
      </c>
      <c r="AS100" t="s">
        <v>56</v>
      </c>
      <c r="AT100" t="s">
        <v>56</v>
      </c>
      <c r="AU100" t="s">
        <v>56</v>
      </c>
      <c r="AV100" t="s">
        <v>56</v>
      </c>
      <c r="AW100" t="s">
        <v>56</v>
      </c>
      <c r="AX100">
        <v>4</v>
      </c>
    </row>
    <row r="101" spans="1:50" x14ac:dyDescent="0.25">
      <c r="A101" t="str">
        <f>"20200127172017044154"</f>
        <v>20200127172017044154</v>
      </c>
      <c r="B101" t="s">
        <v>190</v>
      </c>
      <c r="C101" t="s">
        <v>190</v>
      </c>
      <c r="D101" t="s">
        <v>863</v>
      </c>
      <c r="E101" t="str">
        <f>"200010029001"</f>
        <v>200010029001</v>
      </c>
      <c r="F101" t="s">
        <v>52</v>
      </c>
      <c r="G101">
        <v>800239977</v>
      </c>
      <c r="H101">
        <v>20001</v>
      </c>
      <c r="I101" t="s">
        <v>500</v>
      </c>
      <c r="J101">
        <v>5700466</v>
      </c>
      <c r="K101" t="s">
        <v>54</v>
      </c>
      <c r="L101">
        <v>79955207</v>
      </c>
      <c r="M101" t="s">
        <v>107</v>
      </c>
      <c r="N101" t="s">
        <v>501</v>
      </c>
      <c r="O101" t="s">
        <v>502</v>
      </c>
      <c r="P101" t="s">
        <v>503</v>
      </c>
      <c r="Q101" t="s">
        <v>56</v>
      </c>
      <c r="R101" t="s">
        <v>54</v>
      </c>
      <c r="S101">
        <v>1065564582</v>
      </c>
      <c r="T101" t="s">
        <v>117</v>
      </c>
      <c r="U101" t="s">
        <v>448</v>
      </c>
      <c r="V101" t="s">
        <v>864</v>
      </c>
      <c r="W101" t="s">
        <v>865</v>
      </c>
      <c r="X101" t="s">
        <v>462</v>
      </c>
      <c r="Y101" t="s">
        <v>86</v>
      </c>
      <c r="Z101">
        <v>12</v>
      </c>
      <c r="AA101" t="s">
        <v>65</v>
      </c>
      <c r="AB101" t="s">
        <v>56</v>
      </c>
      <c r="AC101" t="s">
        <v>56</v>
      </c>
      <c r="AD101">
        <v>0</v>
      </c>
      <c r="AE101" t="s">
        <v>66</v>
      </c>
      <c r="AF101" t="s">
        <v>56</v>
      </c>
      <c r="AG101" t="s">
        <v>56</v>
      </c>
      <c r="AH101" t="s">
        <v>56</v>
      </c>
      <c r="AI101" t="s">
        <v>56</v>
      </c>
      <c r="AJ101" t="s">
        <v>866</v>
      </c>
      <c r="AK101" t="s">
        <v>867</v>
      </c>
      <c r="AL101" t="s">
        <v>509</v>
      </c>
      <c r="AM101" t="s">
        <v>510</v>
      </c>
      <c r="AN101" t="s">
        <v>56</v>
      </c>
      <c r="AO101" t="s">
        <v>56</v>
      </c>
      <c r="AP101" t="s">
        <v>56</v>
      </c>
      <c r="AQ101" t="s">
        <v>71</v>
      </c>
      <c r="AR101" t="s">
        <v>56</v>
      </c>
      <c r="AS101" t="s">
        <v>56</v>
      </c>
      <c r="AT101" t="s">
        <v>56</v>
      </c>
      <c r="AU101" t="s">
        <v>56</v>
      </c>
      <c r="AV101" t="s">
        <v>56</v>
      </c>
      <c r="AW101" t="s">
        <v>56</v>
      </c>
      <c r="AX101">
        <v>4</v>
      </c>
    </row>
    <row r="102" spans="1:50" x14ac:dyDescent="0.25">
      <c r="A102" t="str">
        <f>"20200130110017142279"</f>
        <v>20200130110017142279</v>
      </c>
      <c r="B102" t="s">
        <v>124</v>
      </c>
      <c r="C102" t="s">
        <v>124</v>
      </c>
      <c r="D102" t="s">
        <v>868</v>
      </c>
      <c r="E102" t="str">
        <f>"700010096901"</f>
        <v>700010096901</v>
      </c>
      <c r="F102" t="s">
        <v>52</v>
      </c>
      <c r="G102">
        <v>900118990</v>
      </c>
      <c r="H102">
        <v>70001</v>
      </c>
      <c r="I102" t="s">
        <v>869</v>
      </c>
      <c r="J102">
        <v>2761605</v>
      </c>
      <c r="K102" t="s">
        <v>54</v>
      </c>
      <c r="L102">
        <v>15041623</v>
      </c>
      <c r="M102" t="s">
        <v>870</v>
      </c>
      <c r="N102" t="s">
        <v>56</v>
      </c>
      <c r="O102" t="s">
        <v>129</v>
      </c>
      <c r="P102" t="s">
        <v>130</v>
      </c>
      <c r="Q102">
        <v>294</v>
      </c>
      <c r="R102" t="s">
        <v>54</v>
      </c>
      <c r="S102">
        <v>22835223</v>
      </c>
      <c r="T102" t="s">
        <v>871</v>
      </c>
      <c r="U102" t="s">
        <v>62</v>
      </c>
      <c r="V102" t="s">
        <v>872</v>
      </c>
      <c r="W102" t="s">
        <v>873</v>
      </c>
      <c r="X102" t="s">
        <v>874</v>
      </c>
      <c r="Y102" t="s">
        <v>330</v>
      </c>
      <c r="Z102">
        <v>12</v>
      </c>
      <c r="AA102" t="s">
        <v>65</v>
      </c>
      <c r="AB102" t="s">
        <v>56</v>
      </c>
      <c r="AC102" t="s">
        <v>56</v>
      </c>
      <c r="AD102">
        <v>0</v>
      </c>
      <c r="AE102" t="s">
        <v>66</v>
      </c>
      <c r="AF102" t="s">
        <v>56</v>
      </c>
      <c r="AG102" t="s">
        <v>56</v>
      </c>
      <c r="AH102" t="s">
        <v>56</v>
      </c>
      <c r="AI102" t="s">
        <v>56</v>
      </c>
      <c r="AJ102" t="s">
        <v>875</v>
      </c>
      <c r="AK102" t="s">
        <v>876</v>
      </c>
      <c r="AL102" t="s">
        <v>56</v>
      </c>
      <c r="AM102" t="s">
        <v>56</v>
      </c>
      <c r="AN102" t="s">
        <v>56</v>
      </c>
      <c r="AO102" t="s">
        <v>56</v>
      </c>
      <c r="AP102" t="s">
        <v>56</v>
      </c>
      <c r="AQ102" t="s">
        <v>71</v>
      </c>
      <c r="AR102" t="s">
        <v>56</v>
      </c>
      <c r="AS102" t="s">
        <v>56</v>
      </c>
      <c r="AT102" t="s">
        <v>56</v>
      </c>
      <c r="AU102" t="s">
        <v>56</v>
      </c>
      <c r="AV102" t="s">
        <v>56</v>
      </c>
      <c r="AW102" t="s">
        <v>56</v>
      </c>
      <c r="AX102">
        <v>4</v>
      </c>
    </row>
    <row r="103" spans="1:50" x14ac:dyDescent="0.25">
      <c r="A103" t="str">
        <f>"20200129134017118435"</f>
        <v>20200129134017118435</v>
      </c>
      <c r="B103" t="s">
        <v>72</v>
      </c>
      <c r="C103" t="s">
        <v>72</v>
      </c>
      <c r="D103" t="s">
        <v>877</v>
      </c>
      <c r="E103" t="str">
        <f>"761471036701"</f>
        <v>761471036701</v>
      </c>
      <c r="F103" t="s">
        <v>52</v>
      </c>
      <c r="G103">
        <v>900235279</v>
      </c>
      <c r="H103">
        <v>76147</v>
      </c>
      <c r="I103" t="s">
        <v>878</v>
      </c>
      <c r="J103" t="s">
        <v>879</v>
      </c>
      <c r="K103" t="s">
        <v>54</v>
      </c>
      <c r="L103">
        <v>7177353</v>
      </c>
      <c r="M103" t="s">
        <v>485</v>
      </c>
      <c r="N103" t="s">
        <v>56</v>
      </c>
      <c r="O103" t="s">
        <v>880</v>
      </c>
      <c r="P103" t="s">
        <v>880</v>
      </c>
      <c r="Q103" t="s">
        <v>881</v>
      </c>
      <c r="R103" t="s">
        <v>54</v>
      </c>
      <c r="S103">
        <v>31413537</v>
      </c>
      <c r="T103" t="s">
        <v>882</v>
      </c>
      <c r="U103" t="s">
        <v>62</v>
      </c>
      <c r="V103" t="s">
        <v>883</v>
      </c>
      <c r="W103" t="s">
        <v>655</v>
      </c>
      <c r="X103" t="s">
        <v>277</v>
      </c>
      <c r="Y103" t="s">
        <v>64</v>
      </c>
      <c r="Z103">
        <v>12</v>
      </c>
      <c r="AA103" t="s">
        <v>65</v>
      </c>
      <c r="AB103" t="s">
        <v>56</v>
      </c>
      <c r="AC103" t="s">
        <v>56</v>
      </c>
      <c r="AD103">
        <v>0</v>
      </c>
      <c r="AE103" t="s">
        <v>66</v>
      </c>
      <c r="AF103" t="s">
        <v>56</v>
      </c>
      <c r="AG103" t="s">
        <v>56</v>
      </c>
      <c r="AH103" t="s">
        <v>56</v>
      </c>
      <c r="AI103" t="s">
        <v>56</v>
      </c>
      <c r="AJ103" t="s">
        <v>507</v>
      </c>
      <c r="AK103" t="s">
        <v>508</v>
      </c>
      <c r="AL103" t="s">
        <v>56</v>
      </c>
      <c r="AM103" t="s">
        <v>56</v>
      </c>
      <c r="AN103" t="s">
        <v>56</v>
      </c>
      <c r="AO103" t="s">
        <v>56</v>
      </c>
      <c r="AP103" t="s">
        <v>56</v>
      </c>
      <c r="AQ103" t="s">
        <v>71</v>
      </c>
      <c r="AR103" t="s">
        <v>56</v>
      </c>
      <c r="AS103" t="s">
        <v>56</v>
      </c>
      <c r="AT103" t="s">
        <v>56</v>
      </c>
      <c r="AU103" t="s">
        <v>56</v>
      </c>
      <c r="AV103" t="s">
        <v>56</v>
      </c>
      <c r="AW103" t="s">
        <v>56</v>
      </c>
      <c r="AX103">
        <v>4</v>
      </c>
    </row>
    <row r="104" spans="1:50" x14ac:dyDescent="0.25">
      <c r="A104" t="str">
        <f>"20200130161017136236"</f>
        <v>20200130161017136236</v>
      </c>
      <c r="B104" t="s">
        <v>124</v>
      </c>
      <c r="C104" t="s">
        <v>124</v>
      </c>
      <c r="D104" t="s">
        <v>884</v>
      </c>
      <c r="E104" t="str">
        <f>"700010111401"</f>
        <v>700010111401</v>
      </c>
      <c r="F104" t="s">
        <v>52</v>
      </c>
      <c r="G104">
        <v>900217343</v>
      </c>
      <c r="H104">
        <v>70001</v>
      </c>
      <c r="I104" t="s">
        <v>885</v>
      </c>
      <c r="J104">
        <v>2714280</v>
      </c>
      <c r="K104" t="s">
        <v>54</v>
      </c>
      <c r="L104">
        <v>55231988</v>
      </c>
      <c r="M104" t="s">
        <v>886</v>
      </c>
      <c r="N104" t="s">
        <v>56</v>
      </c>
      <c r="O104" t="s">
        <v>193</v>
      </c>
      <c r="P104" t="s">
        <v>805</v>
      </c>
      <c r="Q104">
        <v>161322009</v>
      </c>
      <c r="R104" t="s">
        <v>54</v>
      </c>
      <c r="S104">
        <v>64516460</v>
      </c>
      <c r="T104" t="s">
        <v>887</v>
      </c>
      <c r="U104" t="s">
        <v>62</v>
      </c>
      <c r="V104" t="s">
        <v>688</v>
      </c>
      <c r="W104" t="s">
        <v>888</v>
      </c>
      <c r="X104" t="s">
        <v>889</v>
      </c>
      <c r="Y104" t="s">
        <v>330</v>
      </c>
      <c r="Z104">
        <v>12</v>
      </c>
      <c r="AA104" t="s">
        <v>65</v>
      </c>
      <c r="AB104" t="s">
        <v>56</v>
      </c>
      <c r="AC104" t="s">
        <v>56</v>
      </c>
      <c r="AD104">
        <v>0</v>
      </c>
      <c r="AE104" t="s">
        <v>66</v>
      </c>
      <c r="AF104" t="s">
        <v>56</v>
      </c>
      <c r="AG104" t="s">
        <v>56</v>
      </c>
      <c r="AH104" t="s">
        <v>56</v>
      </c>
      <c r="AI104" t="s">
        <v>56</v>
      </c>
      <c r="AJ104" t="s">
        <v>545</v>
      </c>
      <c r="AK104" t="s">
        <v>546</v>
      </c>
      <c r="AL104" t="s">
        <v>56</v>
      </c>
      <c r="AM104" t="s">
        <v>56</v>
      </c>
      <c r="AN104" t="s">
        <v>56</v>
      </c>
      <c r="AO104" t="s">
        <v>56</v>
      </c>
      <c r="AP104" t="s">
        <v>56</v>
      </c>
      <c r="AQ104" t="s">
        <v>71</v>
      </c>
      <c r="AR104" t="s">
        <v>56</v>
      </c>
      <c r="AS104" t="s">
        <v>56</v>
      </c>
      <c r="AT104" t="s">
        <v>56</v>
      </c>
      <c r="AU104" t="s">
        <v>56</v>
      </c>
      <c r="AV104" t="s">
        <v>56</v>
      </c>
      <c r="AW104" t="s">
        <v>56</v>
      </c>
      <c r="AX104">
        <v>4</v>
      </c>
    </row>
    <row r="105" spans="1:50" x14ac:dyDescent="0.25">
      <c r="A105" t="str">
        <f>"20200127145017052514"</f>
        <v>20200127145017052514</v>
      </c>
      <c r="B105" t="s">
        <v>190</v>
      </c>
      <c r="C105" t="s">
        <v>190</v>
      </c>
      <c r="D105" t="s">
        <v>890</v>
      </c>
      <c r="E105" t="str">
        <f>"087580001301"</f>
        <v>087580001301</v>
      </c>
      <c r="F105" t="s">
        <v>52</v>
      </c>
      <c r="G105">
        <v>890112801</v>
      </c>
      <c r="H105" t="s">
        <v>74</v>
      </c>
      <c r="I105" t="s">
        <v>75</v>
      </c>
      <c r="J105">
        <v>3715562</v>
      </c>
      <c r="K105" t="s">
        <v>54</v>
      </c>
      <c r="L105">
        <v>73086420</v>
      </c>
      <c r="M105" t="s">
        <v>891</v>
      </c>
      <c r="N105" t="s">
        <v>424</v>
      </c>
      <c r="O105" t="s">
        <v>892</v>
      </c>
      <c r="P105" t="s">
        <v>893</v>
      </c>
      <c r="Q105">
        <v>1774084</v>
      </c>
      <c r="R105" t="s">
        <v>54</v>
      </c>
      <c r="S105">
        <v>72246389</v>
      </c>
      <c r="T105" t="s">
        <v>76</v>
      </c>
      <c r="U105" t="s">
        <v>154</v>
      </c>
      <c r="V105" t="s">
        <v>324</v>
      </c>
      <c r="W105" t="s">
        <v>783</v>
      </c>
      <c r="X105" t="s">
        <v>120</v>
      </c>
      <c r="Y105" t="s">
        <v>121</v>
      </c>
      <c r="Z105">
        <v>11</v>
      </c>
      <c r="AA105" t="s">
        <v>87</v>
      </c>
      <c r="AB105" t="s">
        <v>56</v>
      </c>
      <c r="AC105" t="s">
        <v>56</v>
      </c>
      <c r="AD105">
        <v>0</v>
      </c>
      <c r="AE105" t="s">
        <v>66</v>
      </c>
      <c r="AF105" t="s">
        <v>56</v>
      </c>
      <c r="AG105" t="s">
        <v>56</v>
      </c>
      <c r="AH105" t="s">
        <v>56</v>
      </c>
      <c r="AI105" t="s">
        <v>56</v>
      </c>
      <c r="AJ105" t="s">
        <v>894</v>
      </c>
      <c r="AK105" t="s">
        <v>895</v>
      </c>
      <c r="AL105" t="s">
        <v>56</v>
      </c>
      <c r="AM105" t="s">
        <v>56</v>
      </c>
      <c r="AN105" t="s">
        <v>56</v>
      </c>
      <c r="AO105" t="s">
        <v>56</v>
      </c>
      <c r="AP105" t="s">
        <v>56</v>
      </c>
      <c r="AQ105" t="s">
        <v>71</v>
      </c>
      <c r="AR105" t="s">
        <v>56</v>
      </c>
      <c r="AS105" t="s">
        <v>56</v>
      </c>
      <c r="AT105" t="s">
        <v>56</v>
      </c>
      <c r="AU105" t="s">
        <v>56</v>
      </c>
      <c r="AV105" t="s">
        <v>56</v>
      </c>
      <c r="AW105" t="s">
        <v>56</v>
      </c>
      <c r="AX105">
        <v>4</v>
      </c>
    </row>
    <row r="106" spans="1:50" x14ac:dyDescent="0.25">
      <c r="A106" t="str">
        <f>"20200128173017072419"</f>
        <v>20200128173017072419</v>
      </c>
      <c r="B106" t="s">
        <v>151</v>
      </c>
      <c r="C106" t="s">
        <v>151</v>
      </c>
      <c r="D106" t="s">
        <v>896</v>
      </c>
      <c r="E106" t="str">
        <f>"130010178101"</f>
        <v>130010178101</v>
      </c>
      <c r="F106" t="s">
        <v>52</v>
      </c>
      <c r="G106">
        <v>900042103</v>
      </c>
      <c r="H106">
        <v>13001</v>
      </c>
      <c r="I106" t="s">
        <v>92</v>
      </c>
      <c r="J106">
        <v>6726017</v>
      </c>
      <c r="K106" t="s">
        <v>54</v>
      </c>
      <c r="L106">
        <v>7920060</v>
      </c>
      <c r="M106" t="s">
        <v>897</v>
      </c>
      <c r="N106" t="s">
        <v>291</v>
      </c>
      <c r="O106" t="s">
        <v>260</v>
      </c>
      <c r="P106" t="s">
        <v>898</v>
      </c>
      <c r="Q106">
        <v>23104505</v>
      </c>
      <c r="R106" t="s">
        <v>54</v>
      </c>
      <c r="S106">
        <v>85380090</v>
      </c>
      <c r="T106" t="s">
        <v>164</v>
      </c>
      <c r="U106" t="s">
        <v>791</v>
      </c>
      <c r="V106" t="s">
        <v>899</v>
      </c>
      <c r="W106" t="s">
        <v>317</v>
      </c>
      <c r="X106" t="s">
        <v>427</v>
      </c>
      <c r="Y106" t="s">
        <v>101</v>
      </c>
      <c r="Z106">
        <v>12</v>
      </c>
      <c r="AA106" t="s">
        <v>65</v>
      </c>
      <c r="AB106" t="s">
        <v>56</v>
      </c>
      <c r="AC106" t="s">
        <v>56</v>
      </c>
      <c r="AD106">
        <v>0</v>
      </c>
      <c r="AE106" t="s">
        <v>66</v>
      </c>
      <c r="AF106" t="s">
        <v>56</v>
      </c>
      <c r="AG106" t="s">
        <v>56</v>
      </c>
      <c r="AH106" t="s">
        <v>56</v>
      </c>
      <c r="AI106" t="s">
        <v>56</v>
      </c>
      <c r="AJ106" t="s">
        <v>900</v>
      </c>
      <c r="AK106" t="s">
        <v>901</v>
      </c>
      <c r="AL106" t="s">
        <v>902</v>
      </c>
      <c r="AM106" t="s">
        <v>903</v>
      </c>
      <c r="AN106" t="s">
        <v>56</v>
      </c>
      <c r="AO106" t="s">
        <v>56</v>
      </c>
      <c r="AP106" t="s">
        <v>56</v>
      </c>
      <c r="AQ106" t="s">
        <v>71</v>
      </c>
      <c r="AR106" t="s">
        <v>56</v>
      </c>
      <c r="AS106" t="s">
        <v>56</v>
      </c>
      <c r="AT106" t="s">
        <v>56</v>
      </c>
      <c r="AU106" t="s">
        <v>56</v>
      </c>
      <c r="AV106" t="s">
        <v>56</v>
      </c>
      <c r="AW106" t="s">
        <v>56</v>
      </c>
      <c r="AX106">
        <v>4</v>
      </c>
    </row>
    <row r="107" spans="1:50" x14ac:dyDescent="0.25">
      <c r="A107" t="str">
        <f>"20200131121017163746"</f>
        <v>20200131121017163746</v>
      </c>
      <c r="B107" t="s">
        <v>110</v>
      </c>
      <c r="C107" t="s">
        <v>110</v>
      </c>
      <c r="D107" t="s">
        <v>904</v>
      </c>
      <c r="E107" t="str">
        <f>"200010043101"</f>
        <v>200010043101</v>
      </c>
      <c r="F107" t="s">
        <v>52</v>
      </c>
      <c r="G107">
        <v>892399994</v>
      </c>
      <c r="H107">
        <v>20001</v>
      </c>
      <c r="I107" t="s">
        <v>905</v>
      </c>
      <c r="J107" t="s">
        <v>906</v>
      </c>
      <c r="K107" t="s">
        <v>54</v>
      </c>
      <c r="L107">
        <v>77014401</v>
      </c>
      <c r="M107" t="s">
        <v>907</v>
      </c>
      <c r="N107" t="s">
        <v>424</v>
      </c>
      <c r="O107" t="s">
        <v>908</v>
      </c>
      <c r="P107" t="s">
        <v>909</v>
      </c>
      <c r="Q107">
        <v>18452</v>
      </c>
      <c r="R107" t="s">
        <v>54</v>
      </c>
      <c r="S107">
        <v>26736376</v>
      </c>
      <c r="T107" t="s">
        <v>910</v>
      </c>
      <c r="U107" t="s">
        <v>117</v>
      </c>
      <c r="V107" t="s">
        <v>911</v>
      </c>
      <c r="W107" t="s">
        <v>298</v>
      </c>
      <c r="X107" t="s">
        <v>462</v>
      </c>
      <c r="Y107" t="s">
        <v>86</v>
      </c>
      <c r="Z107">
        <v>12</v>
      </c>
      <c r="AA107" t="s">
        <v>65</v>
      </c>
      <c r="AB107" t="s">
        <v>56</v>
      </c>
      <c r="AC107" t="s">
        <v>56</v>
      </c>
      <c r="AD107">
        <v>0</v>
      </c>
      <c r="AE107" t="s">
        <v>66</v>
      </c>
      <c r="AF107" t="s">
        <v>56</v>
      </c>
      <c r="AG107" t="s">
        <v>56</v>
      </c>
      <c r="AH107" t="s">
        <v>56</v>
      </c>
      <c r="AI107" t="s">
        <v>56</v>
      </c>
      <c r="AJ107" t="s">
        <v>454</v>
      </c>
      <c r="AK107" t="s">
        <v>455</v>
      </c>
      <c r="AL107" t="s">
        <v>56</v>
      </c>
      <c r="AM107" t="s">
        <v>56</v>
      </c>
      <c r="AN107" t="s">
        <v>56</v>
      </c>
      <c r="AO107" t="s">
        <v>56</v>
      </c>
      <c r="AP107" t="s">
        <v>56</v>
      </c>
      <c r="AQ107" t="s">
        <v>71</v>
      </c>
      <c r="AR107" t="s">
        <v>56</v>
      </c>
      <c r="AS107" t="s">
        <v>56</v>
      </c>
      <c r="AT107" t="s">
        <v>56</v>
      </c>
      <c r="AU107" t="s">
        <v>56</v>
      </c>
      <c r="AV107" t="s">
        <v>56</v>
      </c>
      <c r="AW107" t="s">
        <v>56</v>
      </c>
      <c r="AX107">
        <v>4</v>
      </c>
    </row>
    <row r="108" spans="1:50" x14ac:dyDescent="0.25">
      <c r="A108" t="str">
        <f>"20200131176017163921"</f>
        <v>20200131176017163921</v>
      </c>
      <c r="B108" t="s">
        <v>110</v>
      </c>
      <c r="C108" t="s">
        <v>110</v>
      </c>
      <c r="D108" t="s">
        <v>912</v>
      </c>
      <c r="E108" t="str">
        <f>"200010043101"</f>
        <v>200010043101</v>
      </c>
      <c r="F108" t="s">
        <v>52</v>
      </c>
      <c r="G108">
        <v>892399994</v>
      </c>
      <c r="H108">
        <v>20001</v>
      </c>
      <c r="I108" t="s">
        <v>905</v>
      </c>
      <c r="J108" t="s">
        <v>906</v>
      </c>
      <c r="K108" t="s">
        <v>54</v>
      </c>
      <c r="L108">
        <v>77014401</v>
      </c>
      <c r="M108" t="s">
        <v>907</v>
      </c>
      <c r="N108" t="s">
        <v>424</v>
      </c>
      <c r="O108" t="s">
        <v>908</v>
      </c>
      <c r="P108" t="s">
        <v>909</v>
      </c>
      <c r="Q108">
        <v>18452</v>
      </c>
      <c r="R108" t="s">
        <v>54</v>
      </c>
      <c r="S108">
        <v>26736376</v>
      </c>
      <c r="T108" t="s">
        <v>910</v>
      </c>
      <c r="U108" t="s">
        <v>117</v>
      </c>
      <c r="V108" t="s">
        <v>911</v>
      </c>
      <c r="W108" t="s">
        <v>298</v>
      </c>
      <c r="X108" t="s">
        <v>462</v>
      </c>
      <c r="Y108" t="s">
        <v>86</v>
      </c>
      <c r="Z108">
        <v>12</v>
      </c>
      <c r="AA108" t="s">
        <v>65</v>
      </c>
      <c r="AB108" t="s">
        <v>56</v>
      </c>
      <c r="AC108" t="s">
        <v>56</v>
      </c>
      <c r="AD108">
        <v>0</v>
      </c>
      <c r="AE108" t="s">
        <v>66</v>
      </c>
      <c r="AF108" t="s">
        <v>56</v>
      </c>
      <c r="AG108" t="s">
        <v>56</v>
      </c>
      <c r="AH108" t="s">
        <v>56</v>
      </c>
      <c r="AI108" t="s">
        <v>56</v>
      </c>
      <c r="AJ108" t="s">
        <v>913</v>
      </c>
      <c r="AK108" t="s">
        <v>914</v>
      </c>
      <c r="AL108" t="s">
        <v>56</v>
      </c>
      <c r="AM108" t="s">
        <v>56</v>
      </c>
      <c r="AN108" t="s">
        <v>56</v>
      </c>
      <c r="AO108" t="s">
        <v>56</v>
      </c>
      <c r="AP108" t="s">
        <v>56</v>
      </c>
      <c r="AQ108" t="s">
        <v>71</v>
      </c>
      <c r="AR108" t="s">
        <v>56</v>
      </c>
      <c r="AS108" t="s">
        <v>56</v>
      </c>
      <c r="AT108" t="s">
        <v>56</v>
      </c>
      <c r="AU108" t="s">
        <v>56</v>
      </c>
      <c r="AV108" t="s">
        <v>56</v>
      </c>
      <c r="AW108" t="s">
        <v>56</v>
      </c>
      <c r="AX108">
        <v>4</v>
      </c>
    </row>
    <row r="109" spans="1:50" x14ac:dyDescent="0.25">
      <c r="A109" t="str">
        <f>"20200201168017188635"</f>
        <v>20200201168017188635</v>
      </c>
      <c r="B109" t="s">
        <v>50</v>
      </c>
      <c r="C109" t="s">
        <v>50</v>
      </c>
      <c r="D109" t="s">
        <v>915</v>
      </c>
      <c r="E109" t="str">
        <f>"200010090101"</f>
        <v>200010090101</v>
      </c>
      <c r="F109" t="s">
        <v>52</v>
      </c>
      <c r="G109">
        <v>900016598</v>
      </c>
      <c r="H109">
        <v>20001</v>
      </c>
      <c r="I109" t="s">
        <v>843</v>
      </c>
      <c r="J109">
        <v>5898632</v>
      </c>
      <c r="K109" t="s">
        <v>54</v>
      </c>
      <c r="L109">
        <v>17974650</v>
      </c>
      <c r="M109" t="s">
        <v>916</v>
      </c>
      <c r="N109" t="s">
        <v>917</v>
      </c>
      <c r="O109" t="s">
        <v>918</v>
      </c>
      <c r="P109" t="s">
        <v>919</v>
      </c>
      <c r="Q109">
        <v>17974650</v>
      </c>
      <c r="R109" t="s">
        <v>54</v>
      </c>
      <c r="S109">
        <v>1050779960</v>
      </c>
      <c r="T109" t="s">
        <v>920</v>
      </c>
      <c r="U109" t="s">
        <v>921</v>
      </c>
      <c r="V109" t="s">
        <v>922</v>
      </c>
      <c r="W109" t="s">
        <v>923</v>
      </c>
      <c r="X109" t="s">
        <v>924</v>
      </c>
      <c r="Y109" t="s">
        <v>345</v>
      </c>
      <c r="Z109">
        <v>22</v>
      </c>
      <c r="AA109" t="s">
        <v>102</v>
      </c>
      <c r="AB109">
        <v>0</v>
      </c>
      <c r="AC109" t="s">
        <v>66</v>
      </c>
      <c r="AD109">
        <v>0</v>
      </c>
      <c r="AE109" t="s">
        <v>66</v>
      </c>
      <c r="AF109" t="s">
        <v>56</v>
      </c>
      <c r="AG109" t="s">
        <v>56</v>
      </c>
      <c r="AH109" t="s">
        <v>56</v>
      </c>
      <c r="AI109" t="s">
        <v>56</v>
      </c>
      <c r="AJ109" t="s">
        <v>925</v>
      </c>
      <c r="AK109" t="s">
        <v>926</v>
      </c>
      <c r="AL109" t="s">
        <v>56</v>
      </c>
      <c r="AM109" t="s">
        <v>56</v>
      </c>
      <c r="AN109" t="s">
        <v>56</v>
      </c>
      <c r="AO109" t="s">
        <v>56</v>
      </c>
      <c r="AP109" t="s">
        <v>56</v>
      </c>
      <c r="AQ109" t="s">
        <v>71</v>
      </c>
      <c r="AR109" t="s">
        <v>56</v>
      </c>
      <c r="AS109" t="s">
        <v>56</v>
      </c>
      <c r="AT109" t="s">
        <v>56</v>
      </c>
      <c r="AU109" t="s">
        <v>56</v>
      </c>
      <c r="AV109" t="s">
        <v>56</v>
      </c>
      <c r="AW109" t="s">
        <v>56</v>
      </c>
      <c r="AX109">
        <v>4</v>
      </c>
    </row>
    <row r="110" spans="1:50" x14ac:dyDescent="0.25">
      <c r="A110" t="str">
        <f>"20200129189017120901"</f>
        <v>20200129189017120901</v>
      </c>
      <c r="B110" t="s">
        <v>72</v>
      </c>
      <c r="C110" t="s">
        <v>72</v>
      </c>
      <c r="D110" t="s">
        <v>927</v>
      </c>
      <c r="E110" t="str">
        <f>"200010162601"</f>
        <v>200010162601</v>
      </c>
      <c r="F110" t="s">
        <v>52</v>
      </c>
      <c r="G110">
        <v>900552539</v>
      </c>
      <c r="H110">
        <v>20001</v>
      </c>
      <c r="I110" t="s">
        <v>140</v>
      </c>
      <c r="J110">
        <v>3003009498</v>
      </c>
      <c r="K110" t="s">
        <v>54</v>
      </c>
      <c r="L110">
        <v>1129572448</v>
      </c>
      <c r="M110" t="s">
        <v>141</v>
      </c>
      <c r="N110" t="s">
        <v>142</v>
      </c>
      <c r="O110" t="s">
        <v>143</v>
      </c>
      <c r="P110" t="s">
        <v>144</v>
      </c>
      <c r="Q110">
        <v>86169</v>
      </c>
      <c r="R110" t="s">
        <v>237</v>
      </c>
      <c r="S110">
        <v>1064707126</v>
      </c>
      <c r="T110" t="s">
        <v>563</v>
      </c>
      <c r="U110" t="s">
        <v>281</v>
      </c>
      <c r="V110" t="s">
        <v>928</v>
      </c>
      <c r="W110" t="s">
        <v>929</v>
      </c>
      <c r="X110" t="s">
        <v>462</v>
      </c>
      <c r="Y110" t="s">
        <v>86</v>
      </c>
      <c r="Z110">
        <v>12</v>
      </c>
      <c r="AA110" t="s">
        <v>65</v>
      </c>
      <c r="AB110" t="s">
        <v>56</v>
      </c>
      <c r="AC110" t="s">
        <v>56</v>
      </c>
      <c r="AD110">
        <v>0</v>
      </c>
      <c r="AE110" t="s">
        <v>66</v>
      </c>
      <c r="AF110" t="s">
        <v>56</v>
      </c>
      <c r="AG110" t="s">
        <v>56</v>
      </c>
      <c r="AH110" t="s">
        <v>56</v>
      </c>
      <c r="AI110" t="s">
        <v>56</v>
      </c>
      <c r="AJ110" t="s">
        <v>930</v>
      </c>
      <c r="AK110" t="s">
        <v>931</v>
      </c>
      <c r="AL110" t="s">
        <v>56</v>
      </c>
      <c r="AM110" t="s">
        <v>56</v>
      </c>
      <c r="AN110" t="s">
        <v>56</v>
      </c>
      <c r="AO110" t="s">
        <v>56</v>
      </c>
      <c r="AP110" t="s">
        <v>56</v>
      </c>
      <c r="AQ110" t="s">
        <v>71</v>
      </c>
      <c r="AR110" t="s">
        <v>56</v>
      </c>
      <c r="AS110" t="s">
        <v>56</v>
      </c>
      <c r="AT110" t="s">
        <v>56</v>
      </c>
      <c r="AU110" t="s">
        <v>56</v>
      </c>
      <c r="AV110" t="s">
        <v>56</v>
      </c>
      <c r="AW110" t="s">
        <v>56</v>
      </c>
      <c r="AX110">
        <v>4</v>
      </c>
    </row>
    <row r="111" spans="1:50" x14ac:dyDescent="0.25">
      <c r="A111" t="str">
        <f>"20200128196017074244"</f>
        <v>20200128196017074244</v>
      </c>
      <c r="B111" t="s">
        <v>151</v>
      </c>
      <c r="C111" t="s">
        <v>151</v>
      </c>
      <c r="D111" t="s">
        <v>932</v>
      </c>
      <c r="E111" t="str">
        <f>"080010330401"</f>
        <v>080010330401</v>
      </c>
      <c r="F111" t="s">
        <v>52</v>
      </c>
      <c r="G111">
        <v>802014564</v>
      </c>
      <c r="H111" t="s">
        <v>112</v>
      </c>
      <c r="I111" t="s">
        <v>933</v>
      </c>
      <c r="J111">
        <v>3575814</v>
      </c>
      <c r="K111" t="s">
        <v>54</v>
      </c>
      <c r="L111">
        <v>32616516</v>
      </c>
      <c r="M111" t="s">
        <v>934</v>
      </c>
      <c r="N111" t="s">
        <v>768</v>
      </c>
      <c r="O111" t="s">
        <v>935</v>
      </c>
      <c r="P111" t="s">
        <v>936</v>
      </c>
      <c r="Q111">
        <v>5069</v>
      </c>
      <c r="R111" t="s">
        <v>54</v>
      </c>
      <c r="S111">
        <v>64930664</v>
      </c>
      <c r="T111" t="s">
        <v>59</v>
      </c>
      <c r="U111" t="s">
        <v>937</v>
      </c>
      <c r="V111" t="s">
        <v>938</v>
      </c>
      <c r="W111" t="s">
        <v>939</v>
      </c>
      <c r="X111" t="s">
        <v>330</v>
      </c>
      <c r="Y111" t="s">
        <v>330</v>
      </c>
      <c r="Z111">
        <v>12</v>
      </c>
      <c r="AA111" t="s">
        <v>65</v>
      </c>
      <c r="AB111" t="s">
        <v>56</v>
      </c>
      <c r="AC111" t="s">
        <v>56</v>
      </c>
      <c r="AD111">
        <v>0</v>
      </c>
      <c r="AE111" t="s">
        <v>66</v>
      </c>
      <c r="AF111" t="s">
        <v>56</v>
      </c>
      <c r="AG111" t="s">
        <v>56</v>
      </c>
      <c r="AH111" t="s">
        <v>56</v>
      </c>
      <c r="AI111" t="s">
        <v>56</v>
      </c>
      <c r="AJ111" t="s">
        <v>940</v>
      </c>
      <c r="AK111" t="s">
        <v>941</v>
      </c>
      <c r="AL111" t="s">
        <v>942</v>
      </c>
      <c r="AM111" t="s">
        <v>943</v>
      </c>
      <c r="AN111" t="s">
        <v>56</v>
      </c>
      <c r="AO111" t="s">
        <v>56</v>
      </c>
      <c r="AP111" t="s">
        <v>56</v>
      </c>
      <c r="AQ111" t="s">
        <v>71</v>
      </c>
      <c r="AR111" t="s">
        <v>56</v>
      </c>
      <c r="AS111" t="s">
        <v>56</v>
      </c>
      <c r="AT111" t="s">
        <v>56</v>
      </c>
      <c r="AU111" t="s">
        <v>56</v>
      </c>
      <c r="AV111" t="s">
        <v>56</v>
      </c>
      <c r="AW111" t="s">
        <v>56</v>
      </c>
      <c r="AX111">
        <v>4</v>
      </c>
    </row>
    <row r="112" spans="1:50" x14ac:dyDescent="0.25">
      <c r="A112" t="str">
        <f>"20200130177017144847"</f>
        <v>20200130177017144847</v>
      </c>
      <c r="B112" t="s">
        <v>124</v>
      </c>
      <c r="C112" t="s">
        <v>124</v>
      </c>
      <c r="D112" t="s">
        <v>944</v>
      </c>
      <c r="E112" t="str">
        <f>"700010151301"</f>
        <v>700010151301</v>
      </c>
      <c r="F112" t="s">
        <v>52</v>
      </c>
      <c r="G112">
        <v>830510991</v>
      </c>
      <c r="H112">
        <v>70001</v>
      </c>
      <c r="I112" t="s">
        <v>945</v>
      </c>
      <c r="J112">
        <v>2806901</v>
      </c>
      <c r="K112" t="s">
        <v>54</v>
      </c>
      <c r="L112">
        <v>40932549</v>
      </c>
      <c r="M112" t="s">
        <v>946</v>
      </c>
      <c r="N112" t="s">
        <v>56</v>
      </c>
      <c r="O112" t="s">
        <v>947</v>
      </c>
      <c r="P112" t="s">
        <v>775</v>
      </c>
      <c r="Q112">
        <v>442551</v>
      </c>
      <c r="R112" t="s">
        <v>237</v>
      </c>
      <c r="S112">
        <v>1101382745</v>
      </c>
      <c r="T112" t="s">
        <v>948</v>
      </c>
      <c r="U112" t="s">
        <v>62</v>
      </c>
      <c r="V112" t="s">
        <v>115</v>
      </c>
      <c r="W112" t="s">
        <v>79</v>
      </c>
      <c r="X112" t="s">
        <v>949</v>
      </c>
      <c r="Y112" t="s">
        <v>330</v>
      </c>
      <c r="Z112">
        <v>22</v>
      </c>
      <c r="AA112" t="s">
        <v>102</v>
      </c>
      <c r="AB112">
        <v>0</v>
      </c>
      <c r="AC112" t="s">
        <v>66</v>
      </c>
      <c r="AD112">
        <v>0</v>
      </c>
      <c r="AE112" t="s">
        <v>66</v>
      </c>
      <c r="AF112" t="s">
        <v>56</v>
      </c>
      <c r="AG112" t="s">
        <v>56</v>
      </c>
      <c r="AH112" t="s">
        <v>56</v>
      </c>
      <c r="AI112" t="s">
        <v>56</v>
      </c>
      <c r="AJ112" t="s">
        <v>950</v>
      </c>
      <c r="AK112" t="s">
        <v>951</v>
      </c>
      <c r="AL112" t="s">
        <v>56</v>
      </c>
      <c r="AM112" t="s">
        <v>56</v>
      </c>
      <c r="AN112" t="s">
        <v>56</v>
      </c>
      <c r="AO112" t="s">
        <v>56</v>
      </c>
      <c r="AP112" t="s">
        <v>56</v>
      </c>
      <c r="AQ112" t="s">
        <v>71</v>
      </c>
      <c r="AR112" t="s">
        <v>56</v>
      </c>
      <c r="AS112" t="s">
        <v>56</v>
      </c>
      <c r="AT112" t="s">
        <v>56</v>
      </c>
      <c r="AU112" t="s">
        <v>56</v>
      </c>
      <c r="AV112" t="s">
        <v>56</v>
      </c>
      <c r="AW112" t="s">
        <v>56</v>
      </c>
      <c r="AX112">
        <v>4</v>
      </c>
    </row>
    <row r="113" spans="1:50" x14ac:dyDescent="0.25">
      <c r="A113" t="str">
        <f>"20200130196017147211"</f>
        <v>20200130196017147211</v>
      </c>
      <c r="B113" t="s">
        <v>124</v>
      </c>
      <c r="C113" t="s">
        <v>124</v>
      </c>
      <c r="D113" t="s">
        <v>952</v>
      </c>
      <c r="E113" t="str">
        <f>"087580016101"</f>
        <v>087580016101</v>
      </c>
      <c r="F113" t="s">
        <v>52</v>
      </c>
      <c r="G113">
        <v>802013023</v>
      </c>
      <c r="H113" t="s">
        <v>74</v>
      </c>
      <c r="I113" t="s">
        <v>953</v>
      </c>
      <c r="J113">
        <v>3759400</v>
      </c>
      <c r="K113" t="s">
        <v>54</v>
      </c>
      <c r="L113">
        <v>32583401</v>
      </c>
      <c r="M113" t="s">
        <v>954</v>
      </c>
      <c r="N113" t="s">
        <v>955</v>
      </c>
      <c r="O113" t="s">
        <v>956</v>
      </c>
      <c r="P113" t="s">
        <v>957</v>
      </c>
      <c r="Q113">
        <v>32583401</v>
      </c>
      <c r="R113" t="s">
        <v>54</v>
      </c>
      <c r="S113">
        <v>22671739</v>
      </c>
      <c r="T113" t="s">
        <v>470</v>
      </c>
      <c r="U113" t="s">
        <v>958</v>
      </c>
      <c r="V113" t="s">
        <v>487</v>
      </c>
      <c r="W113" t="s">
        <v>99</v>
      </c>
      <c r="X113" t="s">
        <v>299</v>
      </c>
      <c r="Y113" t="s">
        <v>121</v>
      </c>
      <c r="Z113">
        <v>12</v>
      </c>
      <c r="AA113" t="s">
        <v>65</v>
      </c>
      <c r="AB113" t="s">
        <v>56</v>
      </c>
      <c r="AC113" t="s">
        <v>56</v>
      </c>
      <c r="AD113">
        <v>0</v>
      </c>
      <c r="AE113" t="s">
        <v>66</v>
      </c>
      <c r="AF113" t="s">
        <v>56</v>
      </c>
      <c r="AG113" t="s">
        <v>56</v>
      </c>
      <c r="AH113" t="s">
        <v>56</v>
      </c>
      <c r="AI113" t="s">
        <v>56</v>
      </c>
      <c r="AJ113" t="s">
        <v>959</v>
      </c>
      <c r="AK113" t="s">
        <v>960</v>
      </c>
      <c r="AL113" t="s">
        <v>56</v>
      </c>
      <c r="AM113" t="s">
        <v>56</v>
      </c>
      <c r="AN113" t="s">
        <v>56</v>
      </c>
      <c r="AO113" t="s">
        <v>56</v>
      </c>
      <c r="AP113" t="s">
        <v>56</v>
      </c>
      <c r="AQ113" t="s">
        <v>71</v>
      </c>
      <c r="AR113" t="s">
        <v>56</v>
      </c>
      <c r="AS113" t="s">
        <v>56</v>
      </c>
      <c r="AT113" t="s">
        <v>56</v>
      </c>
      <c r="AU113" t="s">
        <v>56</v>
      </c>
      <c r="AV113" t="s">
        <v>56</v>
      </c>
      <c r="AW113" t="s">
        <v>56</v>
      </c>
      <c r="AX113">
        <v>4</v>
      </c>
    </row>
    <row r="114" spans="1:50" x14ac:dyDescent="0.25">
      <c r="A114" t="str">
        <f>"20200129199017109660"</f>
        <v>20200129199017109660</v>
      </c>
      <c r="B114" t="s">
        <v>72</v>
      </c>
      <c r="C114" t="s">
        <v>72</v>
      </c>
      <c r="D114" t="s">
        <v>961</v>
      </c>
      <c r="E114" t="str">
        <f>"760010379901"</f>
        <v>760010379901</v>
      </c>
      <c r="F114" t="s">
        <v>52</v>
      </c>
      <c r="G114">
        <v>890303461</v>
      </c>
      <c r="H114">
        <v>76001</v>
      </c>
      <c r="I114" t="s">
        <v>270</v>
      </c>
      <c r="J114" t="s">
        <v>271</v>
      </c>
      <c r="K114" t="s">
        <v>54</v>
      </c>
      <c r="L114">
        <v>38666213</v>
      </c>
      <c r="M114" t="s">
        <v>142</v>
      </c>
      <c r="N114" t="s">
        <v>962</v>
      </c>
      <c r="O114" t="s">
        <v>963</v>
      </c>
      <c r="P114" t="s">
        <v>964</v>
      </c>
      <c r="Q114">
        <v>38666213</v>
      </c>
      <c r="R114" t="s">
        <v>54</v>
      </c>
      <c r="S114">
        <v>1114450060</v>
      </c>
      <c r="T114" t="s">
        <v>965</v>
      </c>
      <c r="U114" t="s">
        <v>62</v>
      </c>
      <c r="V114" t="s">
        <v>966</v>
      </c>
      <c r="W114" t="s">
        <v>967</v>
      </c>
      <c r="X114" t="s">
        <v>968</v>
      </c>
      <c r="Y114" t="s">
        <v>64</v>
      </c>
      <c r="Z114">
        <v>12</v>
      </c>
      <c r="AA114" t="s">
        <v>65</v>
      </c>
      <c r="AB114" t="s">
        <v>56</v>
      </c>
      <c r="AC114" t="s">
        <v>56</v>
      </c>
      <c r="AD114">
        <v>0</v>
      </c>
      <c r="AE114" t="s">
        <v>66</v>
      </c>
      <c r="AF114" t="s">
        <v>56</v>
      </c>
      <c r="AG114" t="s">
        <v>56</v>
      </c>
      <c r="AH114" t="s">
        <v>56</v>
      </c>
      <c r="AI114" t="s">
        <v>56</v>
      </c>
      <c r="AJ114" t="s">
        <v>969</v>
      </c>
      <c r="AK114" t="s">
        <v>970</v>
      </c>
      <c r="AL114" t="s">
        <v>56</v>
      </c>
      <c r="AM114" t="s">
        <v>56</v>
      </c>
      <c r="AN114" t="s">
        <v>56</v>
      </c>
      <c r="AO114" t="s">
        <v>56</v>
      </c>
      <c r="AP114" t="s">
        <v>56</v>
      </c>
      <c r="AQ114" t="s">
        <v>71</v>
      </c>
      <c r="AR114" t="s">
        <v>56</v>
      </c>
      <c r="AS114" t="s">
        <v>56</v>
      </c>
      <c r="AT114" t="s">
        <v>56</v>
      </c>
      <c r="AU114" t="s">
        <v>56</v>
      </c>
      <c r="AV114" t="s">
        <v>56</v>
      </c>
      <c r="AW114" t="s">
        <v>56</v>
      </c>
      <c r="AX114">
        <v>4</v>
      </c>
    </row>
    <row r="115" spans="1:50" x14ac:dyDescent="0.25">
      <c r="A115" t="str">
        <f>"20200124157017010211"</f>
        <v>20200124157017010211</v>
      </c>
      <c r="B115" t="s">
        <v>201</v>
      </c>
      <c r="C115" t="s">
        <v>201</v>
      </c>
      <c r="D115" t="s">
        <v>971</v>
      </c>
      <c r="E115" t="str">
        <f>"080010054401"</f>
        <v>080010054401</v>
      </c>
      <c r="F115" t="s">
        <v>52</v>
      </c>
      <c r="G115">
        <v>800194798</v>
      </c>
      <c r="H115" t="s">
        <v>112</v>
      </c>
      <c r="I115" t="s">
        <v>616</v>
      </c>
      <c r="J115" t="s">
        <v>56</v>
      </c>
      <c r="K115" t="s">
        <v>54</v>
      </c>
      <c r="L115">
        <v>1128127284</v>
      </c>
      <c r="M115" t="s">
        <v>972</v>
      </c>
      <c r="N115" t="s">
        <v>59</v>
      </c>
      <c r="O115" t="s">
        <v>973</v>
      </c>
      <c r="P115" t="s">
        <v>974</v>
      </c>
      <c r="Q115" t="s">
        <v>975</v>
      </c>
      <c r="R115" t="s">
        <v>237</v>
      </c>
      <c r="S115">
        <v>1048271688</v>
      </c>
      <c r="T115" t="s">
        <v>976</v>
      </c>
      <c r="U115" t="s">
        <v>132</v>
      </c>
      <c r="V115" t="s">
        <v>977</v>
      </c>
      <c r="W115" t="s">
        <v>587</v>
      </c>
      <c r="X115" t="s">
        <v>241</v>
      </c>
      <c r="Y115" t="s">
        <v>121</v>
      </c>
      <c r="Z115">
        <v>22</v>
      </c>
      <c r="AA115" t="s">
        <v>102</v>
      </c>
      <c r="AB115">
        <v>0</v>
      </c>
      <c r="AC115" t="s">
        <v>66</v>
      </c>
      <c r="AD115">
        <v>0</v>
      </c>
      <c r="AE115" t="s">
        <v>66</v>
      </c>
      <c r="AF115" t="s">
        <v>56</v>
      </c>
      <c r="AG115" t="s">
        <v>56</v>
      </c>
      <c r="AH115" t="s">
        <v>56</v>
      </c>
      <c r="AI115" t="s">
        <v>56</v>
      </c>
      <c r="AJ115" t="s">
        <v>760</v>
      </c>
      <c r="AK115" t="s">
        <v>761</v>
      </c>
      <c r="AL115" t="s">
        <v>333</v>
      </c>
      <c r="AM115" t="s">
        <v>334</v>
      </c>
      <c r="AN115" t="s">
        <v>56</v>
      </c>
      <c r="AO115" t="s">
        <v>56</v>
      </c>
      <c r="AP115" t="s">
        <v>56</v>
      </c>
      <c r="AQ115" t="s">
        <v>71</v>
      </c>
      <c r="AR115" t="s">
        <v>56</v>
      </c>
      <c r="AS115" t="s">
        <v>56</v>
      </c>
      <c r="AT115" t="s">
        <v>56</v>
      </c>
      <c r="AU115" t="s">
        <v>56</v>
      </c>
      <c r="AV115" t="s">
        <v>56</v>
      </c>
      <c r="AW115" t="s">
        <v>56</v>
      </c>
      <c r="AX115">
        <v>4</v>
      </c>
    </row>
    <row r="116" spans="1:50" x14ac:dyDescent="0.25">
      <c r="A116" t="str">
        <f>"20200129192017119685"</f>
        <v>20200129192017119685</v>
      </c>
      <c r="B116" t="s">
        <v>72</v>
      </c>
      <c r="C116" t="s">
        <v>72</v>
      </c>
      <c r="D116" t="s">
        <v>978</v>
      </c>
      <c r="E116" t="str">
        <f>"134300068301"</f>
        <v>134300068301</v>
      </c>
      <c r="F116" t="s">
        <v>52</v>
      </c>
      <c r="G116">
        <v>900827631</v>
      </c>
      <c r="H116">
        <v>13430</v>
      </c>
      <c r="I116" t="s">
        <v>258</v>
      </c>
      <c r="J116">
        <v>3145812515</v>
      </c>
      <c r="K116" t="s">
        <v>54</v>
      </c>
      <c r="L116">
        <v>78733522</v>
      </c>
      <c r="M116" t="s">
        <v>259</v>
      </c>
      <c r="N116" t="s">
        <v>223</v>
      </c>
      <c r="O116" t="s">
        <v>179</v>
      </c>
      <c r="P116" t="s">
        <v>260</v>
      </c>
      <c r="Q116">
        <v>23306</v>
      </c>
      <c r="R116" t="s">
        <v>54</v>
      </c>
      <c r="S116">
        <v>37177313</v>
      </c>
      <c r="T116" t="s">
        <v>979</v>
      </c>
      <c r="U116" t="s">
        <v>62</v>
      </c>
      <c r="V116" t="s">
        <v>343</v>
      </c>
      <c r="W116" t="s">
        <v>109</v>
      </c>
      <c r="X116" t="s">
        <v>183</v>
      </c>
      <c r="Y116" t="s">
        <v>101</v>
      </c>
      <c r="Z116">
        <v>12</v>
      </c>
      <c r="AA116" t="s">
        <v>65</v>
      </c>
      <c r="AB116" t="s">
        <v>56</v>
      </c>
      <c r="AC116" t="s">
        <v>56</v>
      </c>
      <c r="AD116">
        <v>0</v>
      </c>
      <c r="AE116" t="s">
        <v>66</v>
      </c>
      <c r="AF116" t="s">
        <v>56</v>
      </c>
      <c r="AG116" t="s">
        <v>56</v>
      </c>
      <c r="AH116" t="s">
        <v>56</v>
      </c>
      <c r="AI116" t="s">
        <v>56</v>
      </c>
      <c r="AJ116" t="s">
        <v>980</v>
      </c>
      <c r="AK116" t="s">
        <v>981</v>
      </c>
      <c r="AL116" t="s">
        <v>56</v>
      </c>
      <c r="AM116" t="s">
        <v>56</v>
      </c>
      <c r="AN116" t="s">
        <v>56</v>
      </c>
      <c r="AO116" t="s">
        <v>56</v>
      </c>
      <c r="AP116" t="s">
        <v>56</v>
      </c>
      <c r="AQ116" t="s">
        <v>71</v>
      </c>
      <c r="AR116" t="s">
        <v>56</v>
      </c>
      <c r="AS116" t="s">
        <v>56</v>
      </c>
      <c r="AT116" t="s">
        <v>56</v>
      </c>
      <c r="AU116" t="s">
        <v>56</v>
      </c>
      <c r="AV116" t="s">
        <v>56</v>
      </c>
      <c r="AW116" t="s">
        <v>56</v>
      </c>
      <c r="AX116">
        <v>4</v>
      </c>
    </row>
    <row r="117" spans="1:50" x14ac:dyDescent="0.25">
      <c r="A117" t="str">
        <f>"20200131166017174523"</f>
        <v>20200131166017174523</v>
      </c>
      <c r="B117" t="s">
        <v>110</v>
      </c>
      <c r="C117" t="s">
        <v>110</v>
      </c>
      <c r="D117" t="s">
        <v>982</v>
      </c>
      <c r="E117" t="str">
        <f>"080010139105"</f>
        <v>080010139105</v>
      </c>
      <c r="F117" t="s">
        <v>52</v>
      </c>
      <c r="G117">
        <v>830007355</v>
      </c>
      <c r="H117" t="s">
        <v>112</v>
      </c>
      <c r="I117" t="s">
        <v>983</v>
      </c>
      <c r="J117">
        <v>3157953448</v>
      </c>
      <c r="K117" t="s">
        <v>54</v>
      </c>
      <c r="L117">
        <v>22465775</v>
      </c>
      <c r="M117" t="s">
        <v>984</v>
      </c>
      <c r="N117" t="s">
        <v>424</v>
      </c>
      <c r="O117" t="s">
        <v>985</v>
      </c>
      <c r="P117" t="s">
        <v>986</v>
      </c>
      <c r="Q117" t="s">
        <v>987</v>
      </c>
      <c r="R117" t="s">
        <v>54</v>
      </c>
      <c r="S117">
        <v>6575334</v>
      </c>
      <c r="T117" t="s">
        <v>164</v>
      </c>
      <c r="U117" t="s">
        <v>62</v>
      </c>
      <c r="V117" t="s">
        <v>988</v>
      </c>
      <c r="W117" t="s">
        <v>156</v>
      </c>
      <c r="X117" t="s">
        <v>120</v>
      </c>
      <c r="Y117" t="s">
        <v>121</v>
      </c>
      <c r="Z117">
        <v>12</v>
      </c>
      <c r="AA117" t="s">
        <v>65</v>
      </c>
      <c r="AB117" t="s">
        <v>56</v>
      </c>
      <c r="AC117" t="s">
        <v>56</v>
      </c>
      <c r="AD117">
        <v>0</v>
      </c>
      <c r="AE117" t="s">
        <v>66</v>
      </c>
      <c r="AF117" t="s">
        <v>56</v>
      </c>
      <c r="AG117" t="s">
        <v>56</v>
      </c>
      <c r="AH117" t="s">
        <v>56</v>
      </c>
      <c r="AI117" t="s">
        <v>56</v>
      </c>
      <c r="AJ117" t="s">
        <v>828</v>
      </c>
      <c r="AK117" t="s">
        <v>829</v>
      </c>
      <c r="AL117" t="s">
        <v>333</v>
      </c>
      <c r="AM117" t="s">
        <v>334</v>
      </c>
      <c r="AN117" t="s">
        <v>56</v>
      </c>
      <c r="AO117" t="s">
        <v>56</v>
      </c>
      <c r="AP117" t="s">
        <v>56</v>
      </c>
      <c r="AQ117" t="s">
        <v>71</v>
      </c>
      <c r="AR117" t="s">
        <v>56</v>
      </c>
      <c r="AS117" t="s">
        <v>56</v>
      </c>
      <c r="AT117" t="s">
        <v>56</v>
      </c>
      <c r="AU117" t="s">
        <v>56</v>
      </c>
      <c r="AV117" t="s">
        <v>56</v>
      </c>
      <c r="AW117" t="s">
        <v>56</v>
      </c>
      <c r="AX117">
        <v>4</v>
      </c>
    </row>
    <row r="118" spans="1:50" x14ac:dyDescent="0.25">
      <c r="A118" t="str">
        <f>"20200127158017059923"</f>
        <v>20200127158017059923</v>
      </c>
      <c r="B118" t="s">
        <v>190</v>
      </c>
      <c r="C118" t="s">
        <v>190</v>
      </c>
      <c r="D118" t="s">
        <v>989</v>
      </c>
      <c r="E118" t="str">
        <f>"200010023201"</f>
        <v>200010023201</v>
      </c>
      <c r="F118" t="s">
        <v>52</v>
      </c>
      <c r="G118">
        <v>77028533</v>
      </c>
      <c r="H118">
        <v>20001</v>
      </c>
      <c r="I118" t="s">
        <v>990</v>
      </c>
      <c r="J118">
        <v>5804242</v>
      </c>
      <c r="K118" t="s">
        <v>54</v>
      </c>
      <c r="L118">
        <v>77028533</v>
      </c>
      <c r="M118" t="s">
        <v>991</v>
      </c>
      <c r="N118" t="s">
        <v>56</v>
      </c>
      <c r="O118" t="s">
        <v>992</v>
      </c>
      <c r="P118" t="s">
        <v>993</v>
      </c>
      <c r="Q118" t="s">
        <v>56</v>
      </c>
      <c r="R118" t="s">
        <v>237</v>
      </c>
      <c r="S118">
        <v>1065204289</v>
      </c>
      <c r="T118" t="s">
        <v>994</v>
      </c>
      <c r="U118" t="s">
        <v>995</v>
      </c>
      <c r="V118" t="s">
        <v>996</v>
      </c>
      <c r="W118" t="s">
        <v>343</v>
      </c>
      <c r="X118" t="s">
        <v>407</v>
      </c>
      <c r="Y118" t="s">
        <v>86</v>
      </c>
      <c r="Z118">
        <v>11</v>
      </c>
      <c r="AA118" t="s">
        <v>87</v>
      </c>
      <c r="AB118" t="s">
        <v>56</v>
      </c>
      <c r="AC118" t="s">
        <v>56</v>
      </c>
      <c r="AD118">
        <v>0</v>
      </c>
      <c r="AE118" t="s">
        <v>66</v>
      </c>
      <c r="AF118" t="s">
        <v>56</v>
      </c>
      <c r="AG118" t="s">
        <v>56</v>
      </c>
      <c r="AH118" t="s">
        <v>56</v>
      </c>
      <c r="AI118" t="s">
        <v>56</v>
      </c>
      <c r="AJ118" t="s">
        <v>997</v>
      </c>
      <c r="AK118" t="s">
        <v>998</v>
      </c>
      <c r="AL118" t="s">
        <v>56</v>
      </c>
      <c r="AM118" t="s">
        <v>56</v>
      </c>
      <c r="AN118" t="s">
        <v>56</v>
      </c>
      <c r="AO118" t="s">
        <v>56</v>
      </c>
      <c r="AP118" t="s">
        <v>56</v>
      </c>
      <c r="AQ118" t="s">
        <v>71</v>
      </c>
      <c r="AR118" t="s">
        <v>56</v>
      </c>
      <c r="AS118" t="s">
        <v>56</v>
      </c>
      <c r="AT118" t="s">
        <v>56</v>
      </c>
      <c r="AU118" t="s">
        <v>56</v>
      </c>
      <c r="AV118" t="s">
        <v>56</v>
      </c>
      <c r="AW118" t="s">
        <v>56</v>
      </c>
      <c r="AX118">
        <v>4</v>
      </c>
    </row>
    <row r="119" spans="1:50" x14ac:dyDescent="0.25">
      <c r="A119" t="str">
        <f>"20200130138017135749"</f>
        <v>20200130138017135749</v>
      </c>
      <c r="B119" t="s">
        <v>124</v>
      </c>
      <c r="C119" t="s">
        <v>124</v>
      </c>
      <c r="D119" t="s">
        <v>999</v>
      </c>
      <c r="E119" t="str">
        <f>"700010146401"</f>
        <v>700010146401</v>
      </c>
      <c r="F119" t="s">
        <v>52</v>
      </c>
      <c r="G119">
        <v>900581036</v>
      </c>
      <c r="H119">
        <v>70001</v>
      </c>
      <c r="I119" t="s">
        <v>387</v>
      </c>
      <c r="J119">
        <v>2807683</v>
      </c>
      <c r="K119" t="s">
        <v>54</v>
      </c>
      <c r="L119">
        <v>92508651</v>
      </c>
      <c r="M119" t="s">
        <v>388</v>
      </c>
      <c r="N119" t="s">
        <v>94</v>
      </c>
      <c r="O119" t="s">
        <v>389</v>
      </c>
      <c r="P119" t="s">
        <v>390</v>
      </c>
      <c r="Q119" t="s">
        <v>391</v>
      </c>
      <c r="R119" t="s">
        <v>54</v>
      </c>
      <c r="S119">
        <v>42271333</v>
      </c>
      <c r="T119" t="s">
        <v>470</v>
      </c>
      <c r="U119" t="s">
        <v>1000</v>
      </c>
      <c r="V119" t="s">
        <v>99</v>
      </c>
      <c r="W119" t="s">
        <v>1001</v>
      </c>
      <c r="X119" t="s">
        <v>1002</v>
      </c>
      <c r="Y119" t="s">
        <v>330</v>
      </c>
      <c r="Z119">
        <v>12</v>
      </c>
      <c r="AA119" t="s">
        <v>65</v>
      </c>
      <c r="AB119" t="s">
        <v>56</v>
      </c>
      <c r="AC119" t="s">
        <v>56</v>
      </c>
      <c r="AD119">
        <v>0</v>
      </c>
      <c r="AE119" t="s">
        <v>66</v>
      </c>
      <c r="AF119" t="s">
        <v>56</v>
      </c>
      <c r="AG119" t="s">
        <v>56</v>
      </c>
      <c r="AH119" t="s">
        <v>56</v>
      </c>
      <c r="AI119" t="s">
        <v>56</v>
      </c>
      <c r="AJ119" t="s">
        <v>1003</v>
      </c>
      <c r="AK119" t="s">
        <v>1004</v>
      </c>
      <c r="AL119" t="s">
        <v>56</v>
      </c>
      <c r="AM119" t="s">
        <v>56</v>
      </c>
      <c r="AN119" t="s">
        <v>56</v>
      </c>
      <c r="AO119" t="s">
        <v>56</v>
      </c>
      <c r="AP119" t="s">
        <v>56</v>
      </c>
      <c r="AQ119" t="s">
        <v>71</v>
      </c>
      <c r="AR119" t="s">
        <v>56</v>
      </c>
      <c r="AS119" t="s">
        <v>56</v>
      </c>
      <c r="AT119" t="s">
        <v>56</v>
      </c>
      <c r="AU119" t="s">
        <v>56</v>
      </c>
      <c r="AV119" t="s">
        <v>56</v>
      </c>
      <c r="AW119" t="s">
        <v>56</v>
      </c>
      <c r="AX119">
        <v>4</v>
      </c>
    </row>
    <row r="120" spans="1:50" x14ac:dyDescent="0.25">
      <c r="A120" t="str">
        <f>"20200128125017095524"</f>
        <v>20200128125017095524</v>
      </c>
      <c r="B120" t="s">
        <v>151</v>
      </c>
      <c r="C120" t="s">
        <v>151</v>
      </c>
      <c r="D120" t="s">
        <v>1005</v>
      </c>
      <c r="E120" t="str">
        <f>"760010379901"</f>
        <v>760010379901</v>
      </c>
      <c r="F120" t="s">
        <v>52</v>
      </c>
      <c r="G120">
        <v>890303461</v>
      </c>
      <c r="H120">
        <v>76001</v>
      </c>
      <c r="I120" t="s">
        <v>270</v>
      </c>
      <c r="J120" t="s">
        <v>271</v>
      </c>
      <c r="K120" t="s">
        <v>54</v>
      </c>
      <c r="L120">
        <v>31306711</v>
      </c>
      <c r="M120" t="s">
        <v>1006</v>
      </c>
      <c r="N120" t="s">
        <v>541</v>
      </c>
      <c r="O120" t="s">
        <v>109</v>
      </c>
      <c r="P120" t="s">
        <v>79</v>
      </c>
      <c r="Q120">
        <v>76011209</v>
      </c>
      <c r="R120" t="s">
        <v>54</v>
      </c>
      <c r="S120">
        <v>1006316794</v>
      </c>
      <c r="T120" t="s">
        <v>1007</v>
      </c>
      <c r="U120" t="s">
        <v>62</v>
      </c>
      <c r="V120" t="s">
        <v>297</v>
      </c>
      <c r="W120" t="s">
        <v>376</v>
      </c>
      <c r="X120" t="s">
        <v>101</v>
      </c>
      <c r="Y120" t="s">
        <v>64</v>
      </c>
      <c r="Z120">
        <v>11</v>
      </c>
      <c r="AA120" t="s">
        <v>87</v>
      </c>
      <c r="AB120" t="s">
        <v>56</v>
      </c>
      <c r="AC120" t="s">
        <v>56</v>
      </c>
      <c r="AD120">
        <v>0</v>
      </c>
      <c r="AE120" t="s">
        <v>66</v>
      </c>
      <c r="AF120" t="s">
        <v>56</v>
      </c>
      <c r="AG120" t="s">
        <v>56</v>
      </c>
      <c r="AH120" t="s">
        <v>56</v>
      </c>
      <c r="AI120" t="s">
        <v>56</v>
      </c>
      <c r="AJ120" t="s">
        <v>1008</v>
      </c>
      <c r="AK120" t="s">
        <v>1009</v>
      </c>
      <c r="AL120" t="s">
        <v>56</v>
      </c>
      <c r="AM120" t="s">
        <v>56</v>
      </c>
      <c r="AN120" t="s">
        <v>56</v>
      </c>
      <c r="AO120" t="s">
        <v>56</v>
      </c>
      <c r="AP120" t="s">
        <v>56</v>
      </c>
      <c r="AQ120" t="s">
        <v>71</v>
      </c>
      <c r="AR120" t="s">
        <v>56</v>
      </c>
      <c r="AS120" t="s">
        <v>56</v>
      </c>
      <c r="AT120" t="s">
        <v>56</v>
      </c>
      <c r="AU120" t="s">
        <v>56</v>
      </c>
      <c r="AV120" t="s">
        <v>56</v>
      </c>
      <c r="AW120" t="s">
        <v>56</v>
      </c>
      <c r="AX120">
        <v>4</v>
      </c>
    </row>
    <row r="121" spans="1:50" x14ac:dyDescent="0.25">
      <c r="A121" t="str">
        <f>"20200124160017016097"</f>
        <v>20200124160017016097</v>
      </c>
      <c r="B121" t="s">
        <v>201</v>
      </c>
      <c r="C121" t="s">
        <v>201</v>
      </c>
      <c r="D121" t="s">
        <v>1010</v>
      </c>
      <c r="E121" t="str">
        <f>"200010053001"</f>
        <v>200010053001</v>
      </c>
      <c r="F121" t="s">
        <v>52</v>
      </c>
      <c r="G121">
        <v>824001041</v>
      </c>
      <c r="H121">
        <v>20001</v>
      </c>
      <c r="I121" t="s">
        <v>1011</v>
      </c>
      <c r="J121">
        <v>5704747</v>
      </c>
      <c r="K121" t="s">
        <v>54</v>
      </c>
      <c r="L121">
        <v>1065590939</v>
      </c>
      <c r="M121" t="s">
        <v>233</v>
      </c>
      <c r="N121" t="s">
        <v>1012</v>
      </c>
      <c r="O121" t="s">
        <v>1013</v>
      </c>
      <c r="P121" t="s">
        <v>425</v>
      </c>
      <c r="Q121">
        <v>1065590939</v>
      </c>
      <c r="R121" t="s">
        <v>54</v>
      </c>
      <c r="S121">
        <v>77094207</v>
      </c>
      <c r="T121" t="s">
        <v>1014</v>
      </c>
      <c r="U121" t="s">
        <v>128</v>
      </c>
      <c r="V121" t="s">
        <v>1015</v>
      </c>
      <c r="W121" t="s">
        <v>649</v>
      </c>
      <c r="X121" t="s">
        <v>462</v>
      </c>
      <c r="Y121" t="s">
        <v>86</v>
      </c>
      <c r="Z121">
        <v>11</v>
      </c>
      <c r="AA121" t="s">
        <v>87</v>
      </c>
      <c r="AB121" t="s">
        <v>56</v>
      </c>
      <c r="AC121" t="s">
        <v>56</v>
      </c>
      <c r="AD121">
        <v>0</v>
      </c>
      <c r="AE121" t="s">
        <v>66</v>
      </c>
      <c r="AF121" t="s">
        <v>56</v>
      </c>
      <c r="AG121" t="s">
        <v>56</v>
      </c>
      <c r="AH121" t="s">
        <v>56</v>
      </c>
      <c r="AI121" t="s">
        <v>56</v>
      </c>
      <c r="AJ121" t="s">
        <v>1016</v>
      </c>
      <c r="AK121" t="s">
        <v>1017</v>
      </c>
      <c r="AL121" t="s">
        <v>56</v>
      </c>
      <c r="AM121" t="s">
        <v>56</v>
      </c>
      <c r="AN121" t="s">
        <v>56</v>
      </c>
      <c r="AO121" t="s">
        <v>56</v>
      </c>
      <c r="AP121" t="s">
        <v>56</v>
      </c>
      <c r="AQ121" t="s">
        <v>71</v>
      </c>
      <c r="AR121" t="s">
        <v>56</v>
      </c>
      <c r="AS121" t="s">
        <v>56</v>
      </c>
      <c r="AT121" t="s">
        <v>56</v>
      </c>
      <c r="AU121" t="s">
        <v>56</v>
      </c>
      <c r="AV121" t="s">
        <v>56</v>
      </c>
      <c r="AW121" t="s">
        <v>56</v>
      </c>
      <c r="AX121">
        <v>4</v>
      </c>
    </row>
    <row r="122" spans="1:50" x14ac:dyDescent="0.25">
      <c r="A122" t="str">
        <f>"20200124174017017395"</f>
        <v>20200124174017017395</v>
      </c>
      <c r="B122" t="s">
        <v>201</v>
      </c>
      <c r="C122" t="s">
        <v>201</v>
      </c>
      <c r="D122" t="s">
        <v>1018</v>
      </c>
      <c r="E122" t="str">
        <f>"200010090101"</f>
        <v>200010090101</v>
      </c>
      <c r="F122" t="s">
        <v>52</v>
      </c>
      <c r="G122">
        <v>900016598</v>
      </c>
      <c r="H122">
        <v>20001</v>
      </c>
      <c r="I122" t="s">
        <v>843</v>
      </c>
      <c r="J122">
        <v>5898632</v>
      </c>
      <c r="K122" t="s">
        <v>54</v>
      </c>
      <c r="L122">
        <v>77015983</v>
      </c>
      <c r="M122" t="s">
        <v>870</v>
      </c>
      <c r="N122" t="s">
        <v>1012</v>
      </c>
      <c r="O122" t="s">
        <v>1019</v>
      </c>
      <c r="P122" t="s">
        <v>1020</v>
      </c>
      <c r="Q122">
        <v>210</v>
      </c>
      <c r="R122" t="s">
        <v>54</v>
      </c>
      <c r="S122">
        <v>12639318</v>
      </c>
      <c r="T122" t="s">
        <v>164</v>
      </c>
      <c r="U122" t="s">
        <v>261</v>
      </c>
      <c r="V122" t="s">
        <v>1021</v>
      </c>
      <c r="W122" t="s">
        <v>62</v>
      </c>
      <c r="X122" t="s">
        <v>85</v>
      </c>
      <c r="Y122" t="s">
        <v>86</v>
      </c>
      <c r="Z122">
        <v>12</v>
      </c>
      <c r="AA122" t="s">
        <v>65</v>
      </c>
      <c r="AB122" t="s">
        <v>56</v>
      </c>
      <c r="AC122" t="s">
        <v>56</v>
      </c>
      <c r="AD122">
        <v>0</v>
      </c>
      <c r="AE122" t="s">
        <v>66</v>
      </c>
      <c r="AF122" t="s">
        <v>56</v>
      </c>
      <c r="AG122" t="s">
        <v>56</v>
      </c>
      <c r="AH122" t="s">
        <v>56</v>
      </c>
      <c r="AI122" t="s">
        <v>56</v>
      </c>
      <c r="AJ122" t="s">
        <v>365</v>
      </c>
      <c r="AK122" t="s">
        <v>366</v>
      </c>
      <c r="AL122" t="s">
        <v>56</v>
      </c>
      <c r="AM122" t="s">
        <v>56</v>
      </c>
      <c r="AN122" t="s">
        <v>56</v>
      </c>
      <c r="AO122" t="s">
        <v>56</v>
      </c>
      <c r="AP122" t="s">
        <v>56</v>
      </c>
      <c r="AQ122" t="s">
        <v>71</v>
      </c>
      <c r="AR122" t="s">
        <v>56</v>
      </c>
      <c r="AS122" t="s">
        <v>56</v>
      </c>
      <c r="AT122" t="s">
        <v>56</v>
      </c>
      <c r="AU122" t="s">
        <v>56</v>
      </c>
      <c r="AV122" t="s">
        <v>56</v>
      </c>
      <c r="AW122" t="s">
        <v>56</v>
      </c>
      <c r="AX122">
        <v>4</v>
      </c>
    </row>
    <row r="123" spans="1:50" x14ac:dyDescent="0.25">
      <c r="A123" t="str">
        <f>"20200128198017087705"</f>
        <v>20200128198017087705</v>
      </c>
      <c r="B123" t="s">
        <v>151</v>
      </c>
      <c r="C123" t="s">
        <v>151</v>
      </c>
      <c r="D123" t="s">
        <v>1022</v>
      </c>
      <c r="E123" t="str">
        <f>"080010445430"</f>
        <v>080010445430</v>
      </c>
      <c r="F123" t="s">
        <v>52</v>
      </c>
      <c r="G123">
        <v>901139193</v>
      </c>
      <c r="H123" t="s">
        <v>112</v>
      </c>
      <c r="I123" t="s">
        <v>1023</v>
      </c>
      <c r="J123">
        <v>3781483</v>
      </c>
      <c r="K123" t="s">
        <v>54</v>
      </c>
      <c r="L123">
        <v>32735318</v>
      </c>
      <c r="M123" t="s">
        <v>1024</v>
      </c>
      <c r="N123" t="s">
        <v>479</v>
      </c>
      <c r="O123" t="s">
        <v>1025</v>
      </c>
      <c r="P123" t="s">
        <v>355</v>
      </c>
      <c r="Q123" t="s">
        <v>1026</v>
      </c>
      <c r="R123" t="s">
        <v>237</v>
      </c>
      <c r="S123">
        <v>1044603537</v>
      </c>
      <c r="T123" t="s">
        <v>897</v>
      </c>
      <c r="U123" t="s">
        <v>223</v>
      </c>
      <c r="V123" t="s">
        <v>109</v>
      </c>
      <c r="W123" t="s">
        <v>788</v>
      </c>
      <c r="X123" t="s">
        <v>120</v>
      </c>
      <c r="Y123" t="s">
        <v>121</v>
      </c>
      <c r="Z123">
        <v>12</v>
      </c>
      <c r="AA123" t="s">
        <v>65</v>
      </c>
      <c r="AB123" t="s">
        <v>56</v>
      </c>
      <c r="AC123" t="s">
        <v>56</v>
      </c>
      <c r="AD123">
        <v>0</v>
      </c>
      <c r="AE123" t="s">
        <v>66</v>
      </c>
      <c r="AF123" t="s">
        <v>56</v>
      </c>
      <c r="AG123" t="s">
        <v>56</v>
      </c>
      <c r="AH123" t="s">
        <v>56</v>
      </c>
      <c r="AI123" t="s">
        <v>56</v>
      </c>
      <c r="AJ123" t="s">
        <v>122</v>
      </c>
      <c r="AK123" t="s">
        <v>123</v>
      </c>
      <c r="AL123" t="s">
        <v>1027</v>
      </c>
      <c r="AM123" t="s">
        <v>1028</v>
      </c>
      <c r="AN123" t="s">
        <v>56</v>
      </c>
      <c r="AO123" t="s">
        <v>56</v>
      </c>
      <c r="AP123" t="s">
        <v>56</v>
      </c>
      <c r="AQ123" t="s">
        <v>71</v>
      </c>
      <c r="AR123" t="s">
        <v>56</v>
      </c>
      <c r="AS123" t="s">
        <v>56</v>
      </c>
      <c r="AT123" t="s">
        <v>56</v>
      </c>
      <c r="AU123" t="s">
        <v>56</v>
      </c>
      <c r="AV123" t="s">
        <v>56</v>
      </c>
      <c r="AW123" t="s">
        <v>56</v>
      </c>
      <c r="AX123">
        <v>4</v>
      </c>
    </row>
    <row r="124" spans="1:50" x14ac:dyDescent="0.25">
      <c r="A124" t="str">
        <f>"20200129113017101430"</f>
        <v>20200129113017101430</v>
      </c>
      <c r="B124" t="s">
        <v>72</v>
      </c>
      <c r="C124" t="s">
        <v>72</v>
      </c>
      <c r="D124" t="s">
        <v>1029</v>
      </c>
      <c r="E124" t="str">
        <f>"761470608201"</f>
        <v>761470608201</v>
      </c>
      <c r="F124" t="s">
        <v>52</v>
      </c>
      <c r="G124">
        <v>900062327</v>
      </c>
      <c r="H124">
        <v>76147</v>
      </c>
      <c r="I124" t="s">
        <v>1030</v>
      </c>
      <c r="J124">
        <v>2122427</v>
      </c>
      <c r="K124" t="s">
        <v>54</v>
      </c>
      <c r="L124">
        <v>1088256580</v>
      </c>
      <c r="M124" t="s">
        <v>1031</v>
      </c>
      <c r="N124" t="s">
        <v>56</v>
      </c>
      <c r="O124" t="s">
        <v>389</v>
      </c>
      <c r="P124" t="s">
        <v>449</v>
      </c>
      <c r="Q124">
        <v>1088256580</v>
      </c>
      <c r="R124" t="s">
        <v>54</v>
      </c>
      <c r="S124">
        <v>24300572</v>
      </c>
      <c r="T124" t="s">
        <v>504</v>
      </c>
      <c r="U124" t="s">
        <v>1032</v>
      </c>
      <c r="V124" t="s">
        <v>362</v>
      </c>
      <c r="W124" t="s">
        <v>1033</v>
      </c>
      <c r="X124" t="s">
        <v>277</v>
      </c>
      <c r="Y124" t="s">
        <v>64</v>
      </c>
      <c r="Z124">
        <v>12</v>
      </c>
      <c r="AA124" t="s">
        <v>65</v>
      </c>
      <c r="AB124" t="s">
        <v>56</v>
      </c>
      <c r="AC124" t="s">
        <v>56</v>
      </c>
      <c r="AD124">
        <v>0</v>
      </c>
      <c r="AE124" t="s">
        <v>66</v>
      </c>
      <c r="AF124" t="s">
        <v>56</v>
      </c>
      <c r="AG124" t="s">
        <v>56</v>
      </c>
      <c r="AH124" t="s">
        <v>56</v>
      </c>
      <c r="AI124" t="s">
        <v>56</v>
      </c>
      <c r="AJ124" t="s">
        <v>1034</v>
      </c>
      <c r="AK124" t="s">
        <v>1035</v>
      </c>
      <c r="AL124" t="s">
        <v>56</v>
      </c>
      <c r="AM124" t="s">
        <v>56</v>
      </c>
      <c r="AN124" t="s">
        <v>56</v>
      </c>
      <c r="AO124" t="s">
        <v>56</v>
      </c>
      <c r="AP124" t="s">
        <v>56</v>
      </c>
      <c r="AQ124" t="s">
        <v>71</v>
      </c>
      <c r="AR124" t="s">
        <v>56</v>
      </c>
      <c r="AS124" t="s">
        <v>56</v>
      </c>
      <c r="AT124" t="s">
        <v>56</v>
      </c>
      <c r="AU124" t="s">
        <v>56</v>
      </c>
      <c r="AV124" t="s">
        <v>56</v>
      </c>
      <c r="AW124" t="s">
        <v>56</v>
      </c>
      <c r="AX124">
        <v>4</v>
      </c>
    </row>
    <row r="125" spans="1:50" x14ac:dyDescent="0.25">
      <c r="A125" t="str">
        <f>"20200129148017121112"</f>
        <v>20200129148017121112</v>
      </c>
      <c r="B125" t="s">
        <v>72</v>
      </c>
      <c r="C125" t="s">
        <v>72</v>
      </c>
      <c r="D125" t="s">
        <v>1036</v>
      </c>
      <c r="E125" t="str">
        <f>"134300068301"</f>
        <v>134300068301</v>
      </c>
      <c r="F125" t="s">
        <v>52</v>
      </c>
      <c r="G125">
        <v>900827631</v>
      </c>
      <c r="H125">
        <v>13430</v>
      </c>
      <c r="I125" t="s">
        <v>258</v>
      </c>
      <c r="J125">
        <v>3145812515</v>
      </c>
      <c r="K125" t="s">
        <v>54</v>
      </c>
      <c r="L125">
        <v>78733522</v>
      </c>
      <c r="M125" t="s">
        <v>259</v>
      </c>
      <c r="N125" t="s">
        <v>223</v>
      </c>
      <c r="O125" t="s">
        <v>179</v>
      </c>
      <c r="P125" t="s">
        <v>260</v>
      </c>
      <c r="Q125">
        <v>23306</v>
      </c>
      <c r="R125" t="s">
        <v>54</v>
      </c>
      <c r="S125">
        <v>22994415</v>
      </c>
      <c r="T125" t="s">
        <v>674</v>
      </c>
      <c r="U125" t="s">
        <v>62</v>
      </c>
      <c r="V125" t="s">
        <v>1037</v>
      </c>
      <c r="W125" t="s">
        <v>1038</v>
      </c>
      <c r="X125" t="s">
        <v>1039</v>
      </c>
      <c r="Y125" t="s">
        <v>101</v>
      </c>
      <c r="Z125">
        <v>12</v>
      </c>
      <c r="AA125" t="s">
        <v>65</v>
      </c>
      <c r="AB125" t="s">
        <v>56</v>
      </c>
      <c r="AC125" t="s">
        <v>56</v>
      </c>
      <c r="AD125">
        <v>0</v>
      </c>
      <c r="AE125" t="s">
        <v>66</v>
      </c>
      <c r="AF125" t="s">
        <v>56</v>
      </c>
      <c r="AG125" t="s">
        <v>56</v>
      </c>
      <c r="AH125" t="s">
        <v>56</v>
      </c>
      <c r="AI125" t="s">
        <v>56</v>
      </c>
      <c r="AJ125" t="s">
        <v>215</v>
      </c>
      <c r="AK125" t="s">
        <v>216</v>
      </c>
      <c r="AL125" t="s">
        <v>56</v>
      </c>
      <c r="AM125" t="s">
        <v>56</v>
      </c>
      <c r="AN125" t="s">
        <v>56</v>
      </c>
      <c r="AO125" t="s">
        <v>56</v>
      </c>
      <c r="AP125" t="s">
        <v>56</v>
      </c>
      <c r="AQ125" t="s">
        <v>71</v>
      </c>
      <c r="AR125" t="s">
        <v>56</v>
      </c>
      <c r="AS125" t="s">
        <v>56</v>
      </c>
      <c r="AT125" t="s">
        <v>56</v>
      </c>
      <c r="AU125" t="s">
        <v>56</v>
      </c>
      <c r="AV125" t="s">
        <v>56</v>
      </c>
      <c r="AW125" t="s">
        <v>56</v>
      </c>
      <c r="AX125">
        <v>4</v>
      </c>
    </row>
    <row r="126" spans="1:50" x14ac:dyDescent="0.25">
      <c r="A126" t="str">
        <f>"20200131156017158155"</f>
        <v>20200131156017158155</v>
      </c>
      <c r="B126" t="s">
        <v>110</v>
      </c>
      <c r="C126" t="s">
        <v>110</v>
      </c>
      <c r="D126" t="s">
        <v>1040</v>
      </c>
      <c r="E126" t="str">
        <f>"470010146901"</f>
        <v>470010146901</v>
      </c>
      <c r="F126" t="s">
        <v>52</v>
      </c>
      <c r="G126">
        <v>901159139</v>
      </c>
      <c r="H126">
        <v>47001</v>
      </c>
      <c r="I126" t="s">
        <v>1041</v>
      </c>
      <c r="J126">
        <v>3014822187</v>
      </c>
      <c r="K126" t="s">
        <v>54</v>
      </c>
      <c r="L126">
        <v>17973820</v>
      </c>
      <c r="M126" t="s">
        <v>1042</v>
      </c>
      <c r="N126" t="s">
        <v>165</v>
      </c>
      <c r="O126" t="s">
        <v>560</v>
      </c>
      <c r="P126" t="s">
        <v>865</v>
      </c>
      <c r="Q126">
        <v>52106</v>
      </c>
      <c r="R126" t="s">
        <v>54</v>
      </c>
      <c r="S126">
        <v>12562732</v>
      </c>
      <c r="T126" t="s">
        <v>1043</v>
      </c>
      <c r="U126" t="s">
        <v>94</v>
      </c>
      <c r="V126" t="s">
        <v>405</v>
      </c>
      <c r="W126" t="s">
        <v>1044</v>
      </c>
      <c r="X126" t="s">
        <v>1045</v>
      </c>
      <c r="Y126" t="s">
        <v>345</v>
      </c>
      <c r="Z126">
        <v>11</v>
      </c>
      <c r="AA126" t="s">
        <v>87</v>
      </c>
      <c r="AB126" t="s">
        <v>56</v>
      </c>
      <c r="AC126" t="s">
        <v>56</v>
      </c>
      <c r="AD126">
        <v>0</v>
      </c>
      <c r="AE126" t="s">
        <v>66</v>
      </c>
      <c r="AF126" t="s">
        <v>56</v>
      </c>
      <c r="AG126" t="s">
        <v>56</v>
      </c>
      <c r="AH126" t="s">
        <v>56</v>
      </c>
      <c r="AI126" t="s">
        <v>56</v>
      </c>
      <c r="AJ126" t="s">
        <v>1046</v>
      </c>
      <c r="AK126" t="s">
        <v>1047</v>
      </c>
      <c r="AL126" t="s">
        <v>1048</v>
      </c>
      <c r="AM126" t="s">
        <v>1049</v>
      </c>
      <c r="AN126" t="s">
        <v>1050</v>
      </c>
      <c r="AO126" t="s">
        <v>1051</v>
      </c>
      <c r="AP126" t="s">
        <v>56</v>
      </c>
      <c r="AQ126" t="s">
        <v>71</v>
      </c>
      <c r="AR126" t="s">
        <v>56</v>
      </c>
      <c r="AS126" t="s">
        <v>56</v>
      </c>
      <c r="AT126" t="s">
        <v>56</v>
      </c>
      <c r="AU126" t="s">
        <v>56</v>
      </c>
      <c r="AV126" t="s">
        <v>56</v>
      </c>
      <c r="AW126" t="s">
        <v>56</v>
      </c>
      <c r="AX126">
        <v>4</v>
      </c>
    </row>
    <row r="127" spans="1:50" x14ac:dyDescent="0.25">
      <c r="A127" t="str">
        <f>"20200131189017181403"</f>
        <v>20200131189017181403</v>
      </c>
      <c r="B127" t="s">
        <v>110</v>
      </c>
      <c r="C127" t="s">
        <v>110</v>
      </c>
      <c r="D127" t="s">
        <v>1052</v>
      </c>
      <c r="E127" t="str">
        <f>"080010054401"</f>
        <v>080010054401</v>
      </c>
      <c r="F127" t="s">
        <v>52</v>
      </c>
      <c r="G127">
        <v>800194798</v>
      </c>
      <c r="H127" t="s">
        <v>112</v>
      </c>
      <c r="I127" t="s">
        <v>616</v>
      </c>
      <c r="J127" t="s">
        <v>56</v>
      </c>
      <c r="K127" t="s">
        <v>54</v>
      </c>
      <c r="L127">
        <v>78033989</v>
      </c>
      <c r="M127" t="s">
        <v>1053</v>
      </c>
      <c r="N127" t="s">
        <v>1054</v>
      </c>
      <c r="O127" t="s">
        <v>703</v>
      </c>
      <c r="P127" t="s">
        <v>496</v>
      </c>
      <c r="Q127">
        <v>23750</v>
      </c>
      <c r="R127" t="s">
        <v>54</v>
      </c>
      <c r="S127">
        <v>12485189</v>
      </c>
      <c r="T127" t="s">
        <v>164</v>
      </c>
      <c r="U127" t="s">
        <v>261</v>
      </c>
      <c r="V127" t="s">
        <v>1055</v>
      </c>
      <c r="W127" t="s">
        <v>62</v>
      </c>
      <c r="X127" t="s">
        <v>569</v>
      </c>
      <c r="Y127" t="s">
        <v>121</v>
      </c>
      <c r="Z127">
        <v>22</v>
      </c>
      <c r="AA127" t="s">
        <v>102</v>
      </c>
      <c r="AB127">
        <v>0</v>
      </c>
      <c r="AC127" t="s">
        <v>66</v>
      </c>
      <c r="AD127">
        <v>0</v>
      </c>
      <c r="AE127" t="s">
        <v>66</v>
      </c>
      <c r="AF127" t="s">
        <v>56</v>
      </c>
      <c r="AG127" t="s">
        <v>56</v>
      </c>
      <c r="AH127" t="s">
        <v>56</v>
      </c>
      <c r="AI127" t="s">
        <v>56</v>
      </c>
      <c r="AJ127" t="s">
        <v>1056</v>
      </c>
      <c r="AK127" t="s">
        <v>1057</v>
      </c>
      <c r="AL127" t="s">
        <v>56</v>
      </c>
      <c r="AM127" t="s">
        <v>56</v>
      </c>
      <c r="AN127" t="s">
        <v>56</v>
      </c>
      <c r="AO127" t="s">
        <v>56</v>
      </c>
      <c r="AP127" t="s">
        <v>56</v>
      </c>
      <c r="AQ127" t="s">
        <v>71</v>
      </c>
      <c r="AR127" t="s">
        <v>56</v>
      </c>
      <c r="AS127" t="s">
        <v>56</v>
      </c>
      <c r="AT127" t="s">
        <v>56</v>
      </c>
      <c r="AU127" t="s">
        <v>56</v>
      </c>
      <c r="AV127" t="s">
        <v>56</v>
      </c>
      <c r="AW127" t="s">
        <v>56</v>
      </c>
      <c r="AX127">
        <v>4</v>
      </c>
    </row>
    <row r="128" spans="1:50" x14ac:dyDescent="0.25">
      <c r="A128" t="str">
        <f>"20200202198017192339"</f>
        <v>20200202198017192339</v>
      </c>
      <c r="B128" t="s">
        <v>90</v>
      </c>
      <c r="C128" t="s">
        <v>90</v>
      </c>
      <c r="D128" t="s">
        <v>1058</v>
      </c>
      <c r="E128" t="str">
        <f>"134300049201"</f>
        <v>134300049201</v>
      </c>
      <c r="F128" t="s">
        <v>52</v>
      </c>
      <c r="G128">
        <v>900196347</v>
      </c>
      <c r="H128">
        <v>13430</v>
      </c>
      <c r="I128" t="s">
        <v>174</v>
      </c>
      <c r="J128" t="s">
        <v>175</v>
      </c>
      <c r="K128" t="s">
        <v>54</v>
      </c>
      <c r="L128">
        <v>73578467</v>
      </c>
      <c r="M128" t="s">
        <v>192</v>
      </c>
      <c r="N128" t="s">
        <v>94</v>
      </c>
      <c r="O128" t="s">
        <v>193</v>
      </c>
      <c r="P128" t="s">
        <v>194</v>
      </c>
      <c r="Q128">
        <v>130403</v>
      </c>
      <c r="R128" t="s">
        <v>54</v>
      </c>
      <c r="S128">
        <v>919792</v>
      </c>
      <c r="T128" t="s">
        <v>1059</v>
      </c>
      <c r="U128" t="s">
        <v>62</v>
      </c>
      <c r="V128" t="s">
        <v>1025</v>
      </c>
      <c r="W128" t="s">
        <v>1060</v>
      </c>
      <c r="X128" t="s">
        <v>183</v>
      </c>
      <c r="Y128" t="s">
        <v>101</v>
      </c>
      <c r="Z128">
        <v>22</v>
      </c>
      <c r="AA128" t="s">
        <v>102</v>
      </c>
      <c r="AB128">
        <v>0</v>
      </c>
      <c r="AC128" t="s">
        <v>66</v>
      </c>
      <c r="AD128">
        <v>0</v>
      </c>
      <c r="AE128" t="s">
        <v>66</v>
      </c>
      <c r="AF128" t="s">
        <v>56</v>
      </c>
      <c r="AG128" t="s">
        <v>56</v>
      </c>
      <c r="AH128" t="s">
        <v>56</v>
      </c>
      <c r="AI128" t="s">
        <v>56</v>
      </c>
      <c r="AJ128" t="s">
        <v>1061</v>
      </c>
      <c r="AK128" t="s">
        <v>1062</v>
      </c>
      <c r="AL128" t="s">
        <v>56</v>
      </c>
      <c r="AM128" t="s">
        <v>56</v>
      </c>
      <c r="AN128" t="s">
        <v>56</v>
      </c>
      <c r="AO128" t="s">
        <v>56</v>
      </c>
      <c r="AP128" t="s">
        <v>56</v>
      </c>
      <c r="AQ128" t="s">
        <v>71</v>
      </c>
      <c r="AR128" t="s">
        <v>56</v>
      </c>
      <c r="AS128" t="s">
        <v>56</v>
      </c>
      <c r="AT128" t="s">
        <v>56</v>
      </c>
      <c r="AU128" t="s">
        <v>56</v>
      </c>
      <c r="AV128" t="s">
        <v>56</v>
      </c>
      <c r="AW128" t="s">
        <v>56</v>
      </c>
      <c r="AX128">
        <v>4</v>
      </c>
    </row>
    <row r="129" spans="1:50" x14ac:dyDescent="0.25">
      <c r="A129" t="str">
        <f>"20200202193017191638"</f>
        <v>20200202193017191638</v>
      </c>
      <c r="B129" t="s">
        <v>90</v>
      </c>
      <c r="C129" t="s">
        <v>90</v>
      </c>
      <c r="D129" t="s">
        <v>1063</v>
      </c>
      <c r="E129" t="str">
        <f>"134300049201"</f>
        <v>134300049201</v>
      </c>
      <c r="F129" t="s">
        <v>52</v>
      </c>
      <c r="G129">
        <v>900196347</v>
      </c>
      <c r="H129">
        <v>13430</v>
      </c>
      <c r="I129" t="s">
        <v>174</v>
      </c>
      <c r="J129" t="s">
        <v>175</v>
      </c>
      <c r="K129" t="s">
        <v>54</v>
      </c>
      <c r="L129">
        <v>73578467</v>
      </c>
      <c r="M129" t="s">
        <v>192</v>
      </c>
      <c r="N129" t="s">
        <v>94</v>
      </c>
      <c r="O129" t="s">
        <v>193</v>
      </c>
      <c r="P129" t="s">
        <v>194</v>
      </c>
      <c r="Q129">
        <v>130403</v>
      </c>
      <c r="R129" t="s">
        <v>54</v>
      </c>
      <c r="S129">
        <v>919792</v>
      </c>
      <c r="T129" t="s">
        <v>1059</v>
      </c>
      <c r="U129" t="s">
        <v>62</v>
      </c>
      <c r="V129" t="s">
        <v>1025</v>
      </c>
      <c r="W129" t="s">
        <v>1060</v>
      </c>
      <c r="X129" t="s">
        <v>183</v>
      </c>
      <c r="Y129" t="s">
        <v>101</v>
      </c>
      <c r="Z129">
        <v>22</v>
      </c>
      <c r="AA129" t="s">
        <v>102</v>
      </c>
      <c r="AB129">
        <v>0</v>
      </c>
      <c r="AC129" t="s">
        <v>66</v>
      </c>
      <c r="AD129">
        <v>0</v>
      </c>
      <c r="AE129" t="s">
        <v>66</v>
      </c>
      <c r="AF129" t="s">
        <v>56</v>
      </c>
      <c r="AG129" t="s">
        <v>56</v>
      </c>
      <c r="AH129" t="s">
        <v>56</v>
      </c>
      <c r="AI129" t="s">
        <v>56</v>
      </c>
      <c r="AJ129" t="s">
        <v>333</v>
      </c>
      <c r="AK129" t="s">
        <v>334</v>
      </c>
      <c r="AL129" t="s">
        <v>56</v>
      </c>
      <c r="AM129" t="s">
        <v>56</v>
      </c>
      <c r="AN129" t="s">
        <v>56</v>
      </c>
      <c r="AO129" t="s">
        <v>56</v>
      </c>
      <c r="AP129" t="s">
        <v>56</v>
      </c>
      <c r="AQ129" t="s">
        <v>71</v>
      </c>
      <c r="AR129" t="s">
        <v>56</v>
      </c>
      <c r="AS129" t="s">
        <v>56</v>
      </c>
      <c r="AT129" t="s">
        <v>56</v>
      </c>
      <c r="AU129" t="s">
        <v>56</v>
      </c>
      <c r="AV129" t="s">
        <v>56</v>
      </c>
      <c r="AW129" t="s">
        <v>56</v>
      </c>
      <c r="AX129">
        <v>4</v>
      </c>
    </row>
    <row r="130" spans="1:50" x14ac:dyDescent="0.25">
      <c r="A130" t="str">
        <f>"20200129189017103366"</f>
        <v>20200129189017103366</v>
      </c>
      <c r="B130" t="s">
        <v>72</v>
      </c>
      <c r="C130" t="s">
        <v>72</v>
      </c>
      <c r="D130" t="s">
        <v>1064</v>
      </c>
      <c r="E130" t="str">
        <f>"080010003601"</f>
        <v>080010003601</v>
      </c>
      <c r="F130" t="s">
        <v>52</v>
      </c>
      <c r="G130">
        <v>802000955</v>
      </c>
      <c r="H130" t="s">
        <v>112</v>
      </c>
      <c r="I130" t="s">
        <v>218</v>
      </c>
      <c r="J130" t="s">
        <v>56</v>
      </c>
      <c r="K130" t="s">
        <v>54</v>
      </c>
      <c r="L130">
        <v>1051357508</v>
      </c>
      <c r="M130" t="s">
        <v>644</v>
      </c>
      <c r="N130" t="s">
        <v>645</v>
      </c>
      <c r="O130" t="s">
        <v>646</v>
      </c>
      <c r="P130" t="s">
        <v>647</v>
      </c>
      <c r="Q130">
        <v>81153</v>
      </c>
      <c r="R130" t="s">
        <v>54</v>
      </c>
      <c r="S130">
        <v>22350331</v>
      </c>
      <c r="T130" t="s">
        <v>1065</v>
      </c>
      <c r="U130" t="s">
        <v>1066</v>
      </c>
      <c r="V130" t="s">
        <v>1067</v>
      </c>
      <c r="W130" t="s">
        <v>1068</v>
      </c>
      <c r="X130" t="s">
        <v>120</v>
      </c>
      <c r="Y130" t="s">
        <v>121</v>
      </c>
      <c r="Z130">
        <v>12</v>
      </c>
      <c r="AA130" t="s">
        <v>65</v>
      </c>
      <c r="AB130" t="s">
        <v>56</v>
      </c>
      <c r="AC130" t="s">
        <v>56</v>
      </c>
      <c r="AD130">
        <v>0</v>
      </c>
      <c r="AE130" t="s">
        <v>66</v>
      </c>
      <c r="AF130" t="s">
        <v>56</v>
      </c>
      <c r="AG130" t="s">
        <v>56</v>
      </c>
      <c r="AH130" t="s">
        <v>56</v>
      </c>
      <c r="AI130" t="s">
        <v>56</v>
      </c>
      <c r="AJ130" t="s">
        <v>228</v>
      </c>
      <c r="AK130" t="s">
        <v>229</v>
      </c>
      <c r="AL130" t="s">
        <v>56</v>
      </c>
      <c r="AM130" t="s">
        <v>56</v>
      </c>
      <c r="AN130" t="s">
        <v>56</v>
      </c>
      <c r="AO130" t="s">
        <v>56</v>
      </c>
      <c r="AP130" t="s">
        <v>56</v>
      </c>
      <c r="AQ130" t="s">
        <v>71</v>
      </c>
      <c r="AR130" t="s">
        <v>56</v>
      </c>
      <c r="AS130" t="s">
        <v>56</v>
      </c>
      <c r="AT130" t="s">
        <v>56</v>
      </c>
      <c r="AU130" t="s">
        <v>56</v>
      </c>
      <c r="AV130" t="s">
        <v>56</v>
      </c>
      <c r="AW130" t="s">
        <v>56</v>
      </c>
      <c r="AX130">
        <v>4</v>
      </c>
    </row>
    <row r="131" spans="1:50" x14ac:dyDescent="0.25">
      <c r="A131" t="str">
        <f>"20200127170017060361"</f>
        <v>20200127170017060361</v>
      </c>
      <c r="B131" t="s">
        <v>190</v>
      </c>
      <c r="C131" t="s">
        <v>190</v>
      </c>
      <c r="D131" t="s">
        <v>1069</v>
      </c>
      <c r="E131" t="str">
        <f>"270010112701"</f>
        <v>270010112701</v>
      </c>
      <c r="F131" t="s">
        <v>52</v>
      </c>
      <c r="G131">
        <v>901012362</v>
      </c>
      <c r="H131">
        <v>27001</v>
      </c>
      <c r="I131" t="s">
        <v>1070</v>
      </c>
      <c r="J131">
        <v>3146567446</v>
      </c>
      <c r="K131" t="s">
        <v>54</v>
      </c>
      <c r="L131">
        <v>4803450</v>
      </c>
      <c r="M131" t="s">
        <v>1071</v>
      </c>
      <c r="N131" t="s">
        <v>56</v>
      </c>
      <c r="O131" t="s">
        <v>1072</v>
      </c>
      <c r="P131" t="s">
        <v>1073</v>
      </c>
      <c r="Q131">
        <v>271089</v>
      </c>
      <c r="R131" t="s">
        <v>54</v>
      </c>
      <c r="S131">
        <v>35770057</v>
      </c>
      <c r="T131" t="s">
        <v>117</v>
      </c>
      <c r="U131" t="s">
        <v>1074</v>
      </c>
      <c r="V131" t="s">
        <v>1075</v>
      </c>
      <c r="W131" t="s">
        <v>1076</v>
      </c>
      <c r="X131" t="s">
        <v>1077</v>
      </c>
      <c r="Y131" t="s">
        <v>717</v>
      </c>
      <c r="Z131">
        <v>11</v>
      </c>
      <c r="AA131" t="s">
        <v>87</v>
      </c>
      <c r="AB131" t="s">
        <v>56</v>
      </c>
      <c r="AC131" t="s">
        <v>56</v>
      </c>
      <c r="AD131">
        <v>0</v>
      </c>
      <c r="AE131" t="s">
        <v>66</v>
      </c>
      <c r="AF131" t="s">
        <v>56</v>
      </c>
      <c r="AG131" t="s">
        <v>56</v>
      </c>
      <c r="AH131" t="s">
        <v>56</v>
      </c>
      <c r="AI131" t="s">
        <v>56</v>
      </c>
      <c r="AJ131" t="s">
        <v>1078</v>
      </c>
      <c r="AK131" t="s">
        <v>1079</v>
      </c>
      <c r="AL131" t="s">
        <v>1080</v>
      </c>
      <c r="AM131" t="s">
        <v>1081</v>
      </c>
      <c r="AN131" t="s">
        <v>56</v>
      </c>
      <c r="AO131" t="s">
        <v>56</v>
      </c>
      <c r="AP131" t="s">
        <v>56</v>
      </c>
      <c r="AQ131" t="s">
        <v>71</v>
      </c>
      <c r="AR131" t="s">
        <v>56</v>
      </c>
      <c r="AS131" t="s">
        <v>56</v>
      </c>
      <c r="AT131" t="s">
        <v>56</v>
      </c>
      <c r="AU131" t="s">
        <v>56</v>
      </c>
      <c r="AV131" t="s">
        <v>56</v>
      </c>
      <c r="AW131" t="s">
        <v>56</v>
      </c>
      <c r="AX131">
        <v>4</v>
      </c>
    </row>
    <row r="132" spans="1:50" x14ac:dyDescent="0.25">
      <c r="A132" t="str">
        <f>"20200127197017060188"</f>
        <v>20200127197017060188</v>
      </c>
      <c r="B132" t="s">
        <v>190</v>
      </c>
      <c r="C132" t="s">
        <v>190</v>
      </c>
      <c r="D132" t="s">
        <v>1082</v>
      </c>
      <c r="E132" t="str">
        <f>"270010112701"</f>
        <v>270010112701</v>
      </c>
      <c r="F132" t="s">
        <v>52</v>
      </c>
      <c r="G132">
        <v>901012362</v>
      </c>
      <c r="H132">
        <v>27001</v>
      </c>
      <c r="I132" t="s">
        <v>1070</v>
      </c>
      <c r="J132">
        <v>3146567446</v>
      </c>
      <c r="K132" t="s">
        <v>54</v>
      </c>
      <c r="L132">
        <v>4803450</v>
      </c>
      <c r="M132" t="s">
        <v>1071</v>
      </c>
      <c r="N132" t="s">
        <v>56</v>
      </c>
      <c r="O132" t="s">
        <v>1072</v>
      </c>
      <c r="P132" t="s">
        <v>1073</v>
      </c>
      <c r="Q132">
        <v>271089</v>
      </c>
      <c r="R132" t="s">
        <v>54</v>
      </c>
      <c r="S132">
        <v>35770057</v>
      </c>
      <c r="T132" t="s">
        <v>117</v>
      </c>
      <c r="U132" t="s">
        <v>1074</v>
      </c>
      <c r="V132" t="s">
        <v>1075</v>
      </c>
      <c r="W132" t="s">
        <v>1076</v>
      </c>
      <c r="X132" t="s">
        <v>1077</v>
      </c>
      <c r="Y132" t="s">
        <v>717</v>
      </c>
      <c r="Z132">
        <v>11</v>
      </c>
      <c r="AA132" t="s">
        <v>87</v>
      </c>
      <c r="AB132" t="s">
        <v>56</v>
      </c>
      <c r="AC132" t="s">
        <v>56</v>
      </c>
      <c r="AD132">
        <v>0</v>
      </c>
      <c r="AE132" t="s">
        <v>66</v>
      </c>
      <c r="AF132" t="s">
        <v>56</v>
      </c>
      <c r="AG132" t="s">
        <v>56</v>
      </c>
      <c r="AH132" t="s">
        <v>56</v>
      </c>
      <c r="AI132" t="s">
        <v>56</v>
      </c>
      <c r="AJ132" t="s">
        <v>1078</v>
      </c>
      <c r="AK132" t="s">
        <v>1079</v>
      </c>
      <c r="AL132" t="s">
        <v>507</v>
      </c>
      <c r="AM132" t="s">
        <v>508</v>
      </c>
      <c r="AN132" t="s">
        <v>56</v>
      </c>
      <c r="AO132" t="s">
        <v>56</v>
      </c>
      <c r="AP132" t="s">
        <v>56</v>
      </c>
      <c r="AQ132" t="s">
        <v>71</v>
      </c>
      <c r="AR132" t="s">
        <v>56</v>
      </c>
      <c r="AS132" t="s">
        <v>56</v>
      </c>
      <c r="AT132" t="s">
        <v>56</v>
      </c>
      <c r="AU132" t="s">
        <v>56</v>
      </c>
      <c r="AV132" t="s">
        <v>56</v>
      </c>
      <c r="AW132" t="s">
        <v>56</v>
      </c>
      <c r="AX132">
        <v>4</v>
      </c>
    </row>
    <row r="133" spans="1:50" x14ac:dyDescent="0.25">
      <c r="A133" t="str">
        <f>"20200129137017106607"</f>
        <v>20200129137017106607</v>
      </c>
      <c r="B133" t="s">
        <v>72</v>
      </c>
      <c r="C133" t="s">
        <v>72</v>
      </c>
      <c r="D133" t="s">
        <v>1083</v>
      </c>
      <c r="E133" t="str">
        <f>"080010430501"</f>
        <v>080010430501</v>
      </c>
      <c r="F133" t="s">
        <v>52</v>
      </c>
      <c r="G133">
        <v>900206215</v>
      </c>
      <c r="H133" t="s">
        <v>112</v>
      </c>
      <c r="I133" t="s">
        <v>1084</v>
      </c>
      <c r="J133">
        <v>3174342880</v>
      </c>
      <c r="K133" t="s">
        <v>54</v>
      </c>
      <c r="L133">
        <v>32833623</v>
      </c>
      <c r="M133" t="s">
        <v>1065</v>
      </c>
      <c r="N133" t="s">
        <v>59</v>
      </c>
      <c r="O133" t="s">
        <v>659</v>
      </c>
      <c r="P133" t="s">
        <v>252</v>
      </c>
      <c r="Q133">
        <v>32833623</v>
      </c>
      <c r="R133" t="s">
        <v>237</v>
      </c>
      <c r="S133">
        <v>1048293018</v>
      </c>
      <c r="T133" t="s">
        <v>1085</v>
      </c>
      <c r="U133" t="s">
        <v>296</v>
      </c>
      <c r="V133" t="s">
        <v>412</v>
      </c>
      <c r="W133" t="s">
        <v>355</v>
      </c>
      <c r="X133" t="s">
        <v>120</v>
      </c>
      <c r="Y133" t="s">
        <v>121</v>
      </c>
      <c r="Z133">
        <v>12</v>
      </c>
      <c r="AA133" t="s">
        <v>65</v>
      </c>
      <c r="AB133" t="s">
        <v>56</v>
      </c>
      <c r="AC133" t="s">
        <v>56</v>
      </c>
      <c r="AD133">
        <v>0</v>
      </c>
      <c r="AE133" t="s">
        <v>66</v>
      </c>
      <c r="AF133" t="s">
        <v>56</v>
      </c>
      <c r="AG133" t="s">
        <v>56</v>
      </c>
      <c r="AH133" t="s">
        <v>56</v>
      </c>
      <c r="AI133" t="s">
        <v>56</v>
      </c>
      <c r="AJ133" t="s">
        <v>894</v>
      </c>
      <c r="AK133" t="s">
        <v>895</v>
      </c>
      <c r="AL133" t="s">
        <v>1086</v>
      </c>
      <c r="AM133" t="s">
        <v>1087</v>
      </c>
      <c r="AN133" t="s">
        <v>1088</v>
      </c>
      <c r="AO133" t="s">
        <v>1089</v>
      </c>
      <c r="AP133" t="s">
        <v>56</v>
      </c>
      <c r="AQ133" t="s">
        <v>71</v>
      </c>
      <c r="AR133" t="s">
        <v>56</v>
      </c>
      <c r="AS133" t="s">
        <v>56</v>
      </c>
      <c r="AT133" t="s">
        <v>56</v>
      </c>
      <c r="AU133" t="s">
        <v>56</v>
      </c>
      <c r="AV133" t="s">
        <v>56</v>
      </c>
      <c r="AW133" t="s">
        <v>56</v>
      </c>
      <c r="AX133">
        <v>4</v>
      </c>
    </row>
    <row r="134" spans="1:50" x14ac:dyDescent="0.25">
      <c r="A134" t="str">
        <f>"20200130117017148110"</f>
        <v>20200130117017148110</v>
      </c>
      <c r="B134" t="s">
        <v>124</v>
      </c>
      <c r="C134" t="s">
        <v>124</v>
      </c>
      <c r="D134" t="s">
        <v>1090</v>
      </c>
      <c r="E134" t="str">
        <f>"761470728201"</f>
        <v>761470728201</v>
      </c>
      <c r="F134" t="s">
        <v>52</v>
      </c>
      <c r="G134">
        <v>900247710</v>
      </c>
      <c r="H134">
        <v>76147</v>
      </c>
      <c r="I134" t="s">
        <v>526</v>
      </c>
      <c r="J134">
        <v>2108988</v>
      </c>
      <c r="K134" t="s">
        <v>54</v>
      </c>
      <c r="L134">
        <v>16684482</v>
      </c>
      <c r="M134" t="s">
        <v>870</v>
      </c>
      <c r="N134" t="s">
        <v>1091</v>
      </c>
      <c r="O134" t="s">
        <v>1092</v>
      </c>
      <c r="P134" t="s">
        <v>1093</v>
      </c>
      <c r="Q134">
        <v>90490</v>
      </c>
      <c r="R134" t="s">
        <v>54</v>
      </c>
      <c r="S134">
        <v>94262945</v>
      </c>
      <c r="T134" t="s">
        <v>375</v>
      </c>
      <c r="U134" t="s">
        <v>62</v>
      </c>
      <c r="V134" t="s">
        <v>298</v>
      </c>
      <c r="W134" t="s">
        <v>883</v>
      </c>
      <c r="X134" t="s">
        <v>744</v>
      </c>
      <c r="Y134" t="s">
        <v>64</v>
      </c>
      <c r="Z134">
        <v>12</v>
      </c>
      <c r="AA134" t="s">
        <v>65</v>
      </c>
      <c r="AB134" t="s">
        <v>56</v>
      </c>
      <c r="AC134" t="s">
        <v>56</v>
      </c>
      <c r="AD134">
        <v>0</v>
      </c>
      <c r="AE134" t="s">
        <v>66</v>
      </c>
      <c r="AF134" t="s">
        <v>56</v>
      </c>
      <c r="AG134" t="s">
        <v>56</v>
      </c>
      <c r="AH134" t="s">
        <v>56</v>
      </c>
      <c r="AI134" t="s">
        <v>56</v>
      </c>
      <c r="AJ134" t="s">
        <v>1094</v>
      </c>
      <c r="AK134" t="s">
        <v>1095</v>
      </c>
      <c r="AL134" t="s">
        <v>56</v>
      </c>
      <c r="AM134" t="s">
        <v>56</v>
      </c>
      <c r="AN134" t="s">
        <v>56</v>
      </c>
      <c r="AO134" t="s">
        <v>56</v>
      </c>
      <c r="AP134" t="s">
        <v>56</v>
      </c>
      <c r="AQ134" t="s">
        <v>71</v>
      </c>
      <c r="AR134" t="s">
        <v>56</v>
      </c>
      <c r="AS134" t="s">
        <v>56</v>
      </c>
      <c r="AT134" t="s">
        <v>56</v>
      </c>
      <c r="AU134" t="s">
        <v>56</v>
      </c>
      <c r="AV134" t="s">
        <v>56</v>
      </c>
      <c r="AW134" t="s">
        <v>56</v>
      </c>
      <c r="AX134">
        <v>4</v>
      </c>
    </row>
    <row r="135" spans="1:50" x14ac:dyDescent="0.25">
      <c r="A135" t="str">
        <f>"20200127181017063743"</f>
        <v>20200127181017063743</v>
      </c>
      <c r="B135" t="s">
        <v>190</v>
      </c>
      <c r="C135" t="s">
        <v>190</v>
      </c>
      <c r="D135" t="s">
        <v>1096</v>
      </c>
      <c r="E135" t="str">
        <f>"080010003601"</f>
        <v>080010003601</v>
      </c>
      <c r="F135" t="s">
        <v>52</v>
      </c>
      <c r="G135">
        <v>802000955</v>
      </c>
      <c r="H135" t="s">
        <v>112</v>
      </c>
      <c r="I135" t="s">
        <v>218</v>
      </c>
      <c r="J135" t="s">
        <v>56</v>
      </c>
      <c r="K135" t="s">
        <v>54</v>
      </c>
      <c r="L135">
        <v>1045754222</v>
      </c>
      <c r="M135" t="s">
        <v>607</v>
      </c>
      <c r="N135" t="s">
        <v>117</v>
      </c>
      <c r="O135" t="s">
        <v>608</v>
      </c>
      <c r="P135" t="s">
        <v>528</v>
      </c>
      <c r="Q135">
        <v>1045754222</v>
      </c>
      <c r="R135" t="s">
        <v>54</v>
      </c>
      <c r="S135">
        <v>22843252</v>
      </c>
      <c r="T135" t="s">
        <v>117</v>
      </c>
      <c r="U135" t="s">
        <v>1097</v>
      </c>
      <c r="V135" t="s">
        <v>639</v>
      </c>
      <c r="W135" t="s">
        <v>608</v>
      </c>
      <c r="X135" t="s">
        <v>1098</v>
      </c>
      <c r="Y135" t="s">
        <v>101</v>
      </c>
      <c r="Z135">
        <v>12</v>
      </c>
      <c r="AA135" t="s">
        <v>65</v>
      </c>
      <c r="AB135" t="s">
        <v>56</v>
      </c>
      <c r="AC135" t="s">
        <v>56</v>
      </c>
      <c r="AD135">
        <v>0</v>
      </c>
      <c r="AE135" t="s">
        <v>66</v>
      </c>
      <c r="AF135" t="s">
        <v>56</v>
      </c>
      <c r="AG135" t="s">
        <v>56</v>
      </c>
      <c r="AH135" t="s">
        <v>56</v>
      </c>
      <c r="AI135" t="s">
        <v>56</v>
      </c>
      <c r="AJ135" t="s">
        <v>613</v>
      </c>
      <c r="AK135" t="s">
        <v>614</v>
      </c>
      <c r="AL135" t="s">
        <v>56</v>
      </c>
      <c r="AM135" t="s">
        <v>56</v>
      </c>
      <c r="AN135" t="s">
        <v>56</v>
      </c>
      <c r="AO135" t="s">
        <v>56</v>
      </c>
      <c r="AP135" t="s">
        <v>56</v>
      </c>
      <c r="AQ135" t="s">
        <v>71</v>
      </c>
      <c r="AR135" t="s">
        <v>56</v>
      </c>
      <c r="AS135" t="s">
        <v>56</v>
      </c>
      <c r="AT135" t="s">
        <v>56</v>
      </c>
      <c r="AU135" t="s">
        <v>56</v>
      </c>
      <c r="AV135" t="s">
        <v>56</v>
      </c>
      <c r="AW135" t="s">
        <v>56</v>
      </c>
      <c r="AX135">
        <v>4</v>
      </c>
    </row>
    <row r="136" spans="1:50" x14ac:dyDescent="0.25">
      <c r="A136" t="str">
        <f>"20200129131017099119"</f>
        <v>20200129131017099119</v>
      </c>
      <c r="B136" t="s">
        <v>72</v>
      </c>
      <c r="C136" t="s">
        <v>72</v>
      </c>
      <c r="D136" t="s">
        <v>1099</v>
      </c>
      <c r="E136" t="str">
        <f>"761470851601"</f>
        <v>761470851601</v>
      </c>
      <c r="F136" t="s">
        <v>52</v>
      </c>
      <c r="G136">
        <v>900472731</v>
      </c>
      <c r="H136">
        <v>76147</v>
      </c>
      <c r="I136" t="s">
        <v>53</v>
      </c>
      <c r="J136">
        <v>2146686</v>
      </c>
      <c r="K136" t="s">
        <v>54</v>
      </c>
      <c r="L136">
        <v>1140888144</v>
      </c>
      <c r="M136" t="s">
        <v>1100</v>
      </c>
      <c r="N136" t="s">
        <v>1006</v>
      </c>
      <c r="O136" t="s">
        <v>364</v>
      </c>
      <c r="P136" t="s">
        <v>1101</v>
      </c>
      <c r="Q136">
        <v>1140888144</v>
      </c>
      <c r="R136" t="s">
        <v>54</v>
      </c>
      <c r="S136">
        <v>1112779731</v>
      </c>
      <c r="T136" t="s">
        <v>106</v>
      </c>
      <c r="U136" t="s">
        <v>596</v>
      </c>
      <c r="V136" t="s">
        <v>1102</v>
      </c>
      <c r="W136" t="s">
        <v>449</v>
      </c>
      <c r="X136" t="s">
        <v>277</v>
      </c>
      <c r="Y136" t="s">
        <v>64</v>
      </c>
      <c r="Z136">
        <v>21</v>
      </c>
      <c r="AA136" t="s">
        <v>1103</v>
      </c>
      <c r="AB136" t="s">
        <v>56</v>
      </c>
      <c r="AC136" t="s">
        <v>56</v>
      </c>
      <c r="AD136">
        <v>0</v>
      </c>
      <c r="AE136" t="s">
        <v>66</v>
      </c>
      <c r="AF136" t="s">
        <v>56</v>
      </c>
      <c r="AG136" t="s">
        <v>56</v>
      </c>
      <c r="AH136" t="s">
        <v>56</v>
      </c>
      <c r="AI136" t="s">
        <v>56</v>
      </c>
      <c r="AJ136" t="s">
        <v>760</v>
      </c>
      <c r="AK136" t="s">
        <v>761</v>
      </c>
      <c r="AL136" t="s">
        <v>1048</v>
      </c>
      <c r="AM136" t="s">
        <v>1049</v>
      </c>
      <c r="AN136" t="s">
        <v>56</v>
      </c>
      <c r="AO136" t="s">
        <v>56</v>
      </c>
      <c r="AP136" t="s">
        <v>56</v>
      </c>
      <c r="AQ136" t="s">
        <v>71</v>
      </c>
      <c r="AR136" t="s">
        <v>56</v>
      </c>
      <c r="AS136" t="s">
        <v>56</v>
      </c>
      <c r="AT136" t="s">
        <v>56</v>
      </c>
      <c r="AU136" t="s">
        <v>56</v>
      </c>
      <c r="AV136" t="s">
        <v>56</v>
      </c>
      <c r="AW136" t="s">
        <v>56</v>
      </c>
      <c r="AX136">
        <v>4</v>
      </c>
    </row>
    <row r="137" spans="1:50" x14ac:dyDescent="0.25">
      <c r="A137" t="str">
        <f>"20200129144017116818"</f>
        <v>20200129144017116818</v>
      </c>
      <c r="B137" t="s">
        <v>72</v>
      </c>
      <c r="C137" t="s">
        <v>72</v>
      </c>
      <c r="D137" t="s">
        <v>1104</v>
      </c>
      <c r="E137" t="str">
        <f>"130010178101"</f>
        <v>130010178101</v>
      </c>
      <c r="F137" t="s">
        <v>52</v>
      </c>
      <c r="G137">
        <v>900042103</v>
      </c>
      <c r="H137">
        <v>13001</v>
      </c>
      <c r="I137" t="s">
        <v>92</v>
      </c>
      <c r="J137">
        <v>6726017</v>
      </c>
      <c r="K137" t="s">
        <v>54</v>
      </c>
      <c r="L137">
        <v>52451110</v>
      </c>
      <c r="M137" t="s">
        <v>1105</v>
      </c>
      <c r="N137" t="s">
        <v>56</v>
      </c>
      <c r="O137" t="s">
        <v>207</v>
      </c>
      <c r="P137" t="s">
        <v>1106</v>
      </c>
      <c r="Q137" t="s">
        <v>1107</v>
      </c>
      <c r="R137" t="s">
        <v>54</v>
      </c>
      <c r="S137">
        <v>45472642</v>
      </c>
      <c r="T137" t="s">
        <v>579</v>
      </c>
      <c r="U137" t="s">
        <v>62</v>
      </c>
      <c r="V137" t="s">
        <v>1108</v>
      </c>
      <c r="W137" t="s">
        <v>1109</v>
      </c>
      <c r="X137" t="s">
        <v>427</v>
      </c>
      <c r="Y137" t="s">
        <v>101</v>
      </c>
      <c r="Z137">
        <v>12</v>
      </c>
      <c r="AA137" t="s">
        <v>65</v>
      </c>
      <c r="AB137" t="s">
        <v>56</v>
      </c>
      <c r="AC137" t="s">
        <v>56</v>
      </c>
      <c r="AD137">
        <v>0</v>
      </c>
      <c r="AE137" t="s">
        <v>66</v>
      </c>
      <c r="AF137" t="s">
        <v>56</v>
      </c>
      <c r="AG137" t="s">
        <v>56</v>
      </c>
      <c r="AH137" t="s">
        <v>56</v>
      </c>
      <c r="AI137" t="s">
        <v>56</v>
      </c>
      <c r="AJ137" t="s">
        <v>1110</v>
      </c>
      <c r="AK137" t="s">
        <v>1111</v>
      </c>
      <c r="AL137" t="s">
        <v>1112</v>
      </c>
      <c r="AM137" t="s">
        <v>1113</v>
      </c>
      <c r="AN137" t="s">
        <v>56</v>
      </c>
      <c r="AO137" t="s">
        <v>56</v>
      </c>
      <c r="AP137" t="s">
        <v>56</v>
      </c>
      <c r="AQ137" t="s">
        <v>71</v>
      </c>
      <c r="AR137" t="s">
        <v>56</v>
      </c>
      <c r="AS137" t="s">
        <v>56</v>
      </c>
      <c r="AT137" t="s">
        <v>56</v>
      </c>
      <c r="AU137" t="s">
        <v>56</v>
      </c>
      <c r="AV137" t="s">
        <v>56</v>
      </c>
      <c r="AW137" t="s">
        <v>56</v>
      </c>
      <c r="AX137">
        <v>4</v>
      </c>
    </row>
    <row r="138" spans="1:50" x14ac:dyDescent="0.25">
      <c r="A138" t="str">
        <f>"20200128112017092023"</f>
        <v>20200128112017092023</v>
      </c>
      <c r="B138" t="s">
        <v>151</v>
      </c>
      <c r="C138" t="s">
        <v>151</v>
      </c>
      <c r="D138" t="s">
        <v>1114</v>
      </c>
      <c r="E138" t="str">
        <f>"080010409201"</f>
        <v>080010409201</v>
      </c>
      <c r="F138" t="s">
        <v>52</v>
      </c>
      <c r="G138">
        <v>900448414</v>
      </c>
      <c r="H138" t="s">
        <v>112</v>
      </c>
      <c r="I138" t="s">
        <v>785</v>
      </c>
      <c r="J138">
        <v>3545674</v>
      </c>
      <c r="K138" t="s">
        <v>54</v>
      </c>
      <c r="L138">
        <v>85470076</v>
      </c>
      <c r="M138" t="s">
        <v>916</v>
      </c>
      <c r="N138" t="s">
        <v>1115</v>
      </c>
      <c r="O138" t="s">
        <v>274</v>
      </c>
      <c r="P138" t="s">
        <v>1116</v>
      </c>
      <c r="Q138">
        <v>2110</v>
      </c>
      <c r="R138" t="s">
        <v>54</v>
      </c>
      <c r="S138">
        <v>5023573</v>
      </c>
      <c r="T138" t="s">
        <v>1117</v>
      </c>
      <c r="U138" t="s">
        <v>76</v>
      </c>
      <c r="V138" t="s">
        <v>263</v>
      </c>
      <c r="W138" t="s">
        <v>1118</v>
      </c>
      <c r="X138" t="s">
        <v>299</v>
      </c>
      <c r="Y138" t="s">
        <v>121</v>
      </c>
      <c r="Z138">
        <v>12</v>
      </c>
      <c r="AA138" t="s">
        <v>65</v>
      </c>
      <c r="AB138" t="s">
        <v>56</v>
      </c>
      <c r="AC138" t="s">
        <v>56</v>
      </c>
      <c r="AD138">
        <v>0</v>
      </c>
      <c r="AE138" t="s">
        <v>66</v>
      </c>
      <c r="AF138" t="s">
        <v>56</v>
      </c>
      <c r="AG138" t="s">
        <v>56</v>
      </c>
      <c r="AH138" t="s">
        <v>56</v>
      </c>
      <c r="AI138" t="s">
        <v>56</v>
      </c>
      <c r="AJ138" t="s">
        <v>1119</v>
      </c>
      <c r="AK138" t="s">
        <v>1120</v>
      </c>
      <c r="AL138" t="s">
        <v>56</v>
      </c>
      <c r="AM138" t="s">
        <v>56</v>
      </c>
      <c r="AN138" t="s">
        <v>56</v>
      </c>
      <c r="AO138" t="s">
        <v>56</v>
      </c>
      <c r="AP138" t="s">
        <v>56</v>
      </c>
      <c r="AQ138" t="s">
        <v>71</v>
      </c>
      <c r="AR138" t="s">
        <v>56</v>
      </c>
      <c r="AS138" t="s">
        <v>56</v>
      </c>
      <c r="AT138" t="s">
        <v>56</v>
      </c>
      <c r="AU138" t="s">
        <v>56</v>
      </c>
      <c r="AV138" t="s">
        <v>56</v>
      </c>
      <c r="AW138" t="s">
        <v>56</v>
      </c>
      <c r="AX138">
        <v>4</v>
      </c>
    </row>
    <row r="139" spans="1:50" x14ac:dyDescent="0.25">
      <c r="A139" t="str">
        <f>"20200129159017126171"</f>
        <v>20200129159017126171</v>
      </c>
      <c r="B139" t="s">
        <v>72</v>
      </c>
      <c r="C139" t="s">
        <v>72</v>
      </c>
      <c r="D139" t="s">
        <v>1121</v>
      </c>
      <c r="E139" t="str">
        <f>"270010103801"</f>
        <v>270010103801</v>
      </c>
      <c r="F139" t="s">
        <v>52</v>
      </c>
      <c r="G139">
        <v>900771065</v>
      </c>
      <c r="H139">
        <v>27001</v>
      </c>
      <c r="I139" t="s">
        <v>1122</v>
      </c>
      <c r="J139">
        <v>3122303518</v>
      </c>
      <c r="K139" t="s">
        <v>54</v>
      </c>
      <c r="L139">
        <v>11814040</v>
      </c>
      <c r="M139" t="s">
        <v>1123</v>
      </c>
      <c r="N139" t="s">
        <v>86</v>
      </c>
      <c r="O139" t="s">
        <v>1124</v>
      </c>
      <c r="P139" t="s">
        <v>108</v>
      </c>
      <c r="Q139">
        <v>271126</v>
      </c>
      <c r="R139" t="s">
        <v>54</v>
      </c>
      <c r="S139">
        <v>12020533</v>
      </c>
      <c r="T139" t="s">
        <v>1125</v>
      </c>
      <c r="U139" t="s">
        <v>485</v>
      </c>
      <c r="V139" t="s">
        <v>1126</v>
      </c>
      <c r="W139" t="s">
        <v>1076</v>
      </c>
      <c r="X139" t="s">
        <v>860</v>
      </c>
      <c r="Y139" t="s">
        <v>717</v>
      </c>
      <c r="Z139">
        <v>12</v>
      </c>
      <c r="AA139" t="s">
        <v>65</v>
      </c>
      <c r="AB139" t="s">
        <v>56</v>
      </c>
      <c r="AC139" t="s">
        <v>56</v>
      </c>
      <c r="AD139">
        <v>0</v>
      </c>
      <c r="AE139" t="s">
        <v>66</v>
      </c>
      <c r="AF139" t="s">
        <v>56</v>
      </c>
      <c r="AG139" t="s">
        <v>56</v>
      </c>
      <c r="AH139" t="s">
        <v>56</v>
      </c>
      <c r="AI139" t="s">
        <v>56</v>
      </c>
      <c r="AJ139" t="s">
        <v>1127</v>
      </c>
      <c r="AK139" t="s">
        <v>1128</v>
      </c>
      <c r="AL139" t="s">
        <v>56</v>
      </c>
      <c r="AM139" t="s">
        <v>56</v>
      </c>
      <c r="AN139" t="s">
        <v>56</v>
      </c>
      <c r="AO139" t="s">
        <v>56</v>
      </c>
      <c r="AP139" t="s">
        <v>56</v>
      </c>
      <c r="AQ139" t="s">
        <v>71</v>
      </c>
      <c r="AR139" t="s">
        <v>56</v>
      </c>
      <c r="AS139" t="s">
        <v>56</v>
      </c>
      <c r="AT139" t="s">
        <v>56</v>
      </c>
      <c r="AU139" t="s">
        <v>56</v>
      </c>
      <c r="AV139" t="s">
        <v>56</v>
      </c>
      <c r="AW139" t="s">
        <v>56</v>
      </c>
      <c r="AX139">
        <v>4</v>
      </c>
    </row>
    <row r="140" spans="1:50" x14ac:dyDescent="0.25">
      <c r="A140" t="str">
        <f>"20200131170017176275"</f>
        <v>20200131170017176275</v>
      </c>
      <c r="B140" t="s">
        <v>110</v>
      </c>
      <c r="C140" t="s">
        <v>110</v>
      </c>
      <c r="D140" t="s">
        <v>1129</v>
      </c>
      <c r="E140" t="str">
        <f>"200010001801"</f>
        <v>200010001801</v>
      </c>
      <c r="F140" t="s">
        <v>52</v>
      </c>
      <c r="G140">
        <v>900008328</v>
      </c>
      <c r="H140">
        <v>20001</v>
      </c>
      <c r="I140" t="s">
        <v>336</v>
      </c>
      <c r="J140" t="s">
        <v>337</v>
      </c>
      <c r="K140" t="s">
        <v>54</v>
      </c>
      <c r="L140">
        <v>77192688</v>
      </c>
      <c r="M140" t="s">
        <v>1130</v>
      </c>
      <c r="N140" t="s">
        <v>56</v>
      </c>
      <c r="O140" t="s">
        <v>528</v>
      </c>
      <c r="P140" t="s">
        <v>1131</v>
      </c>
      <c r="Q140">
        <v>204552007</v>
      </c>
      <c r="R140" t="s">
        <v>54</v>
      </c>
      <c r="S140">
        <v>6632760</v>
      </c>
      <c r="T140" t="s">
        <v>854</v>
      </c>
      <c r="U140" t="s">
        <v>62</v>
      </c>
      <c r="V140" t="s">
        <v>923</v>
      </c>
      <c r="W140" t="s">
        <v>376</v>
      </c>
      <c r="X140" t="s">
        <v>704</v>
      </c>
      <c r="Y140" t="s">
        <v>86</v>
      </c>
      <c r="Z140">
        <v>11</v>
      </c>
      <c r="AA140" t="s">
        <v>87</v>
      </c>
      <c r="AB140" t="s">
        <v>56</v>
      </c>
      <c r="AC140" t="s">
        <v>56</v>
      </c>
      <c r="AD140">
        <v>0</v>
      </c>
      <c r="AE140" t="s">
        <v>66</v>
      </c>
      <c r="AF140" t="s">
        <v>56</v>
      </c>
      <c r="AG140" t="s">
        <v>56</v>
      </c>
      <c r="AH140" t="s">
        <v>56</v>
      </c>
      <c r="AI140" t="s">
        <v>56</v>
      </c>
      <c r="AJ140" t="s">
        <v>1119</v>
      </c>
      <c r="AK140" t="s">
        <v>1120</v>
      </c>
      <c r="AL140" t="s">
        <v>56</v>
      </c>
      <c r="AM140" t="s">
        <v>56</v>
      </c>
      <c r="AN140" t="s">
        <v>56</v>
      </c>
      <c r="AO140" t="s">
        <v>56</v>
      </c>
      <c r="AP140" t="s">
        <v>56</v>
      </c>
      <c r="AQ140" t="s">
        <v>71</v>
      </c>
      <c r="AR140" t="s">
        <v>56</v>
      </c>
      <c r="AS140" t="s">
        <v>56</v>
      </c>
      <c r="AT140" t="s">
        <v>56</v>
      </c>
      <c r="AU140" t="s">
        <v>56</v>
      </c>
      <c r="AV140" t="s">
        <v>56</v>
      </c>
      <c r="AW140" t="s">
        <v>56</v>
      </c>
      <c r="AX140">
        <v>4</v>
      </c>
    </row>
    <row r="141" spans="1:50" x14ac:dyDescent="0.25">
      <c r="A141" t="str">
        <f>"20200129120017116695"</f>
        <v>20200129120017116695</v>
      </c>
      <c r="B141" t="s">
        <v>72</v>
      </c>
      <c r="C141" t="s">
        <v>72</v>
      </c>
      <c r="D141" t="s">
        <v>1132</v>
      </c>
      <c r="E141" t="str">
        <f>"200010083101"</f>
        <v>200010083101</v>
      </c>
      <c r="F141" t="s">
        <v>52</v>
      </c>
      <c r="G141">
        <v>900066797</v>
      </c>
      <c r="H141">
        <v>20001</v>
      </c>
      <c r="I141" t="s">
        <v>457</v>
      </c>
      <c r="J141" t="s">
        <v>458</v>
      </c>
      <c r="K141" t="s">
        <v>54</v>
      </c>
      <c r="L141">
        <v>49760462</v>
      </c>
      <c r="M141" t="s">
        <v>459</v>
      </c>
      <c r="N141" t="s">
        <v>117</v>
      </c>
      <c r="O141" t="s">
        <v>460</v>
      </c>
      <c r="P141" t="s">
        <v>403</v>
      </c>
      <c r="Q141">
        <v>8550</v>
      </c>
      <c r="R141" t="s">
        <v>54</v>
      </c>
      <c r="S141">
        <v>77161619</v>
      </c>
      <c r="T141" t="s">
        <v>1133</v>
      </c>
      <c r="U141" t="s">
        <v>76</v>
      </c>
      <c r="V141" t="s">
        <v>743</v>
      </c>
      <c r="W141" t="s">
        <v>1134</v>
      </c>
      <c r="X141" t="s">
        <v>148</v>
      </c>
      <c r="Y141" t="s">
        <v>86</v>
      </c>
      <c r="Z141">
        <v>12</v>
      </c>
      <c r="AA141" t="s">
        <v>65</v>
      </c>
      <c r="AB141" t="s">
        <v>56</v>
      </c>
      <c r="AC141" t="s">
        <v>56</v>
      </c>
      <c r="AD141">
        <v>0</v>
      </c>
      <c r="AE141" t="s">
        <v>66</v>
      </c>
      <c r="AF141" t="s">
        <v>56</v>
      </c>
      <c r="AG141" t="s">
        <v>56</v>
      </c>
      <c r="AH141" t="s">
        <v>56</v>
      </c>
      <c r="AI141" t="s">
        <v>56</v>
      </c>
      <c r="AJ141" t="s">
        <v>463</v>
      </c>
      <c r="AK141" t="s">
        <v>464</v>
      </c>
      <c r="AL141" t="s">
        <v>1135</v>
      </c>
      <c r="AM141" t="s">
        <v>1136</v>
      </c>
      <c r="AN141" t="s">
        <v>56</v>
      </c>
      <c r="AO141" t="s">
        <v>56</v>
      </c>
      <c r="AP141" t="s">
        <v>56</v>
      </c>
      <c r="AQ141" t="s">
        <v>71</v>
      </c>
      <c r="AR141" t="s">
        <v>56</v>
      </c>
      <c r="AS141" t="s">
        <v>56</v>
      </c>
      <c r="AT141" t="s">
        <v>56</v>
      </c>
      <c r="AU141" t="s">
        <v>56</v>
      </c>
      <c r="AV141" t="s">
        <v>56</v>
      </c>
      <c r="AW141" t="s">
        <v>56</v>
      </c>
      <c r="AX141">
        <v>4</v>
      </c>
    </row>
    <row r="142" spans="1:50" x14ac:dyDescent="0.25">
      <c r="A142" t="str">
        <f>"20200130125017151388"</f>
        <v>20200130125017151388</v>
      </c>
      <c r="B142" t="s">
        <v>124</v>
      </c>
      <c r="C142" t="s">
        <v>124</v>
      </c>
      <c r="D142" t="s">
        <v>1137</v>
      </c>
      <c r="E142" t="str">
        <f>"086850011001"</f>
        <v>086850011001</v>
      </c>
      <c r="F142" t="s">
        <v>52</v>
      </c>
      <c r="G142">
        <v>800174123</v>
      </c>
      <c r="H142" t="s">
        <v>433</v>
      </c>
      <c r="I142" t="s">
        <v>434</v>
      </c>
      <c r="J142">
        <v>8790494</v>
      </c>
      <c r="K142" t="s">
        <v>54</v>
      </c>
      <c r="L142">
        <v>1140854953</v>
      </c>
      <c r="M142" t="s">
        <v>435</v>
      </c>
      <c r="N142" t="s">
        <v>436</v>
      </c>
      <c r="O142" t="s">
        <v>437</v>
      </c>
      <c r="P142" t="s">
        <v>438</v>
      </c>
      <c r="Q142" t="s">
        <v>439</v>
      </c>
      <c r="R142" t="s">
        <v>54</v>
      </c>
      <c r="S142">
        <v>22319819</v>
      </c>
      <c r="T142" t="s">
        <v>1138</v>
      </c>
      <c r="U142" t="s">
        <v>117</v>
      </c>
      <c r="V142" t="s">
        <v>1139</v>
      </c>
      <c r="W142" t="s">
        <v>1140</v>
      </c>
      <c r="X142" t="s">
        <v>443</v>
      </c>
      <c r="Y142" t="s">
        <v>121</v>
      </c>
      <c r="Z142">
        <v>12</v>
      </c>
      <c r="AA142" t="s">
        <v>65</v>
      </c>
      <c r="AB142" t="s">
        <v>56</v>
      </c>
      <c r="AC142" t="s">
        <v>56</v>
      </c>
      <c r="AD142">
        <v>0</v>
      </c>
      <c r="AE142" t="s">
        <v>66</v>
      </c>
      <c r="AF142" t="s">
        <v>56</v>
      </c>
      <c r="AG142" t="s">
        <v>56</v>
      </c>
      <c r="AH142" t="s">
        <v>56</v>
      </c>
      <c r="AI142" t="s">
        <v>56</v>
      </c>
      <c r="AJ142" t="s">
        <v>828</v>
      </c>
      <c r="AK142" t="s">
        <v>829</v>
      </c>
      <c r="AL142" t="s">
        <v>149</v>
      </c>
      <c r="AM142" t="s">
        <v>150</v>
      </c>
      <c r="AN142" t="s">
        <v>56</v>
      </c>
      <c r="AO142" t="s">
        <v>56</v>
      </c>
      <c r="AP142" t="s">
        <v>56</v>
      </c>
      <c r="AQ142" t="s">
        <v>71</v>
      </c>
      <c r="AR142" t="s">
        <v>56</v>
      </c>
      <c r="AS142" t="s">
        <v>56</v>
      </c>
      <c r="AT142" t="s">
        <v>56</v>
      </c>
      <c r="AU142" t="s">
        <v>56</v>
      </c>
      <c r="AV142" t="s">
        <v>56</v>
      </c>
      <c r="AW142" t="s">
        <v>56</v>
      </c>
      <c r="AX142">
        <v>4</v>
      </c>
    </row>
    <row r="143" spans="1:50" x14ac:dyDescent="0.25">
      <c r="A143" t="str">
        <f>"20200131140017160458"</f>
        <v>20200131140017160458</v>
      </c>
      <c r="B143" t="s">
        <v>110</v>
      </c>
      <c r="C143" t="s">
        <v>110</v>
      </c>
      <c r="D143" t="s">
        <v>1141</v>
      </c>
      <c r="E143" t="str">
        <f>"761470067210"</f>
        <v>761470067210</v>
      </c>
      <c r="F143" t="s">
        <v>52</v>
      </c>
      <c r="G143">
        <v>836000386</v>
      </c>
      <c r="H143">
        <v>76147</v>
      </c>
      <c r="I143" t="s">
        <v>1142</v>
      </c>
      <c r="J143" t="s">
        <v>1143</v>
      </c>
      <c r="K143" t="s">
        <v>54</v>
      </c>
      <c r="L143">
        <v>16213224</v>
      </c>
      <c r="M143" t="s">
        <v>492</v>
      </c>
      <c r="N143" t="s">
        <v>1144</v>
      </c>
      <c r="O143" t="s">
        <v>57</v>
      </c>
      <c r="P143" t="s">
        <v>276</v>
      </c>
      <c r="Q143">
        <v>734</v>
      </c>
      <c r="R143" t="s">
        <v>440</v>
      </c>
      <c r="S143">
        <v>1143979846</v>
      </c>
      <c r="T143" t="s">
        <v>1145</v>
      </c>
      <c r="U143" t="s">
        <v>117</v>
      </c>
      <c r="V143" t="s">
        <v>1146</v>
      </c>
      <c r="W143" t="s">
        <v>552</v>
      </c>
      <c r="X143" t="s">
        <v>277</v>
      </c>
      <c r="Y143" t="s">
        <v>64</v>
      </c>
      <c r="Z143">
        <v>11</v>
      </c>
      <c r="AA143" t="s">
        <v>87</v>
      </c>
      <c r="AB143" t="s">
        <v>56</v>
      </c>
      <c r="AC143" t="s">
        <v>56</v>
      </c>
      <c r="AD143">
        <v>0</v>
      </c>
      <c r="AE143" t="s">
        <v>66</v>
      </c>
      <c r="AF143" t="s">
        <v>56</v>
      </c>
      <c r="AG143" t="s">
        <v>56</v>
      </c>
      <c r="AH143" t="s">
        <v>56</v>
      </c>
      <c r="AI143" t="s">
        <v>56</v>
      </c>
      <c r="AJ143" t="s">
        <v>1147</v>
      </c>
      <c r="AK143" t="s">
        <v>1148</v>
      </c>
      <c r="AL143" t="s">
        <v>1149</v>
      </c>
      <c r="AM143" t="s">
        <v>1150</v>
      </c>
      <c r="AN143" t="s">
        <v>56</v>
      </c>
      <c r="AO143" t="s">
        <v>56</v>
      </c>
      <c r="AP143" t="s">
        <v>56</v>
      </c>
      <c r="AQ143" t="s">
        <v>71</v>
      </c>
      <c r="AR143" t="s">
        <v>56</v>
      </c>
      <c r="AS143" t="s">
        <v>56</v>
      </c>
      <c r="AT143" t="s">
        <v>56</v>
      </c>
      <c r="AU143" t="s">
        <v>56</v>
      </c>
      <c r="AV143" t="s">
        <v>56</v>
      </c>
      <c r="AW143" t="s">
        <v>56</v>
      </c>
      <c r="AX143">
        <v>4</v>
      </c>
    </row>
    <row r="144" spans="1:50" x14ac:dyDescent="0.25">
      <c r="A144" t="str">
        <f>"20200130139017137256"</f>
        <v>20200130139017137256</v>
      </c>
      <c r="B144" t="s">
        <v>124</v>
      </c>
      <c r="C144" t="s">
        <v>124</v>
      </c>
      <c r="D144" t="s">
        <v>1151</v>
      </c>
      <c r="E144" t="str">
        <f>"761470067210"</f>
        <v>761470067210</v>
      </c>
      <c r="F144" t="s">
        <v>52</v>
      </c>
      <c r="G144">
        <v>836000386</v>
      </c>
      <c r="H144">
        <v>76147</v>
      </c>
      <c r="I144" t="s">
        <v>1142</v>
      </c>
      <c r="J144" t="s">
        <v>1143</v>
      </c>
      <c r="K144" t="s">
        <v>54</v>
      </c>
      <c r="L144">
        <v>31419038</v>
      </c>
      <c r="M144" t="s">
        <v>504</v>
      </c>
      <c r="N144" t="s">
        <v>627</v>
      </c>
      <c r="O144" t="s">
        <v>1152</v>
      </c>
      <c r="P144" t="s">
        <v>207</v>
      </c>
      <c r="Q144" t="s">
        <v>1153</v>
      </c>
      <c r="R144" t="s">
        <v>54</v>
      </c>
      <c r="S144">
        <v>31396970</v>
      </c>
      <c r="T144" t="s">
        <v>1154</v>
      </c>
      <c r="U144" t="s">
        <v>62</v>
      </c>
      <c r="V144" t="s">
        <v>119</v>
      </c>
      <c r="W144" t="s">
        <v>1155</v>
      </c>
      <c r="X144" t="s">
        <v>277</v>
      </c>
      <c r="Y144" t="s">
        <v>64</v>
      </c>
      <c r="Z144">
        <v>12</v>
      </c>
      <c r="AA144" t="s">
        <v>65</v>
      </c>
      <c r="AB144" t="s">
        <v>56</v>
      </c>
      <c r="AC144" t="s">
        <v>56</v>
      </c>
      <c r="AD144">
        <v>0</v>
      </c>
      <c r="AE144" t="s">
        <v>66</v>
      </c>
      <c r="AF144" t="s">
        <v>56</v>
      </c>
      <c r="AG144" t="s">
        <v>56</v>
      </c>
      <c r="AH144" t="s">
        <v>56</v>
      </c>
      <c r="AI144" t="s">
        <v>56</v>
      </c>
      <c r="AJ144" t="s">
        <v>199</v>
      </c>
      <c r="AK144" t="s">
        <v>200</v>
      </c>
      <c r="AL144" t="s">
        <v>56</v>
      </c>
      <c r="AM144" t="s">
        <v>56</v>
      </c>
      <c r="AN144" t="s">
        <v>56</v>
      </c>
      <c r="AO144" t="s">
        <v>56</v>
      </c>
      <c r="AP144" t="s">
        <v>56</v>
      </c>
      <c r="AQ144" t="s">
        <v>71</v>
      </c>
      <c r="AR144" t="s">
        <v>56</v>
      </c>
      <c r="AS144" t="s">
        <v>56</v>
      </c>
      <c r="AT144" t="s">
        <v>56</v>
      </c>
      <c r="AU144" t="s">
        <v>56</v>
      </c>
      <c r="AV144" t="s">
        <v>56</v>
      </c>
      <c r="AW144" t="s">
        <v>56</v>
      </c>
      <c r="AX144">
        <v>4</v>
      </c>
    </row>
    <row r="145" spans="1:50" x14ac:dyDescent="0.25">
      <c r="A145" t="str">
        <f>"20200127126017046963"</f>
        <v>20200127126017046963</v>
      </c>
      <c r="B145" t="s">
        <v>190</v>
      </c>
      <c r="C145" t="s">
        <v>190</v>
      </c>
      <c r="D145" t="s">
        <v>1156</v>
      </c>
      <c r="E145" t="str">
        <f>"087580106601"</f>
        <v>087580106601</v>
      </c>
      <c r="F145" t="s">
        <v>52</v>
      </c>
      <c r="G145">
        <v>802009778</v>
      </c>
      <c r="H145" t="s">
        <v>74</v>
      </c>
      <c r="I145" t="s">
        <v>1157</v>
      </c>
      <c r="J145">
        <v>3183766379</v>
      </c>
      <c r="K145" t="s">
        <v>54</v>
      </c>
      <c r="L145">
        <v>1129526150</v>
      </c>
      <c r="M145" t="s">
        <v>81</v>
      </c>
      <c r="N145" t="s">
        <v>164</v>
      </c>
      <c r="O145" t="s">
        <v>1158</v>
      </c>
      <c r="P145" t="s">
        <v>703</v>
      </c>
      <c r="Q145" t="s">
        <v>1159</v>
      </c>
      <c r="R145" t="s">
        <v>54</v>
      </c>
      <c r="S145">
        <v>44151616</v>
      </c>
      <c r="T145" t="s">
        <v>1160</v>
      </c>
      <c r="U145" t="s">
        <v>627</v>
      </c>
      <c r="V145" t="s">
        <v>381</v>
      </c>
      <c r="W145" t="s">
        <v>568</v>
      </c>
      <c r="X145" t="s">
        <v>299</v>
      </c>
      <c r="Y145" t="s">
        <v>121</v>
      </c>
      <c r="Z145">
        <v>12</v>
      </c>
      <c r="AA145" t="s">
        <v>65</v>
      </c>
      <c r="AB145" t="s">
        <v>56</v>
      </c>
      <c r="AC145" t="s">
        <v>56</v>
      </c>
      <c r="AD145">
        <v>0</v>
      </c>
      <c r="AE145" t="s">
        <v>66</v>
      </c>
      <c r="AF145" t="s">
        <v>56</v>
      </c>
      <c r="AG145" t="s">
        <v>56</v>
      </c>
      <c r="AH145" t="s">
        <v>56</v>
      </c>
      <c r="AI145" t="s">
        <v>56</v>
      </c>
      <c r="AJ145" t="s">
        <v>255</v>
      </c>
      <c r="AK145" t="s">
        <v>256</v>
      </c>
      <c r="AL145" t="s">
        <v>56</v>
      </c>
      <c r="AM145" t="s">
        <v>56</v>
      </c>
      <c r="AN145" t="s">
        <v>56</v>
      </c>
      <c r="AO145" t="s">
        <v>56</v>
      </c>
      <c r="AP145" t="s">
        <v>56</v>
      </c>
      <c r="AQ145" t="s">
        <v>71</v>
      </c>
      <c r="AR145" t="s">
        <v>56</v>
      </c>
      <c r="AS145" t="s">
        <v>56</v>
      </c>
      <c r="AT145" t="s">
        <v>56</v>
      </c>
      <c r="AU145" t="s">
        <v>56</v>
      </c>
      <c r="AV145" t="s">
        <v>56</v>
      </c>
      <c r="AW145" t="s">
        <v>56</v>
      </c>
      <c r="AX145">
        <v>4</v>
      </c>
    </row>
    <row r="146" spans="1:50" x14ac:dyDescent="0.25">
      <c r="A146" t="str">
        <f>"20200131140017178889"</f>
        <v>20200131140017178889</v>
      </c>
      <c r="B146" t="s">
        <v>110</v>
      </c>
      <c r="C146" t="s">
        <v>110</v>
      </c>
      <c r="D146" t="s">
        <v>1161</v>
      </c>
      <c r="E146" t="str">
        <f>"086380015501"</f>
        <v>086380015501</v>
      </c>
      <c r="F146" t="s">
        <v>52</v>
      </c>
      <c r="G146">
        <v>802010241</v>
      </c>
      <c r="H146" t="s">
        <v>246</v>
      </c>
      <c r="I146" t="s">
        <v>1162</v>
      </c>
      <c r="J146">
        <v>8781332</v>
      </c>
      <c r="K146" t="s">
        <v>54</v>
      </c>
      <c r="L146">
        <v>22637225</v>
      </c>
      <c r="M146" t="s">
        <v>1163</v>
      </c>
      <c r="N146" t="s">
        <v>1164</v>
      </c>
      <c r="O146" t="s">
        <v>691</v>
      </c>
      <c r="P146" t="s">
        <v>568</v>
      </c>
      <c r="Q146">
        <v>22637225</v>
      </c>
      <c r="R146" t="s">
        <v>54</v>
      </c>
      <c r="S146">
        <v>1043024671</v>
      </c>
      <c r="T146" t="s">
        <v>1165</v>
      </c>
      <c r="U146" t="s">
        <v>296</v>
      </c>
      <c r="V146" t="s">
        <v>181</v>
      </c>
      <c r="W146" t="s">
        <v>1166</v>
      </c>
      <c r="X146" t="s">
        <v>590</v>
      </c>
      <c r="Y146" t="s">
        <v>121</v>
      </c>
      <c r="Z146">
        <v>11</v>
      </c>
      <c r="AA146" t="s">
        <v>87</v>
      </c>
      <c r="AB146" t="s">
        <v>56</v>
      </c>
      <c r="AC146" t="s">
        <v>56</v>
      </c>
      <c r="AD146">
        <v>0</v>
      </c>
      <c r="AE146" t="s">
        <v>66</v>
      </c>
      <c r="AF146" t="s">
        <v>56</v>
      </c>
      <c r="AG146" t="s">
        <v>56</v>
      </c>
      <c r="AH146" t="s">
        <v>56</v>
      </c>
      <c r="AI146" t="s">
        <v>56</v>
      </c>
      <c r="AJ146" t="s">
        <v>591</v>
      </c>
      <c r="AK146" t="s">
        <v>592</v>
      </c>
      <c r="AL146" t="s">
        <v>56</v>
      </c>
      <c r="AM146" t="s">
        <v>56</v>
      </c>
      <c r="AN146" t="s">
        <v>56</v>
      </c>
      <c r="AO146" t="s">
        <v>56</v>
      </c>
      <c r="AP146" t="s">
        <v>56</v>
      </c>
      <c r="AQ146" t="s">
        <v>71</v>
      </c>
      <c r="AR146" t="s">
        <v>56</v>
      </c>
      <c r="AS146" t="s">
        <v>56</v>
      </c>
      <c r="AT146" t="s">
        <v>56</v>
      </c>
      <c r="AU146" t="s">
        <v>56</v>
      </c>
      <c r="AV146" t="s">
        <v>56</v>
      </c>
      <c r="AW146" t="s">
        <v>56</v>
      </c>
      <c r="AX146">
        <v>4</v>
      </c>
    </row>
    <row r="147" spans="1:50" x14ac:dyDescent="0.25">
      <c r="A147" t="str">
        <f>"20200201186017184141"</f>
        <v>20200201186017184141</v>
      </c>
      <c r="B147" t="s">
        <v>50</v>
      </c>
      <c r="C147" t="s">
        <v>50</v>
      </c>
      <c r="D147" t="s">
        <v>1167</v>
      </c>
      <c r="E147" t="str">
        <f>"080010003601"</f>
        <v>080010003601</v>
      </c>
      <c r="F147" t="s">
        <v>52</v>
      </c>
      <c r="G147">
        <v>802000955</v>
      </c>
      <c r="H147" t="s">
        <v>112</v>
      </c>
      <c r="I147" t="s">
        <v>218</v>
      </c>
      <c r="J147" t="s">
        <v>56</v>
      </c>
      <c r="K147" t="s">
        <v>54</v>
      </c>
      <c r="L147">
        <v>32672981</v>
      </c>
      <c r="M147" t="s">
        <v>117</v>
      </c>
      <c r="N147" t="s">
        <v>97</v>
      </c>
      <c r="O147" t="s">
        <v>977</v>
      </c>
      <c r="P147" t="s">
        <v>1168</v>
      </c>
      <c r="Q147" t="s">
        <v>1169</v>
      </c>
      <c r="R147" t="s">
        <v>54</v>
      </c>
      <c r="S147">
        <v>85440957</v>
      </c>
      <c r="T147" t="s">
        <v>76</v>
      </c>
      <c r="U147" t="s">
        <v>62</v>
      </c>
      <c r="V147" t="s">
        <v>1170</v>
      </c>
      <c r="W147" t="s">
        <v>1171</v>
      </c>
      <c r="X147" t="s">
        <v>1172</v>
      </c>
      <c r="Y147" t="s">
        <v>345</v>
      </c>
      <c r="Z147">
        <v>12</v>
      </c>
      <c r="AA147" t="s">
        <v>65</v>
      </c>
      <c r="AB147" t="s">
        <v>56</v>
      </c>
      <c r="AC147" t="s">
        <v>56</v>
      </c>
      <c r="AD147">
        <v>0</v>
      </c>
      <c r="AE147" t="s">
        <v>66</v>
      </c>
      <c r="AF147" t="s">
        <v>56</v>
      </c>
      <c r="AG147" t="s">
        <v>56</v>
      </c>
      <c r="AH147" t="s">
        <v>56</v>
      </c>
      <c r="AI147" t="s">
        <v>56</v>
      </c>
      <c r="AJ147" t="s">
        <v>1173</v>
      </c>
      <c r="AK147" t="s">
        <v>1174</v>
      </c>
      <c r="AL147" t="s">
        <v>56</v>
      </c>
      <c r="AM147" t="s">
        <v>56</v>
      </c>
      <c r="AN147" t="s">
        <v>56</v>
      </c>
      <c r="AO147" t="s">
        <v>56</v>
      </c>
      <c r="AP147" t="s">
        <v>56</v>
      </c>
      <c r="AQ147" t="s">
        <v>71</v>
      </c>
      <c r="AR147" t="s">
        <v>56</v>
      </c>
      <c r="AS147" t="s">
        <v>56</v>
      </c>
      <c r="AT147" t="s">
        <v>56</v>
      </c>
      <c r="AU147" t="s">
        <v>56</v>
      </c>
      <c r="AV147" t="s">
        <v>56</v>
      </c>
      <c r="AW147" t="s">
        <v>56</v>
      </c>
      <c r="AX147">
        <v>4</v>
      </c>
    </row>
    <row r="148" spans="1:50" x14ac:dyDescent="0.25">
      <c r="A148" t="str">
        <f>"20200124188017013853"</f>
        <v>20200124188017013853</v>
      </c>
      <c r="B148" t="s">
        <v>201</v>
      </c>
      <c r="C148" t="s">
        <v>201</v>
      </c>
      <c r="D148" t="s">
        <v>1175</v>
      </c>
      <c r="E148" t="str">
        <f>"134300049201"</f>
        <v>134300049201</v>
      </c>
      <c r="F148" t="s">
        <v>52</v>
      </c>
      <c r="G148">
        <v>900196347</v>
      </c>
      <c r="H148">
        <v>13430</v>
      </c>
      <c r="I148" t="s">
        <v>174</v>
      </c>
      <c r="J148" t="s">
        <v>175</v>
      </c>
      <c r="K148" t="s">
        <v>54</v>
      </c>
      <c r="L148">
        <v>33336940</v>
      </c>
      <c r="M148" t="s">
        <v>1176</v>
      </c>
      <c r="N148" t="s">
        <v>117</v>
      </c>
      <c r="O148" t="s">
        <v>1144</v>
      </c>
      <c r="P148" t="s">
        <v>1177</v>
      </c>
      <c r="Q148">
        <v>10694</v>
      </c>
      <c r="R148" t="s">
        <v>54</v>
      </c>
      <c r="S148">
        <v>45535224</v>
      </c>
      <c r="T148" t="s">
        <v>1178</v>
      </c>
      <c r="U148" t="s">
        <v>1179</v>
      </c>
      <c r="V148" t="s">
        <v>560</v>
      </c>
      <c r="W148" t="s">
        <v>198</v>
      </c>
      <c r="X148" t="s">
        <v>183</v>
      </c>
      <c r="Y148" t="s">
        <v>101</v>
      </c>
      <c r="Z148">
        <v>12</v>
      </c>
      <c r="AA148" t="s">
        <v>65</v>
      </c>
      <c r="AB148" t="s">
        <v>56</v>
      </c>
      <c r="AC148" t="s">
        <v>56</v>
      </c>
      <c r="AD148">
        <v>0</v>
      </c>
      <c r="AE148" t="s">
        <v>66</v>
      </c>
      <c r="AF148" t="s">
        <v>56</v>
      </c>
      <c r="AG148" t="s">
        <v>56</v>
      </c>
      <c r="AH148" t="s">
        <v>56</v>
      </c>
      <c r="AI148" t="s">
        <v>56</v>
      </c>
      <c r="AJ148" t="s">
        <v>1180</v>
      </c>
      <c r="AK148" t="s">
        <v>1181</v>
      </c>
      <c r="AL148" t="s">
        <v>56</v>
      </c>
      <c r="AM148" t="s">
        <v>56</v>
      </c>
      <c r="AN148" t="s">
        <v>56</v>
      </c>
      <c r="AO148" t="s">
        <v>56</v>
      </c>
      <c r="AP148" t="s">
        <v>56</v>
      </c>
      <c r="AQ148" t="s">
        <v>71</v>
      </c>
      <c r="AR148" t="s">
        <v>56</v>
      </c>
      <c r="AS148" t="s">
        <v>56</v>
      </c>
      <c r="AT148" t="s">
        <v>56</v>
      </c>
      <c r="AU148" t="s">
        <v>56</v>
      </c>
      <c r="AV148" t="s">
        <v>56</v>
      </c>
      <c r="AW148" t="s">
        <v>56</v>
      </c>
      <c r="AX148">
        <v>4</v>
      </c>
    </row>
    <row r="149" spans="1:50" x14ac:dyDescent="0.25">
      <c r="A149" t="str">
        <f>"20200131194017181489"</f>
        <v>20200131194017181489</v>
      </c>
      <c r="B149" t="s">
        <v>110</v>
      </c>
      <c r="C149" t="s">
        <v>110</v>
      </c>
      <c r="D149" t="s">
        <v>1182</v>
      </c>
      <c r="E149" t="str">
        <f>"134300092701"</f>
        <v>134300092701</v>
      </c>
      <c r="F149" t="s">
        <v>52</v>
      </c>
      <c r="G149">
        <v>900638867</v>
      </c>
      <c r="H149">
        <v>13430</v>
      </c>
      <c r="I149" t="s">
        <v>1183</v>
      </c>
      <c r="J149" t="s">
        <v>1184</v>
      </c>
      <c r="K149" t="s">
        <v>54</v>
      </c>
      <c r="L149">
        <v>1065569820</v>
      </c>
      <c r="M149" t="s">
        <v>55</v>
      </c>
      <c r="N149" t="s">
        <v>56</v>
      </c>
      <c r="O149" t="s">
        <v>1185</v>
      </c>
      <c r="P149" t="s">
        <v>1186</v>
      </c>
      <c r="Q149" t="s">
        <v>1187</v>
      </c>
      <c r="R149" t="s">
        <v>54</v>
      </c>
      <c r="S149">
        <v>45535224</v>
      </c>
      <c r="T149" t="s">
        <v>1178</v>
      </c>
      <c r="U149" t="s">
        <v>1179</v>
      </c>
      <c r="V149" t="s">
        <v>560</v>
      </c>
      <c r="W149" t="s">
        <v>198</v>
      </c>
      <c r="X149" t="s">
        <v>183</v>
      </c>
      <c r="Y149" t="s">
        <v>101</v>
      </c>
      <c r="Z149">
        <v>12</v>
      </c>
      <c r="AA149" t="s">
        <v>65</v>
      </c>
      <c r="AB149" t="s">
        <v>56</v>
      </c>
      <c r="AC149" t="s">
        <v>56</v>
      </c>
      <c r="AD149">
        <v>0</v>
      </c>
      <c r="AE149" t="s">
        <v>66</v>
      </c>
      <c r="AF149" t="s">
        <v>56</v>
      </c>
      <c r="AG149" t="s">
        <v>56</v>
      </c>
      <c r="AH149" t="s">
        <v>56</v>
      </c>
      <c r="AI149" t="s">
        <v>56</v>
      </c>
      <c r="AJ149" t="s">
        <v>310</v>
      </c>
      <c r="AK149" t="s">
        <v>311</v>
      </c>
      <c r="AL149" t="s">
        <v>56</v>
      </c>
      <c r="AM149" t="s">
        <v>56</v>
      </c>
      <c r="AN149" t="s">
        <v>56</v>
      </c>
      <c r="AO149" t="s">
        <v>56</v>
      </c>
      <c r="AP149" t="s">
        <v>56</v>
      </c>
      <c r="AQ149" t="s">
        <v>71</v>
      </c>
      <c r="AR149" t="s">
        <v>56</v>
      </c>
      <c r="AS149" t="s">
        <v>56</v>
      </c>
      <c r="AT149" t="s">
        <v>56</v>
      </c>
      <c r="AU149" t="s">
        <v>56</v>
      </c>
      <c r="AV149" t="s">
        <v>56</v>
      </c>
      <c r="AW149" t="s">
        <v>56</v>
      </c>
      <c r="AX149">
        <v>4</v>
      </c>
    </row>
    <row r="150" spans="1:50" x14ac:dyDescent="0.25">
      <c r="A150" t="str">
        <f>"20200128159017078634"</f>
        <v>20200128159017078634</v>
      </c>
      <c r="B150" t="s">
        <v>151</v>
      </c>
      <c r="C150" t="s">
        <v>151</v>
      </c>
      <c r="D150" t="s">
        <v>1188</v>
      </c>
      <c r="E150" t="str">
        <f>"080010409201"</f>
        <v>080010409201</v>
      </c>
      <c r="F150" t="s">
        <v>52</v>
      </c>
      <c r="G150">
        <v>900448414</v>
      </c>
      <c r="H150" t="s">
        <v>112</v>
      </c>
      <c r="I150" t="s">
        <v>785</v>
      </c>
      <c r="J150">
        <v>3545674</v>
      </c>
      <c r="K150" t="s">
        <v>54</v>
      </c>
      <c r="L150">
        <v>72248346</v>
      </c>
      <c r="M150" t="s">
        <v>1189</v>
      </c>
      <c r="N150" t="s">
        <v>1190</v>
      </c>
      <c r="O150" t="s">
        <v>1191</v>
      </c>
      <c r="P150" t="s">
        <v>1192</v>
      </c>
      <c r="Q150">
        <v>23796</v>
      </c>
      <c r="R150" t="s">
        <v>54</v>
      </c>
      <c r="S150">
        <v>26826069</v>
      </c>
      <c r="T150" t="s">
        <v>1193</v>
      </c>
      <c r="U150" t="s">
        <v>196</v>
      </c>
      <c r="V150" t="s">
        <v>355</v>
      </c>
      <c r="W150" t="s">
        <v>1194</v>
      </c>
      <c r="X150" t="s">
        <v>120</v>
      </c>
      <c r="Y150" t="s">
        <v>121</v>
      </c>
      <c r="Z150">
        <v>12</v>
      </c>
      <c r="AA150" t="s">
        <v>65</v>
      </c>
      <c r="AB150" t="s">
        <v>56</v>
      </c>
      <c r="AC150" t="s">
        <v>56</v>
      </c>
      <c r="AD150">
        <v>0</v>
      </c>
      <c r="AE150" t="s">
        <v>66</v>
      </c>
      <c r="AF150" t="s">
        <v>56</v>
      </c>
      <c r="AG150" t="s">
        <v>56</v>
      </c>
      <c r="AH150" t="s">
        <v>56</v>
      </c>
      <c r="AI150" t="s">
        <v>56</v>
      </c>
      <c r="AJ150" t="s">
        <v>1195</v>
      </c>
      <c r="AK150" t="s">
        <v>1196</v>
      </c>
      <c r="AL150" t="s">
        <v>56</v>
      </c>
      <c r="AM150" t="s">
        <v>56</v>
      </c>
      <c r="AN150" t="s">
        <v>56</v>
      </c>
      <c r="AO150" t="s">
        <v>56</v>
      </c>
      <c r="AP150" t="s">
        <v>56</v>
      </c>
      <c r="AQ150" t="s">
        <v>71</v>
      </c>
      <c r="AR150" t="s">
        <v>56</v>
      </c>
      <c r="AS150" t="s">
        <v>56</v>
      </c>
      <c r="AT150" t="s">
        <v>56</v>
      </c>
      <c r="AU150" t="s">
        <v>56</v>
      </c>
      <c r="AV150" t="s">
        <v>56</v>
      </c>
      <c r="AW150" t="s">
        <v>56</v>
      </c>
      <c r="AX150">
        <v>4</v>
      </c>
    </row>
    <row r="151" spans="1:50" x14ac:dyDescent="0.25">
      <c r="A151" t="str">
        <f>"20200125127017033827"</f>
        <v>20200125127017033827</v>
      </c>
      <c r="B151" t="s">
        <v>752</v>
      </c>
      <c r="C151" t="s">
        <v>752</v>
      </c>
      <c r="D151" t="s">
        <v>1197</v>
      </c>
      <c r="E151" t="str">
        <f>"660010076201"</f>
        <v>660010076201</v>
      </c>
      <c r="F151" t="s">
        <v>52</v>
      </c>
      <c r="G151">
        <v>800231235</v>
      </c>
      <c r="H151">
        <v>66001</v>
      </c>
      <c r="I151" t="s">
        <v>1198</v>
      </c>
      <c r="J151">
        <v>3206745</v>
      </c>
      <c r="K151" t="s">
        <v>54</v>
      </c>
      <c r="L151">
        <v>1122782992</v>
      </c>
      <c r="M151" t="s">
        <v>1199</v>
      </c>
      <c r="N151" t="s">
        <v>281</v>
      </c>
      <c r="O151" t="s">
        <v>1200</v>
      </c>
      <c r="P151" t="s">
        <v>1201</v>
      </c>
      <c r="Q151">
        <v>1122782992</v>
      </c>
      <c r="R151" t="s">
        <v>54</v>
      </c>
      <c r="S151">
        <v>1412649</v>
      </c>
      <c r="T151" t="s">
        <v>1202</v>
      </c>
      <c r="U151" t="s">
        <v>94</v>
      </c>
      <c r="V151" t="s">
        <v>528</v>
      </c>
      <c r="W151" t="s">
        <v>297</v>
      </c>
      <c r="X151" t="s">
        <v>277</v>
      </c>
      <c r="Y151" t="s">
        <v>64</v>
      </c>
      <c r="Z151">
        <v>30</v>
      </c>
      <c r="AA151" t="s">
        <v>661</v>
      </c>
      <c r="AB151">
        <v>0</v>
      </c>
      <c r="AC151" t="s">
        <v>66</v>
      </c>
      <c r="AD151">
        <v>0</v>
      </c>
      <c r="AE151" t="s">
        <v>66</v>
      </c>
      <c r="AF151" t="s">
        <v>56</v>
      </c>
      <c r="AG151" t="s">
        <v>56</v>
      </c>
      <c r="AH151" t="s">
        <v>56</v>
      </c>
      <c r="AI151" t="s">
        <v>56</v>
      </c>
      <c r="AJ151" t="s">
        <v>215</v>
      </c>
      <c r="AK151" t="s">
        <v>216</v>
      </c>
      <c r="AL151" t="s">
        <v>56</v>
      </c>
      <c r="AM151" t="s">
        <v>56</v>
      </c>
      <c r="AN151" t="s">
        <v>56</v>
      </c>
      <c r="AO151" t="s">
        <v>56</v>
      </c>
      <c r="AP151" t="s">
        <v>56</v>
      </c>
      <c r="AQ151" t="s">
        <v>71</v>
      </c>
      <c r="AR151" t="s">
        <v>56</v>
      </c>
      <c r="AS151" t="s">
        <v>56</v>
      </c>
      <c r="AT151" t="s">
        <v>56</v>
      </c>
      <c r="AU151" t="s">
        <v>56</v>
      </c>
      <c r="AV151" t="s">
        <v>56</v>
      </c>
      <c r="AW151" t="s">
        <v>56</v>
      </c>
      <c r="AX151">
        <v>4</v>
      </c>
    </row>
    <row r="152" spans="1:50" x14ac:dyDescent="0.25">
      <c r="A152" t="str">
        <f>"20200125196017034039"</f>
        <v>20200125196017034039</v>
      </c>
      <c r="B152" t="s">
        <v>752</v>
      </c>
      <c r="C152" t="s">
        <v>752</v>
      </c>
      <c r="D152" t="s">
        <v>1203</v>
      </c>
      <c r="E152" t="str">
        <f>"660010076201"</f>
        <v>660010076201</v>
      </c>
      <c r="F152" t="s">
        <v>52</v>
      </c>
      <c r="G152">
        <v>800231235</v>
      </c>
      <c r="H152">
        <v>66001</v>
      </c>
      <c r="I152" t="s">
        <v>1198</v>
      </c>
      <c r="J152">
        <v>3206745</v>
      </c>
      <c r="K152" t="s">
        <v>54</v>
      </c>
      <c r="L152">
        <v>1122782992</v>
      </c>
      <c r="M152" t="s">
        <v>1199</v>
      </c>
      <c r="N152" t="s">
        <v>281</v>
      </c>
      <c r="O152" t="s">
        <v>1200</v>
      </c>
      <c r="P152" t="s">
        <v>1201</v>
      </c>
      <c r="Q152">
        <v>1122782992</v>
      </c>
      <c r="R152" t="s">
        <v>54</v>
      </c>
      <c r="S152">
        <v>1412649</v>
      </c>
      <c r="T152" t="s">
        <v>1202</v>
      </c>
      <c r="U152" t="s">
        <v>94</v>
      </c>
      <c r="V152" t="s">
        <v>528</v>
      </c>
      <c r="W152" t="s">
        <v>297</v>
      </c>
      <c r="X152" t="s">
        <v>277</v>
      </c>
      <c r="Y152" t="s">
        <v>64</v>
      </c>
      <c r="Z152">
        <v>30</v>
      </c>
      <c r="AA152" t="s">
        <v>661</v>
      </c>
      <c r="AB152">
        <v>0</v>
      </c>
      <c r="AC152" t="s">
        <v>66</v>
      </c>
      <c r="AD152">
        <v>0</v>
      </c>
      <c r="AE152" t="s">
        <v>66</v>
      </c>
      <c r="AF152" t="s">
        <v>56</v>
      </c>
      <c r="AG152" t="s">
        <v>56</v>
      </c>
      <c r="AH152" t="s">
        <v>56</v>
      </c>
      <c r="AI152" t="s">
        <v>56</v>
      </c>
      <c r="AJ152" t="s">
        <v>215</v>
      </c>
      <c r="AK152" t="s">
        <v>216</v>
      </c>
      <c r="AL152" t="s">
        <v>56</v>
      </c>
      <c r="AM152" t="s">
        <v>56</v>
      </c>
      <c r="AN152" t="s">
        <v>56</v>
      </c>
      <c r="AO152" t="s">
        <v>56</v>
      </c>
      <c r="AP152" t="s">
        <v>56</v>
      </c>
      <c r="AQ152" t="s">
        <v>71</v>
      </c>
      <c r="AR152" t="s">
        <v>56</v>
      </c>
      <c r="AS152" t="s">
        <v>56</v>
      </c>
      <c r="AT152" t="s">
        <v>56</v>
      </c>
      <c r="AU152" t="s">
        <v>56</v>
      </c>
      <c r="AV152" t="s">
        <v>56</v>
      </c>
      <c r="AW152" t="s">
        <v>56</v>
      </c>
      <c r="AX152">
        <v>4</v>
      </c>
    </row>
    <row r="153" spans="1:50" x14ac:dyDescent="0.25">
      <c r="A153" t="str">
        <f>"20200124143017004030"</f>
        <v>20200124143017004030</v>
      </c>
      <c r="B153" t="s">
        <v>201</v>
      </c>
      <c r="C153" t="s">
        <v>201</v>
      </c>
      <c r="D153" t="s">
        <v>1204</v>
      </c>
      <c r="E153" t="str">
        <f>"760410406501"</f>
        <v>760410406501</v>
      </c>
      <c r="F153" t="s">
        <v>52</v>
      </c>
      <c r="G153">
        <v>891900446</v>
      </c>
      <c r="H153">
        <v>76041</v>
      </c>
      <c r="I153" t="s">
        <v>739</v>
      </c>
      <c r="J153" t="s">
        <v>740</v>
      </c>
      <c r="K153" t="s">
        <v>54</v>
      </c>
      <c r="L153">
        <v>71581647</v>
      </c>
      <c r="M153" t="s">
        <v>741</v>
      </c>
      <c r="N153" t="s">
        <v>94</v>
      </c>
      <c r="O153" t="s">
        <v>742</v>
      </c>
      <c r="P153" t="s">
        <v>403</v>
      </c>
      <c r="Q153">
        <v>10263</v>
      </c>
      <c r="R153" t="s">
        <v>54</v>
      </c>
      <c r="S153">
        <v>24526104</v>
      </c>
      <c r="T153" t="s">
        <v>1205</v>
      </c>
      <c r="U153" t="s">
        <v>62</v>
      </c>
      <c r="V153" t="s">
        <v>859</v>
      </c>
      <c r="W153" t="s">
        <v>1206</v>
      </c>
      <c r="X153" t="s">
        <v>744</v>
      </c>
      <c r="Y153" t="s">
        <v>64</v>
      </c>
      <c r="Z153">
        <v>12</v>
      </c>
      <c r="AA153" t="s">
        <v>65</v>
      </c>
      <c r="AB153" t="s">
        <v>56</v>
      </c>
      <c r="AC153" t="s">
        <v>56</v>
      </c>
      <c r="AD153">
        <v>0</v>
      </c>
      <c r="AE153" t="s">
        <v>66</v>
      </c>
      <c r="AF153" t="s">
        <v>56</v>
      </c>
      <c r="AG153" t="s">
        <v>56</v>
      </c>
      <c r="AH153" t="s">
        <v>56</v>
      </c>
      <c r="AI153" t="s">
        <v>56</v>
      </c>
      <c r="AJ153" t="s">
        <v>1207</v>
      </c>
      <c r="AK153" t="s">
        <v>1208</v>
      </c>
      <c r="AL153" t="s">
        <v>56</v>
      </c>
      <c r="AM153" t="s">
        <v>56</v>
      </c>
      <c r="AN153" t="s">
        <v>56</v>
      </c>
      <c r="AO153" t="s">
        <v>56</v>
      </c>
      <c r="AP153" t="s">
        <v>56</v>
      </c>
      <c r="AQ153" t="s">
        <v>71</v>
      </c>
      <c r="AR153" t="s">
        <v>56</v>
      </c>
      <c r="AS153" t="s">
        <v>56</v>
      </c>
      <c r="AT153" t="s">
        <v>56</v>
      </c>
      <c r="AU153" t="s">
        <v>56</v>
      </c>
      <c r="AV153" t="s">
        <v>56</v>
      </c>
      <c r="AW153" t="s">
        <v>56</v>
      </c>
      <c r="AX153">
        <v>4</v>
      </c>
    </row>
    <row r="154" spans="1:50" x14ac:dyDescent="0.25">
      <c r="A154" t="str">
        <f>"20200127117017062449"</f>
        <v>20200127117017062449</v>
      </c>
      <c r="B154" t="s">
        <v>190</v>
      </c>
      <c r="C154" t="s">
        <v>190</v>
      </c>
      <c r="D154" t="s">
        <v>1209</v>
      </c>
      <c r="E154" t="str">
        <f>"080010003601"</f>
        <v>080010003601</v>
      </c>
      <c r="F154" t="s">
        <v>52</v>
      </c>
      <c r="G154">
        <v>802000955</v>
      </c>
      <c r="H154" t="s">
        <v>112</v>
      </c>
      <c r="I154" t="s">
        <v>218</v>
      </c>
      <c r="J154" t="s">
        <v>56</v>
      </c>
      <c r="K154" t="s">
        <v>54</v>
      </c>
      <c r="L154">
        <v>1045754222</v>
      </c>
      <c r="M154" t="s">
        <v>607</v>
      </c>
      <c r="N154" t="s">
        <v>117</v>
      </c>
      <c r="O154" t="s">
        <v>608</v>
      </c>
      <c r="P154" t="s">
        <v>528</v>
      </c>
      <c r="Q154">
        <v>1045754222</v>
      </c>
      <c r="R154" t="s">
        <v>54</v>
      </c>
      <c r="S154">
        <v>33119134</v>
      </c>
      <c r="T154" t="s">
        <v>1210</v>
      </c>
      <c r="U154" t="s">
        <v>296</v>
      </c>
      <c r="V154" t="s">
        <v>1144</v>
      </c>
      <c r="W154" t="s">
        <v>1211</v>
      </c>
      <c r="X154" t="s">
        <v>299</v>
      </c>
      <c r="Y154" t="s">
        <v>121</v>
      </c>
      <c r="Z154">
        <v>12</v>
      </c>
      <c r="AA154" t="s">
        <v>65</v>
      </c>
      <c r="AB154" t="s">
        <v>56</v>
      </c>
      <c r="AC154" t="s">
        <v>56</v>
      </c>
      <c r="AD154">
        <v>0</v>
      </c>
      <c r="AE154" t="s">
        <v>66</v>
      </c>
      <c r="AF154" t="s">
        <v>56</v>
      </c>
      <c r="AG154" t="s">
        <v>56</v>
      </c>
      <c r="AH154" t="s">
        <v>56</v>
      </c>
      <c r="AI154" t="s">
        <v>56</v>
      </c>
      <c r="AJ154" t="s">
        <v>536</v>
      </c>
      <c r="AK154" t="s">
        <v>537</v>
      </c>
      <c r="AL154" t="s">
        <v>56</v>
      </c>
      <c r="AM154" t="s">
        <v>56</v>
      </c>
      <c r="AN154" t="s">
        <v>56</v>
      </c>
      <c r="AO154" t="s">
        <v>56</v>
      </c>
      <c r="AP154" t="s">
        <v>56</v>
      </c>
      <c r="AQ154" t="s">
        <v>71</v>
      </c>
      <c r="AR154" t="s">
        <v>56</v>
      </c>
      <c r="AS154" t="s">
        <v>56</v>
      </c>
      <c r="AT154" t="s">
        <v>56</v>
      </c>
      <c r="AU154" t="s">
        <v>56</v>
      </c>
      <c r="AV154" t="s">
        <v>56</v>
      </c>
      <c r="AW154" t="s">
        <v>56</v>
      </c>
      <c r="AX154">
        <v>4</v>
      </c>
    </row>
    <row r="155" spans="1:50" x14ac:dyDescent="0.25">
      <c r="A155" t="str">
        <f>"20200125126017026387"</f>
        <v>20200125126017026387</v>
      </c>
      <c r="B155" t="s">
        <v>752</v>
      </c>
      <c r="C155" t="s">
        <v>752</v>
      </c>
      <c r="D155" t="s">
        <v>1212</v>
      </c>
      <c r="E155" t="str">
        <f>"080010025301"</f>
        <v>080010025301</v>
      </c>
      <c r="F155" t="s">
        <v>52</v>
      </c>
      <c r="G155">
        <v>800033723</v>
      </c>
      <c r="H155" t="s">
        <v>112</v>
      </c>
      <c r="I155" t="s">
        <v>763</v>
      </c>
      <c r="J155">
        <v>3681522</v>
      </c>
      <c r="K155" t="s">
        <v>54</v>
      </c>
      <c r="L155">
        <v>72005091</v>
      </c>
      <c r="M155" t="s">
        <v>764</v>
      </c>
      <c r="N155" t="s">
        <v>132</v>
      </c>
      <c r="O155" t="s">
        <v>528</v>
      </c>
      <c r="P155" t="s">
        <v>765</v>
      </c>
      <c r="Q155" t="s">
        <v>766</v>
      </c>
      <c r="R155" t="s">
        <v>54</v>
      </c>
      <c r="S155">
        <v>22364019</v>
      </c>
      <c r="T155" t="s">
        <v>1213</v>
      </c>
      <c r="U155" t="s">
        <v>1214</v>
      </c>
      <c r="V155" t="s">
        <v>1215</v>
      </c>
      <c r="W155" t="s">
        <v>1168</v>
      </c>
      <c r="X155" t="s">
        <v>120</v>
      </c>
      <c r="Y155" t="s">
        <v>121</v>
      </c>
      <c r="Z155">
        <v>12</v>
      </c>
      <c r="AA155" t="s">
        <v>65</v>
      </c>
      <c r="AB155" t="s">
        <v>56</v>
      </c>
      <c r="AC155" t="s">
        <v>56</v>
      </c>
      <c r="AD155">
        <v>0</v>
      </c>
      <c r="AE155" t="s">
        <v>66</v>
      </c>
      <c r="AF155" t="s">
        <v>56</v>
      </c>
      <c r="AG155" t="s">
        <v>56</v>
      </c>
      <c r="AH155" t="s">
        <v>56</v>
      </c>
      <c r="AI155" t="s">
        <v>56</v>
      </c>
      <c r="AJ155" t="s">
        <v>454</v>
      </c>
      <c r="AK155" t="s">
        <v>455</v>
      </c>
      <c r="AL155" t="s">
        <v>56</v>
      </c>
      <c r="AM155" t="s">
        <v>56</v>
      </c>
      <c r="AN155" t="s">
        <v>56</v>
      </c>
      <c r="AO155" t="s">
        <v>56</v>
      </c>
      <c r="AP155" t="s">
        <v>56</v>
      </c>
      <c r="AQ155" t="s">
        <v>71</v>
      </c>
      <c r="AR155" t="s">
        <v>56</v>
      </c>
      <c r="AS155" t="s">
        <v>56</v>
      </c>
      <c r="AT155" t="s">
        <v>56</v>
      </c>
      <c r="AU155" t="s">
        <v>56</v>
      </c>
      <c r="AV155" t="s">
        <v>56</v>
      </c>
      <c r="AW155" t="s">
        <v>56</v>
      </c>
      <c r="AX155">
        <v>4</v>
      </c>
    </row>
    <row r="156" spans="1:50" x14ac:dyDescent="0.25">
      <c r="A156" t="str">
        <f>"20200131128017173370"</f>
        <v>20200131128017173370</v>
      </c>
      <c r="B156" t="s">
        <v>110</v>
      </c>
      <c r="C156" t="s">
        <v>110</v>
      </c>
      <c r="D156" t="s">
        <v>1216</v>
      </c>
      <c r="E156" t="str">
        <f>"761470681501"</f>
        <v>761470681501</v>
      </c>
      <c r="F156" t="s">
        <v>52</v>
      </c>
      <c r="G156">
        <v>830515000</v>
      </c>
      <c r="H156">
        <v>76147</v>
      </c>
      <c r="I156" t="s">
        <v>1217</v>
      </c>
      <c r="J156">
        <v>2145150</v>
      </c>
      <c r="K156" t="s">
        <v>54</v>
      </c>
      <c r="L156">
        <v>16231597</v>
      </c>
      <c r="M156" t="s">
        <v>1218</v>
      </c>
      <c r="N156" t="s">
        <v>1219</v>
      </c>
      <c r="O156" t="s">
        <v>1220</v>
      </c>
      <c r="P156" t="s">
        <v>1221</v>
      </c>
      <c r="Q156">
        <v>76257504</v>
      </c>
      <c r="R156" t="s">
        <v>54</v>
      </c>
      <c r="S156">
        <v>2558255</v>
      </c>
      <c r="T156" t="s">
        <v>1222</v>
      </c>
      <c r="U156" t="s">
        <v>94</v>
      </c>
      <c r="V156" t="s">
        <v>883</v>
      </c>
      <c r="W156" t="s">
        <v>1021</v>
      </c>
      <c r="X156" t="s">
        <v>453</v>
      </c>
      <c r="Y156" t="s">
        <v>64</v>
      </c>
      <c r="Z156">
        <v>12</v>
      </c>
      <c r="AA156" t="s">
        <v>65</v>
      </c>
      <c r="AB156" t="s">
        <v>56</v>
      </c>
      <c r="AC156" t="s">
        <v>56</v>
      </c>
      <c r="AD156">
        <v>0</v>
      </c>
      <c r="AE156" t="s">
        <v>66</v>
      </c>
      <c r="AF156" t="s">
        <v>56</v>
      </c>
      <c r="AG156" t="s">
        <v>56</v>
      </c>
      <c r="AH156" t="s">
        <v>56</v>
      </c>
      <c r="AI156" t="s">
        <v>56</v>
      </c>
      <c r="AJ156" t="s">
        <v>1119</v>
      </c>
      <c r="AK156" t="s">
        <v>1120</v>
      </c>
      <c r="AL156" t="s">
        <v>56</v>
      </c>
      <c r="AM156" t="s">
        <v>56</v>
      </c>
      <c r="AN156" t="s">
        <v>56</v>
      </c>
      <c r="AO156" t="s">
        <v>56</v>
      </c>
      <c r="AP156" t="s">
        <v>56</v>
      </c>
      <c r="AQ156" t="s">
        <v>71</v>
      </c>
      <c r="AR156" t="s">
        <v>56</v>
      </c>
      <c r="AS156" t="s">
        <v>56</v>
      </c>
      <c r="AT156" t="s">
        <v>56</v>
      </c>
      <c r="AU156" t="s">
        <v>56</v>
      </c>
      <c r="AV156" t="s">
        <v>56</v>
      </c>
      <c r="AW156" t="s">
        <v>56</v>
      </c>
      <c r="AX156">
        <v>4</v>
      </c>
    </row>
    <row r="157" spans="1:50" x14ac:dyDescent="0.25">
      <c r="A157" t="str">
        <f>"20200127113017061366"</f>
        <v>20200127113017061366</v>
      </c>
      <c r="B157" t="s">
        <v>190</v>
      </c>
      <c r="C157" t="s">
        <v>190</v>
      </c>
      <c r="D157" t="s">
        <v>1223</v>
      </c>
      <c r="E157" t="str">
        <f>"472450024901"</f>
        <v>472450024901</v>
      </c>
      <c r="F157" t="s">
        <v>52</v>
      </c>
      <c r="G157">
        <v>800154347</v>
      </c>
      <c r="H157">
        <v>47245</v>
      </c>
      <c r="I157" t="s">
        <v>1224</v>
      </c>
      <c r="J157">
        <v>4292245</v>
      </c>
      <c r="K157" t="s">
        <v>54</v>
      </c>
      <c r="L157">
        <v>7183866</v>
      </c>
      <c r="M157" t="s">
        <v>1225</v>
      </c>
      <c r="N157" t="s">
        <v>485</v>
      </c>
      <c r="O157" t="s">
        <v>1226</v>
      </c>
      <c r="P157" t="s">
        <v>675</v>
      </c>
      <c r="Q157">
        <v>36639</v>
      </c>
      <c r="R157" t="s">
        <v>54</v>
      </c>
      <c r="S157">
        <v>85272621</v>
      </c>
      <c r="T157" t="s">
        <v>1227</v>
      </c>
      <c r="U157" t="s">
        <v>62</v>
      </c>
      <c r="V157" t="s">
        <v>263</v>
      </c>
      <c r="W157" t="s">
        <v>1228</v>
      </c>
      <c r="X157" t="s">
        <v>1172</v>
      </c>
      <c r="Y157" t="s">
        <v>345</v>
      </c>
      <c r="Z157">
        <v>12</v>
      </c>
      <c r="AA157" t="s">
        <v>65</v>
      </c>
      <c r="AB157" t="s">
        <v>56</v>
      </c>
      <c r="AC157" t="s">
        <v>56</v>
      </c>
      <c r="AD157">
        <v>0</v>
      </c>
      <c r="AE157" t="s">
        <v>66</v>
      </c>
      <c r="AF157" t="s">
        <v>56</v>
      </c>
      <c r="AG157" t="s">
        <v>56</v>
      </c>
      <c r="AH157" t="s">
        <v>56</v>
      </c>
      <c r="AI157" t="s">
        <v>56</v>
      </c>
      <c r="AJ157" t="s">
        <v>1229</v>
      </c>
      <c r="AK157" t="s">
        <v>1230</v>
      </c>
      <c r="AL157" t="s">
        <v>56</v>
      </c>
      <c r="AM157" t="s">
        <v>56</v>
      </c>
      <c r="AN157" t="s">
        <v>56</v>
      </c>
      <c r="AO157" t="s">
        <v>56</v>
      </c>
      <c r="AP157" t="s">
        <v>56</v>
      </c>
      <c r="AQ157" t="s">
        <v>71</v>
      </c>
      <c r="AR157" t="s">
        <v>56</v>
      </c>
      <c r="AS157" t="s">
        <v>56</v>
      </c>
      <c r="AT157" t="s">
        <v>56</v>
      </c>
      <c r="AU157" t="s">
        <v>56</v>
      </c>
      <c r="AV157" t="s">
        <v>56</v>
      </c>
      <c r="AW157" t="s">
        <v>56</v>
      </c>
      <c r="AX157">
        <v>4</v>
      </c>
    </row>
    <row r="158" spans="1:50" x14ac:dyDescent="0.25">
      <c r="A158" t="str">
        <f>"20200124172017016422"</f>
        <v>20200124172017016422</v>
      </c>
      <c r="B158" t="s">
        <v>201</v>
      </c>
      <c r="C158" t="s">
        <v>201</v>
      </c>
      <c r="D158" t="s">
        <v>1231</v>
      </c>
      <c r="E158" t="str">
        <f>"200010038901"</f>
        <v>200010038901</v>
      </c>
      <c r="F158" t="s">
        <v>52</v>
      </c>
      <c r="G158">
        <v>824004867</v>
      </c>
      <c r="H158">
        <v>20001</v>
      </c>
      <c r="I158" t="s">
        <v>1232</v>
      </c>
      <c r="J158" t="s">
        <v>1233</v>
      </c>
      <c r="K158" t="s">
        <v>54</v>
      </c>
      <c r="L158">
        <v>73009095</v>
      </c>
      <c r="M158" t="s">
        <v>127</v>
      </c>
      <c r="N158" t="s">
        <v>1012</v>
      </c>
      <c r="O158" t="s">
        <v>364</v>
      </c>
      <c r="P158" t="s">
        <v>1234</v>
      </c>
      <c r="Q158">
        <v>73009095</v>
      </c>
      <c r="R158" t="s">
        <v>54</v>
      </c>
      <c r="S158">
        <v>42404842</v>
      </c>
      <c r="T158" t="s">
        <v>504</v>
      </c>
      <c r="U158" t="s">
        <v>627</v>
      </c>
      <c r="V158" t="s">
        <v>99</v>
      </c>
      <c r="W158" t="s">
        <v>79</v>
      </c>
      <c r="X158" t="s">
        <v>148</v>
      </c>
      <c r="Y158" t="s">
        <v>86</v>
      </c>
      <c r="Z158">
        <v>12</v>
      </c>
      <c r="AA158" t="s">
        <v>65</v>
      </c>
      <c r="AB158" t="s">
        <v>56</v>
      </c>
      <c r="AC158" t="s">
        <v>56</v>
      </c>
      <c r="AD158">
        <v>0</v>
      </c>
      <c r="AE158" t="s">
        <v>66</v>
      </c>
      <c r="AF158" t="s">
        <v>56</v>
      </c>
      <c r="AG158" t="s">
        <v>56</v>
      </c>
      <c r="AH158" t="s">
        <v>56</v>
      </c>
      <c r="AI158" t="s">
        <v>56</v>
      </c>
      <c r="AJ158" t="s">
        <v>536</v>
      </c>
      <c r="AK158" t="s">
        <v>537</v>
      </c>
      <c r="AL158" t="s">
        <v>56</v>
      </c>
      <c r="AM158" t="s">
        <v>56</v>
      </c>
      <c r="AN158" t="s">
        <v>56</v>
      </c>
      <c r="AO158" t="s">
        <v>56</v>
      </c>
      <c r="AP158" t="s">
        <v>56</v>
      </c>
      <c r="AQ158" t="s">
        <v>71</v>
      </c>
      <c r="AR158" t="s">
        <v>56</v>
      </c>
      <c r="AS158" t="s">
        <v>56</v>
      </c>
      <c r="AT158" t="s">
        <v>56</v>
      </c>
      <c r="AU158" t="s">
        <v>56</v>
      </c>
      <c r="AV158" t="s">
        <v>56</v>
      </c>
      <c r="AW158" t="s">
        <v>56</v>
      </c>
      <c r="AX158">
        <v>4</v>
      </c>
    </row>
    <row r="159" spans="1:50" x14ac:dyDescent="0.25">
      <c r="A159" t="str">
        <f>"20200131152017159030"</f>
        <v>20200131152017159030</v>
      </c>
      <c r="B159" t="s">
        <v>110</v>
      </c>
      <c r="C159" t="s">
        <v>110</v>
      </c>
      <c r="D159" t="s">
        <v>1235</v>
      </c>
      <c r="E159" t="str">
        <f>"130010251501"</f>
        <v>130010251501</v>
      </c>
      <c r="F159" t="s">
        <v>52</v>
      </c>
      <c r="G159">
        <v>900449481</v>
      </c>
      <c r="H159">
        <v>13001</v>
      </c>
      <c r="I159" t="s">
        <v>1236</v>
      </c>
      <c r="J159" t="s">
        <v>1237</v>
      </c>
      <c r="K159" t="s">
        <v>54</v>
      </c>
      <c r="L159">
        <v>73006229</v>
      </c>
      <c r="M159" t="s">
        <v>107</v>
      </c>
      <c r="N159" t="s">
        <v>282</v>
      </c>
      <c r="O159" t="s">
        <v>608</v>
      </c>
      <c r="P159" t="s">
        <v>95</v>
      </c>
      <c r="Q159">
        <v>11443</v>
      </c>
      <c r="R159" t="s">
        <v>54</v>
      </c>
      <c r="S159">
        <v>23238509</v>
      </c>
      <c r="T159" t="s">
        <v>1238</v>
      </c>
      <c r="U159" t="s">
        <v>62</v>
      </c>
      <c r="V159" t="s">
        <v>83</v>
      </c>
      <c r="W159" t="s">
        <v>1067</v>
      </c>
      <c r="X159" t="s">
        <v>1239</v>
      </c>
      <c r="Y159" t="s">
        <v>101</v>
      </c>
      <c r="Z159">
        <v>12</v>
      </c>
      <c r="AA159" t="s">
        <v>65</v>
      </c>
      <c r="AB159" t="s">
        <v>56</v>
      </c>
      <c r="AC159" t="s">
        <v>56</v>
      </c>
      <c r="AD159">
        <v>0</v>
      </c>
      <c r="AE159" t="s">
        <v>66</v>
      </c>
      <c r="AF159" t="s">
        <v>56</v>
      </c>
      <c r="AG159" t="s">
        <v>56</v>
      </c>
      <c r="AH159" t="s">
        <v>56</v>
      </c>
      <c r="AI159" t="s">
        <v>56</v>
      </c>
      <c r="AJ159" t="s">
        <v>454</v>
      </c>
      <c r="AK159" t="s">
        <v>455</v>
      </c>
      <c r="AL159" t="s">
        <v>56</v>
      </c>
      <c r="AM159" t="s">
        <v>56</v>
      </c>
      <c r="AN159" t="s">
        <v>56</v>
      </c>
      <c r="AO159" t="s">
        <v>56</v>
      </c>
      <c r="AP159" t="s">
        <v>56</v>
      </c>
      <c r="AQ159" t="s">
        <v>71</v>
      </c>
      <c r="AR159" t="s">
        <v>56</v>
      </c>
      <c r="AS159" t="s">
        <v>56</v>
      </c>
      <c r="AT159" t="s">
        <v>56</v>
      </c>
      <c r="AU159" t="s">
        <v>56</v>
      </c>
      <c r="AV159" t="s">
        <v>56</v>
      </c>
      <c r="AW159" t="s">
        <v>56</v>
      </c>
      <c r="AX159">
        <v>4</v>
      </c>
    </row>
    <row r="160" spans="1:50" x14ac:dyDescent="0.25">
      <c r="A160" t="str">
        <f>"20200127146017054662"</f>
        <v>20200127146017054662</v>
      </c>
      <c r="B160" t="s">
        <v>190</v>
      </c>
      <c r="C160" t="s">
        <v>190</v>
      </c>
      <c r="D160" t="s">
        <v>1240</v>
      </c>
      <c r="E160" t="str">
        <f>"080010003707"</f>
        <v>080010003707</v>
      </c>
      <c r="F160" t="s">
        <v>52</v>
      </c>
      <c r="G160">
        <v>890102768</v>
      </c>
      <c r="H160" t="s">
        <v>112</v>
      </c>
      <c r="I160" t="s">
        <v>1241</v>
      </c>
      <c r="J160">
        <v>3628792</v>
      </c>
      <c r="K160" t="s">
        <v>54</v>
      </c>
      <c r="L160">
        <v>36525632</v>
      </c>
      <c r="M160" t="s">
        <v>1242</v>
      </c>
      <c r="N160" t="s">
        <v>1243</v>
      </c>
      <c r="O160" t="s">
        <v>263</v>
      </c>
      <c r="P160" t="s">
        <v>1244</v>
      </c>
      <c r="Q160">
        <v>36525632</v>
      </c>
      <c r="R160" t="s">
        <v>237</v>
      </c>
      <c r="S160">
        <v>1041850681</v>
      </c>
      <c r="T160" t="s">
        <v>1245</v>
      </c>
      <c r="U160" t="s">
        <v>62</v>
      </c>
      <c r="V160" t="s">
        <v>898</v>
      </c>
      <c r="W160" t="s">
        <v>691</v>
      </c>
      <c r="X160" t="s">
        <v>383</v>
      </c>
      <c r="Y160" t="s">
        <v>121</v>
      </c>
      <c r="Z160">
        <v>11</v>
      </c>
      <c r="AA160" t="s">
        <v>87</v>
      </c>
      <c r="AB160" t="s">
        <v>56</v>
      </c>
      <c r="AC160" t="s">
        <v>56</v>
      </c>
      <c r="AD160">
        <v>0</v>
      </c>
      <c r="AE160" t="s">
        <v>66</v>
      </c>
      <c r="AF160" t="s">
        <v>56</v>
      </c>
      <c r="AG160" t="s">
        <v>56</v>
      </c>
      <c r="AH160" t="s">
        <v>56</v>
      </c>
      <c r="AI160" t="s">
        <v>56</v>
      </c>
      <c r="AJ160" t="s">
        <v>414</v>
      </c>
      <c r="AK160" t="s">
        <v>415</v>
      </c>
      <c r="AL160" t="s">
        <v>56</v>
      </c>
      <c r="AM160" t="s">
        <v>56</v>
      </c>
      <c r="AN160" t="s">
        <v>56</v>
      </c>
      <c r="AO160" t="s">
        <v>56</v>
      </c>
      <c r="AP160" t="s">
        <v>56</v>
      </c>
      <c r="AQ160" t="s">
        <v>71</v>
      </c>
      <c r="AR160" t="s">
        <v>56</v>
      </c>
      <c r="AS160" t="s">
        <v>56</v>
      </c>
      <c r="AT160" t="s">
        <v>56</v>
      </c>
      <c r="AU160" t="s">
        <v>56</v>
      </c>
      <c r="AV160" t="s">
        <v>56</v>
      </c>
      <c r="AW160" t="s">
        <v>56</v>
      </c>
      <c r="AX160">
        <v>4</v>
      </c>
    </row>
    <row r="161" spans="1:50" x14ac:dyDescent="0.25">
      <c r="A161" t="str">
        <f>"20200124174017009997"</f>
        <v>20200124174017009997</v>
      </c>
      <c r="B161" t="s">
        <v>201</v>
      </c>
      <c r="C161" t="s">
        <v>201</v>
      </c>
      <c r="D161" t="s">
        <v>1246</v>
      </c>
      <c r="E161" t="str">
        <f>"080010380001"</f>
        <v>080010380001</v>
      </c>
      <c r="F161" t="s">
        <v>52</v>
      </c>
      <c r="G161">
        <v>900665930</v>
      </c>
      <c r="H161" t="s">
        <v>112</v>
      </c>
      <c r="I161" t="s">
        <v>113</v>
      </c>
      <c r="J161">
        <v>3175759202</v>
      </c>
      <c r="K161" t="s">
        <v>54</v>
      </c>
      <c r="L161">
        <v>1045724464</v>
      </c>
      <c r="M161" t="s">
        <v>59</v>
      </c>
      <c r="N161" t="s">
        <v>114</v>
      </c>
      <c r="O161" t="s">
        <v>115</v>
      </c>
      <c r="P161" t="s">
        <v>116</v>
      </c>
      <c r="Q161">
        <v>1045724464</v>
      </c>
      <c r="R161" t="s">
        <v>54</v>
      </c>
      <c r="S161">
        <v>7427909</v>
      </c>
      <c r="T161" t="s">
        <v>261</v>
      </c>
      <c r="U161" t="s">
        <v>1247</v>
      </c>
      <c r="V161" t="s">
        <v>1248</v>
      </c>
      <c r="W161" t="s">
        <v>1249</v>
      </c>
      <c r="X161" t="s">
        <v>120</v>
      </c>
      <c r="Y161" t="s">
        <v>121</v>
      </c>
      <c r="Z161">
        <v>12</v>
      </c>
      <c r="AA161" t="s">
        <v>65</v>
      </c>
      <c r="AB161" t="s">
        <v>56</v>
      </c>
      <c r="AC161" t="s">
        <v>56</v>
      </c>
      <c r="AD161">
        <v>0</v>
      </c>
      <c r="AE161" t="s">
        <v>66</v>
      </c>
      <c r="AF161" t="s">
        <v>56</v>
      </c>
      <c r="AG161" t="s">
        <v>56</v>
      </c>
      <c r="AH161" t="s">
        <v>56</v>
      </c>
      <c r="AI161" t="s">
        <v>56</v>
      </c>
      <c r="AJ161" t="s">
        <v>1250</v>
      </c>
      <c r="AK161" t="s">
        <v>1251</v>
      </c>
      <c r="AL161" t="s">
        <v>56</v>
      </c>
      <c r="AM161" t="s">
        <v>56</v>
      </c>
      <c r="AN161" t="s">
        <v>56</v>
      </c>
      <c r="AO161" t="s">
        <v>56</v>
      </c>
      <c r="AP161" t="s">
        <v>56</v>
      </c>
      <c r="AQ161" t="s">
        <v>71</v>
      </c>
      <c r="AR161" t="s">
        <v>56</v>
      </c>
      <c r="AS161" t="s">
        <v>56</v>
      </c>
      <c r="AT161" t="s">
        <v>56</v>
      </c>
      <c r="AU161" t="s">
        <v>56</v>
      </c>
      <c r="AV161" t="s">
        <v>56</v>
      </c>
      <c r="AW161" t="s">
        <v>56</v>
      </c>
      <c r="AX161">
        <v>4</v>
      </c>
    </row>
    <row r="162" spans="1:50" x14ac:dyDescent="0.25">
      <c r="A162" t="str">
        <f>"20200129173017101751"</f>
        <v>20200129173017101751</v>
      </c>
      <c r="B162" t="s">
        <v>72</v>
      </c>
      <c r="C162" t="s">
        <v>72</v>
      </c>
      <c r="D162" t="s">
        <v>1252</v>
      </c>
      <c r="E162" t="str">
        <f>"134300077501"</f>
        <v>134300077501</v>
      </c>
      <c r="F162" t="s">
        <v>52</v>
      </c>
      <c r="G162">
        <v>823002800</v>
      </c>
      <c r="H162">
        <v>13430</v>
      </c>
      <c r="I162" t="s">
        <v>539</v>
      </c>
      <c r="J162">
        <v>3107315890</v>
      </c>
      <c r="K162" t="s">
        <v>54</v>
      </c>
      <c r="L162">
        <v>55231988</v>
      </c>
      <c r="M162" t="s">
        <v>886</v>
      </c>
      <c r="N162" t="s">
        <v>56</v>
      </c>
      <c r="O162" t="s">
        <v>193</v>
      </c>
      <c r="P162" t="s">
        <v>805</v>
      </c>
      <c r="Q162">
        <v>161322009</v>
      </c>
      <c r="R162" t="s">
        <v>54</v>
      </c>
      <c r="S162">
        <v>33204050</v>
      </c>
      <c r="T162" t="s">
        <v>1253</v>
      </c>
      <c r="U162" t="s">
        <v>600</v>
      </c>
      <c r="V162" t="s">
        <v>793</v>
      </c>
      <c r="W162" t="s">
        <v>1254</v>
      </c>
      <c r="X162" t="s">
        <v>183</v>
      </c>
      <c r="Y162" t="s">
        <v>101</v>
      </c>
      <c r="Z162">
        <v>12</v>
      </c>
      <c r="AA162" t="s">
        <v>65</v>
      </c>
      <c r="AB162" t="s">
        <v>56</v>
      </c>
      <c r="AC162" t="s">
        <v>56</v>
      </c>
      <c r="AD162">
        <v>0</v>
      </c>
      <c r="AE162" t="s">
        <v>66</v>
      </c>
      <c r="AF162" t="s">
        <v>56</v>
      </c>
      <c r="AG162" t="s">
        <v>56</v>
      </c>
      <c r="AH162" t="s">
        <v>56</v>
      </c>
      <c r="AI162" t="s">
        <v>56</v>
      </c>
      <c r="AJ162" t="s">
        <v>736</v>
      </c>
      <c r="AK162" t="s">
        <v>737</v>
      </c>
      <c r="AL162" t="s">
        <v>613</v>
      </c>
      <c r="AM162" t="s">
        <v>614</v>
      </c>
      <c r="AN162" t="s">
        <v>56</v>
      </c>
      <c r="AO162" t="s">
        <v>56</v>
      </c>
      <c r="AP162" t="s">
        <v>56</v>
      </c>
      <c r="AQ162" t="s">
        <v>71</v>
      </c>
      <c r="AR162" t="s">
        <v>56</v>
      </c>
      <c r="AS162" t="s">
        <v>56</v>
      </c>
      <c r="AT162" t="s">
        <v>56</v>
      </c>
      <c r="AU162" t="s">
        <v>56</v>
      </c>
      <c r="AV162" t="s">
        <v>56</v>
      </c>
      <c r="AW162" t="s">
        <v>56</v>
      </c>
      <c r="AX162">
        <v>4</v>
      </c>
    </row>
    <row r="163" spans="1:50" x14ac:dyDescent="0.25">
      <c r="A163" t="str">
        <f>"20200127130017051965"</f>
        <v>20200127130017051965</v>
      </c>
      <c r="B163" t="s">
        <v>190</v>
      </c>
      <c r="C163" t="s">
        <v>190</v>
      </c>
      <c r="D163" t="s">
        <v>1255</v>
      </c>
      <c r="E163" t="str">
        <f>"130010204801"</f>
        <v>130010204801</v>
      </c>
      <c r="F163" t="s">
        <v>52</v>
      </c>
      <c r="G163">
        <v>900233294</v>
      </c>
      <c r="H163">
        <v>13001</v>
      </c>
      <c r="I163" t="s">
        <v>1256</v>
      </c>
      <c r="J163">
        <v>6810230</v>
      </c>
      <c r="K163" t="s">
        <v>54</v>
      </c>
      <c r="L163">
        <v>73083927</v>
      </c>
      <c r="M163" t="s">
        <v>1199</v>
      </c>
      <c r="N163" t="s">
        <v>424</v>
      </c>
      <c r="O163" t="s">
        <v>207</v>
      </c>
      <c r="P163" t="s">
        <v>1257</v>
      </c>
      <c r="Q163">
        <v>1263</v>
      </c>
      <c r="R163" t="s">
        <v>237</v>
      </c>
      <c r="S163">
        <v>1051655552</v>
      </c>
      <c r="T163" t="s">
        <v>1258</v>
      </c>
      <c r="U163" t="s">
        <v>1259</v>
      </c>
      <c r="V163" t="s">
        <v>1260</v>
      </c>
      <c r="W163" t="s">
        <v>1261</v>
      </c>
      <c r="X163" t="s">
        <v>427</v>
      </c>
      <c r="Y163" t="s">
        <v>101</v>
      </c>
      <c r="Z163">
        <v>22</v>
      </c>
      <c r="AA163" t="s">
        <v>102</v>
      </c>
      <c r="AB163">
        <v>0</v>
      </c>
      <c r="AC163" t="s">
        <v>66</v>
      </c>
      <c r="AD163">
        <v>0</v>
      </c>
      <c r="AE163" t="s">
        <v>66</v>
      </c>
      <c r="AF163" t="s">
        <v>56</v>
      </c>
      <c r="AG163" t="s">
        <v>56</v>
      </c>
      <c r="AH163" t="s">
        <v>56</v>
      </c>
      <c r="AI163" t="s">
        <v>56</v>
      </c>
      <c r="AJ163" t="s">
        <v>482</v>
      </c>
      <c r="AK163" t="s">
        <v>483</v>
      </c>
      <c r="AL163" t="s">
        <v>1262</v>
      </c>
      <c r="AM163" t="s">
        <v>1263</v>
      </c>
      <c r="AN163" t="s">
        <v>56</v>
      </c>
      <c r="AO163" t="s">
        <v>56</v>
      </c>
      <c r="AP163" t="s">
        <v>56</v>
      </c>
      <c r="AQ163" t="s">
        <v>71</v>
      </c>
      <c r="AR163" t="s">
        <v>56</v>
      </c>
      <c r="AS163" t="s">
        <v>56</v>
      </c>
      <c r="AT163" t="s">
        <v>56</v>
      </c>
      <c r="AU163" t="s">
        <v>56</v>
      </c>
      <c r="AV163" t="s">
        <v>56</v>
      </c>
      <c r="AW163" t="s">
        <v>56</v>
      </c>
      <c r="AX163">
        <v>4</v>
      </c>
    </row>
    <row r="164" spans="1:50" x14ac:dyDescent="0.25">
      <c r="A164" t="str">
        <f>"20200127172017056258"</f>
        <v>20200127172017056258</v>
      </c>
      <c r="B164" t="s">
        <v>190</v>
      </c>
      <c r="C164" t="s">
        <v>190</v>
      </c>
      <c r="D164" t="s">
        <v>1264</v>
      </c>
      <c r="E164" t="str">
        <f>"130010204801"</f>
        <v>130010204801</v>
      </c>
      <c r="F164" t="s">
        <v>52</v>
      </c>
      <c r="G164">
        <v>900233294</v>
      </c>
      <c r="H164">
        <v>13001</v>
      </c>
      <c r="I164" t="s">
        <v>1256</v>
      </c>
      <c r="J164">
        <v>6810230</v>
      </c>
      <c r="K164" t="s">
        <v>54</v>
      </c>
      <c r="L164">
        <v>73083927</v>
      </c>
      <c r="M164" t="s">
        <v>1199</v>
      </c>
      <c r="N164" t="s">
        <v>424</v>
      </c>
      <c r="O164" t="s">
        <v>207</v>
      </c>
      <c r="P164" t="s">
        <v>1257</v>
      </c>
      <c r="Q164">
        <v>1263</v>
      </c>
      <c r="R164" t="s">
        <v>237</v>
      </c>
      <c r="S164">
        <v>1051655552</v>
      </c>
      <c r="T164" t="s">
        <v>1258</v>
      </c>
      <c r="U164" t="s">
        <v>1259</v>
      </c>
      <c r="V164" t="s">
        <v>1260</v>
      </c>
      <c r="W164" t="s">
        <v>1261</v>
      </c>
      <c r="X164" t="s">
        <v>427</v>
      </c>
      <c r="Y164" t="s">
        <v>101</v>
      </c>
      <c r="Z164">
        <v>22</v>
      </c>
      <c r="AA164" t="s">
        <v>102</v>
      </c>
      <c r="AB164">
        <v>0</v>
      </c>
      <c r="AC164" t="s">
        <v>66</v>
      </c>
      <c r="AD164">
        <v>0</v>
      </c>
      <c r="AE164" t="s">
        <v>66</v>
      </c>
      <c r="AF164" t="s">
        <v>56</v>
      </c>
      <c r="AG164" t="s">
        <v>56</v>
      </c>
      <c r="AH164" t="s">
        <v>56</v>
      </c>
      <c r="AI164" t="s">
        <v>56</v>
      </c>
      <c r="AJ164" t="s">
        <v>482</v>
      </c>
      <c r="AK164" t="s">
        <v>483</v>
      </c>
      <c r="AL164" t="s">
        <v>56</v>
      </c>
      <c r="AM164" t="s">
        <v>56</v>
      </c>
      <c r="AN164" t="s">
        <v>56</v>
      </c>
      <c r="AO164" t="s">
        <v>56</v>
      </c>
      <c r="AP164" t="s">
        <v>56</v>
      </c>
      <c r="AQ164" t="s">
        <v>71</v>
      </c>
      <c r="AR164" t="s">
        <v>56</v>
      </c>
      <c r="AS164" t="s">
        <v>56</v>
      </c>
      <c r="AT164" t="s">
        <v>56</v>
      </c>
      <c r="AU164" t="s">
        <v>56</v>
      </c>
      <c r="AV164" t="s">
        <v>56</v>
      </c>
      <c r="AW164" t="s">
        <v>56</v>
      </c>
      <c r="AX164">
        <v>4</v>
      </c>
    </row>
    <row r="165" spans="1:50" x14ac:dyDescent="0.25">
      <c r="A165" t="str">
        <f>"20200124166017015432"</f>
        <v>20200124166017015432</v>
      </c>
      <c r="B165" t="s">
        <v>201</v>
      </c>
      <c r="C165" t="s">
        <v>201</v>
      </c>
      <c r="D165" t="s">
        <v>1265</v>
      </c>
      <c r="E165" t="str">
        <f>"761470067210"</f>
        <v>761470067210</v>
      </c>
      <c r="F165" t="s">
        <v>52</v>
      </c>
      <c r="G165">
        <v>836000386</v>
      </c>
      <c r="H165">
        <v>76147</v>
      </c>
      <c r="I165" t="s">
        <v>1142</v>
      </c>
      <c r="J165" t="s">
        <v>1143</v>
      </c>
      <c r="K165" t="s">
        <v>54</v>
      </c>
      <c r="L165">
        <v>31423938</v>
      </c>
      <c r="M165" t="s">
        <v>984</v>
      </c>
      <c r="N165" t="s">
        <v>117</v>
      </c>
      <c r="O165" t="s">
        <v>1266</v>
      </c>
      <c r="P165" t="s">
        <v>276</v>
      </c>
      <c r="Q165">
        <v>762184</v>
      </c>
      <c r="R165" t="s">
        <v>54</v>
      </c>
      <c r="S165">
        <v>28629801</v>
      </c>
      <c r="T165" t="s">
        <v>117</v>
      </c>
      <c r="U165" t="s">
        <v>1267</v>
      </c>
      <c r="V165" t="s">
        <v>1092</v>
      </c>
      <c r="W165" t="s">
        <v>1268</v>
      </c>
      <c r="X165" t="s">
        <v>277</v>
      </c>
      <c r="Y165" t="s">
        <v>64</v>
      </c>
      <c r="Z165">
        <v>12</v>
      </c>
      <c r="AA165" t="s">
        <v>65</v>
      </c>
      <c r="AB165" t="s">
        <v>56</v>
      </c>
      <c r="AC165" t="s">
        <v>56</v>
      </c>
      <c r="AD165">
        <v>0</v>
      </c>
      <c r="AE165" t="s">
        <v>66</v>
      </c>
      <c r="AF165" t="s">
        <v>56</v>
      </c>
      <c r="AG165" t="s">
        <v>56</v>
      </c>
      <c r="AH165" t="s">
        <v>56</v>
      </c>
      <c r="AI165" t="s">
        <v>56</v>
      </c>
      <c r="AJ165" t="s">
        <v>255</v>
      </c>
      <c r="AK165" t="s">
        <v>256</v>
      </c>
      <c r="AL165" t="s">
        <v>356</v>
      </c>
      <c r="AM165" t="s">
        <v>357</v>
      </c>
      <c r="AN165" t="s">
        <v>56</v>
      </c>
      <c r="AO165" t="s">
        <v>56</v>
      </c>
      <c r="AP165" t="s">
        <v>56</v>
      </c>
      <c r="AQ165" t="s">
        <v>71</v>
      </c>
      <c r="AR165" t="s">
        <v>56</v>
      </c>
      <c r="AS165" t="s">
        <v>56</v>
      </c>
      <c r="AT165" t="s">
        <v>56</v>
      </c>
      <c r="AU165" t="s">
        <v>56</v>
      </c>
      <c r="AV165" t="s">
        <v>56</v>
      </c>
      <c r="AW165" t="s">
        <v>56</v>
      </c>
      <c r="AX165">
        <v>4</v>
      </c>
    </row>
    <row r="166" spans="1:50" x14ac:dyDescent="0.25">
      <c r="A166" t="str">
        <f>"20200129178017107964"</f>
        <v>20200129178017107964</v>
      </c>
      <c r="B166" t="s">
        <v>72</v>
      </c>
      <c r="C166" t="s">
        <v>72</v>
      </c>
      <c r="D166" t="s">
        <v>1269</v>
      </c>
      <c r="E166" t="str">
        <f>"130010210201"</f>
        <v>130010210201</v>
      </c>
      <c r="F166" t="s">
        <v>52</v>
      </c>
      <c r="G166">
        <v>900269029</v>
      </c>
      <c r="H166">
        <v>13001</v>
      </c>
      <c r="I166" t="s">
        <v>1270</v>
      </c>
      <c r="J166">
        <v>6810300</v>
      </c>
      <c r="K166" t="s">
        <v>54</v>
      </c>
      <c r="L166">
        <v>73569569</v>
      </c>
      <c r="M166" t="s">
        <v>1271</v>
      </c>
      <c r="N166" t="s">
        <v>56</v>
      </c>
      <c r="O166" t="s">
        <v>1272</v>
      </c>
      <c r="P166" t="s">
        <v>1273</v>
      </c>
      <c r="Q166">
        <v>3904</v>
      </c>
      <c r="R166" t="s">
        <v>54</v>
      </c>
      <c r="S166">
        <v>33284154</v>
      </c>
      <c r="T166" t="s">
        <v>1274</v>
      </c>
      <c r="U166" t="s">
        <v>1275</v>
      </c>
      <c r="V166" t="s">
        <v>560</v>
      </c>
      <c r="W166" t="s">
        <v>1276</v>
      </c>
      <c r="X166" t="s">
        <v>1277</v>
      </c>
      <c r="Y166" t="s">
        <v>101</v>
      </c>
      <c r="Z166">
        <v>22</v>
      </c>
      <c r="AA166" t="s">
        <v>102</v>
      </c>
      <c r="AB166">
        <v>0</v>
      </c>
      <c r="AC166" t="s">
        <v>66</v>
      </c>
      <c r="AD166">
        <v>0</v>
      </c>
      <c r="AE166" t="s">
        <v>66</v>
      </c>
      <c r="AF166" t="s">
        <v>56</v>
      </c>
      <c r="AG166" t="s">
        <v>56</v>
      </c>
      <c r="AH166" t="s">
        <v>56</v>
      </c>
      <c r="AI166" t="s">
        <v>56</v>
      </c>
      <c r="AJ166" t="s">
        <v>1278</v>
      </c>
      <c r="AK166" t="s">
        <v>1279</v>
      </c>
      <c r="AL166" t="s">
        <v>56</v>
      </c>
      <c r="AM166" t="s">
        <v>56</v>
      </c>
      <c r="AN166" t="s">
        <v>56</v>
      </c>
      <c r="AO166" t="s">
        <v>56</v>
      </c>
      <c r="AP166" t="s">
        <v>56</v>
      </c>
      <c r="AQ166" t="s">
        <v>71</v>
      </c>
      <c r="AR166" t="s">
        <v>56</v>
      </c>
      <c r="AS166" t="s">
        <v>56</v>
      </c>
      <c r="AT166" t="s">
        <v>56</v>
      </c>
      <c r="AU166" t="s">
        <v>56</v>
      </c>
      <c r="AV166" t="s">
        <v>56</v>
      </c>
      <c r="AW166" t="s">
        <v>56</v>
      </c>
      <c r="AX166">
        <v>4</v>
      </c>
    </row>
    <row r="167" spans="1:50" x14ac:dyDescent="0.25">
      <c r="A167" t="str">
        <f>"20200131169017164060"</f>
        <v>20200131169017164060</v>
      </c>
      <c r="B167" t="s">
        <v>110</v>
      </c>
      <c r="C167" t="s">
        <v>110</v>
      </c>
      <c r="D167" t="s">
        <v>1280</v>
      </c>
      <c r="E167" t="str">
        <f>"761470371502"</f>
        <v>761470371502</v>
      </c>
      <c r="F167" t="s">
        <v>52</v>
      </c>
      <c r="G167">
        <v>890303841</v>
      </c>
      <c r="H167">
        <v>76147</v>
      </c>
      <c r="I167" t="s">
        <v>359</v>
      </c>
      <c r="J167">
        <v>2132425</v>
      </c>
      <c r="K167" t="s">
        <v>54</v>
      </c>
      <c r="L167">
        <v>16830715</v>
      </c>
      <c r="M167" t="s">
        <v>127</v>
      </c>
      <c r="N167" t="s">
        <v>360</v>
      </c>
      <c r="O167" t="s">
        <v>361</v>
      </c>
      <c r="P167" t="s">
        <v>362</v>
      </c>
      <c r="Q167">
        <v>1913</v>
      </c>
      <c r="R167" t="s">
        <v>54</v>
      </c>
      <c r="S167">
        <v>29498213</v>
      </c>
      <c r="T167" t="s">
        <v>1281</v>
      </c>
      <c r="U167" t="s">
        <v>62</v>
      </c>
      <c r="V167" t="s">
        <v>1282</v>
      </c>
      <c r="W167" t="s">
        <v>1283</v>
      </c>
      <c r="X167" t="s">
        <v>573</v>
      </c>
      <c r="Y167" t="s">
        <v>64</v>
      </c>
      <c r="Z167">
        <v>11</v>
      </c>
      <c r="AA167" t="s">
        <v>87</v>
      </c>
      <c r="AB167" t="s">
        <v>56</v>
      </c>
      <c r="AC167" t="s">
        <v>56</v>
      </c>
      <c r="AD167">
        <v>0</v>
      </c>
      <c r="AE167" t="s">
        <v>66</v>
      </c>
      <c r="AF167" t="s">
        <v>56</v>
      </c>
      <c r="AG167" t="s">
        <v>56</v>
      </c>
      <c r="AH167" t="s">
        <v>56</v>
      </c>
      <c r="AI167" t="s">
        <v>56</v>
      </c>
      <c r="AJ167" t="s">
        <v>1284</v>
      </c>
      <c r="AK167" t="s">
        <v>1285</v>
      </c>
      <c r="AL167" t="s">
        <v>215</v>
      </c>
      <c r="AM167" t="s">
        <v>216</v>
      </c>
      <c r="AN167" t="s">
        <v>56</v>
      </c>
      <c r="AO167" t="s">
        <v>56</v>
      </c>
      <c r="AP167" t="s">
        <v>56</v>
      </c>
      <c r="AQ167" t="s">
        <v>71</v>
      </c>
      <c r="AR167" t="s">
        <v>56</v>
      </c>
      <c r="AS167" t="s">
        <v>56</v>
      </c>
      <c r="AT167" t="s">
        <v>56</v>
      </c>
      <c r="AU167" t="s">
        <v>56</v>
      </c>
      <c r="AV167" t="s">
        <v>56</v>
      </c>
      <c r="AW167" t="s">
        <v>56</v>
      </c>
      <c r="AX167">
        <v>4</v>
      </c>
    </row>
    <row r="168" spans="1:50" x14ac:dyDescent="0.25">
      <c r="A168" t="str">
        <f>"20200127159017050123"</f>
        <v>20200127159017050123</v>
      </c>
      <c r="B168" t="s">
        <v>190</v>
      </c>
      <c r="C168" t="s">
        <v>190</v>
      </c>
      <c r="D168" t="s">
        <v>1286</v>
      </c>
      <c r="E168" t="str">
        <f>"130010251501"</f>
        <v>130010251501</v>
      </c>
      <c r="F168" t="s">
        <v>52</v>
      </c>
      <c r="G168">
        <v>900449481</v>
      </c>
      <c r="H168">
        <v>13001</v>
      </c>
      <c r="I168" t="s">
        <v>1236</v>
      </c>
      <c r="J168" t="s">
        <v>1237</v>
      </c>
      <c r="K168" t="s">
        <v>54</v>
      </c>
      <c r="L168">
        <v>73006229</v>
      </c>
      <c r="M168" t="s">
        <v>107</v>
      </c>
      <c r="N168" t="s">
        <v>282</v>
      </c>
      <c r="O168" t="s">
        <v>608</v>
      </c>
      <c r="P168" t="s">
        <v>95</v>
      </c>
      <c r="Q168">
        <v>11443</v>
      </c>
      <c r="R168" t="s">
        <v>54</v>
      </c>
      <c r="S168">
        <v>23190511</v>
      </c>
      <c r="T168" t="s">
        <v>373</v>
      </c>
      <c r="U168" t="s">
        <v>1287</v>
      </c>
      <c r="V168" t="s">
        <v>179</v>
      </c>
      <c r="W168" t="s">
        <v>99</v>
      </c>
      <c r="X168" t="s">
        <v>1288</v>
      </c>
      <c r="Y168" t="s">
        <v>101</v>
      </c>
      <c r="Z168">
        <v>12</v>
      </c>
      <c r="AA168" t="s">
        <v>65</v>
      </c>
      <c r="AB168" t="s">
        <v>56</v>
      </c>
      <c r="AC168" t="s">
        <v>56</v>
      </c>
      <c r="AD168">
        <v>0</v>
      </c>
      <c r="AE168" t="s">
        <v>66</v>
      </c>
      <c r="AF168" t="s">
        <v>56</v>
      </c>
      <c r="AG168" t="s">
        <v>56</v>
      </c>
      <c r="AH168" t="s">
        <v>56</v>
      </c>
      <c r="AI168" t="s">
        <v>56</v>
      </c>
      <c r="AJ168" t="s">
        <v>414</v>
      </c>
      <c r="AK168" t="s">
        <v>415</v>
      </c>
      <c r="AL168" t="s">
        <v>56</v>
      </c>
      <c r="AM168" t="s">
        <v>56</v>
      </c>
      <c r="AN168" t="s">
        <v>56</v>
      </c>
      <c r="AO168" t="s">
        <v>56</v>
      </c>
      <c r="AP168" t="s">
        <v>56</v>
      </c>
      <c r="AQ168" t="s">
        <v>71</v>
      </c>
      <c r="AR168" t="s">
        <v>56</v>
      </c>
      <c r="AS168" t="s">
        <v>56</v>
      </c>
      <c r="AT168" t="s">
        <v>56</v>
      </c>
      <c r="AU168" t="s">
        <v>56</v>
      </c>
      <c r="AV168" t="s">
        <v>56</v>
      </c>
      <c r="AW168" t="s">
        <v>56</v>
      </c>
      <c r="AX168">
        <v>4</v>
      </c>
    </row>
    <row r="169" spans="1:50" x14ac:dyDescent="0.25">
      <c r="A169" t="str">
        <f>"20200127132017055908"</f>
        <v>20200127132017055908</v>
      </c>
      <c r="B169" t="s">
        <v>190</v>
      </c>
      <c r="C169" t="s">
        <v>190</v>
      </c>
      <c r="D169" t="s">
        <v>1289</v>
      </c>
      <c r="E169" t="str">
        <f>"700010177001"</f>
        <v>700010177001</v>
      </c>
      <c r="F169" t="s">
        <v>52</v>
      </c>
      <c r="G169">
        <v>901082722</v>
      </c>
      <c r="H169">
        <v>70001</v>
      </c>
      <c r="I169" t="s">
        <v>1290</v>
      </c>
      <c r="J169" t="s">
        <v>1291</v>
      </c>
      <c r="K169" t="s">
        <v>54</v>
      </c>
      <c r="L169">
        <v>79500988</v>
      </c>
      <c r="M169" t="s">
        <v>234</v>
      </c>
      <c r="N169" t="s">
        <v>76</v>
      </c>
      <c r="O169" t="s">
        <v>376</v>
      </c>
      <c r="P169" t="s">
        <v>1292</v>
      </c>
      <c r="Q169">
        <v>7014799</v>
      </c>
      <c r="R169" t="s">
        <v>54</v>
      </c>
      <c r="S169">
        <v>3967802</v>
      </c>
      <c r="T169" t="s">
        <v>1293</v>
      </c>
      <c r="U169" t="s">
        <v>62</v>
      </c>
      <c r="V169" t="s">
        <v>61</v>
      </c>
      <c r="W169" t="s">
        <v>1294</v>
      </c>
      <c r="X169" t="s">
        <v>1295</v>
      </c>
      <c r="Y169" t="s">
        <v>330</v>
      </c>
      <c r="Z169">
        <v>12</v>
      </c>
      <c r="AA169" t="s">
        <v>65</v>
      </c>
      <c r="AB169" t="s">
        <v>56</v>
      </c>
      <c r="AC169" t="s">
        <v>56</v>
      </c>
      <c r="AD169">
        <v>0</v>
      </c>
      <c r="AE169" t="s">
        <v>66</v>
      </c>
      <c r="AF169" t="s">
        <v>56</v>
      </c>
      <c r="AG169" t="s">
        <v>56</v>
      </c>
      <c r="AH169" t="s">
        <v>56</v>
      </c>
      <c r="AI169" t="s">
        <v>56</v>
      </c>
      <c r="AJ169" t="s">
        <v>1119</v>
      </c>
      <c r="AK169" t="s">
        <v>1120</v>
      </c>
      <c r="AL169" t="s">
        <v>56</v>
      </c>
      <c r="AM169" t="s">
        <v>56</v>
      </c>
      <c r="AN169" t="s">
        <v>56</v>
      </c>
      <c r="AO169" t="s">
        <v>56</v>
      </c>
      <c r="AP169" t="s">
        <v>56</v>
      </c>
      <c r="AQ169" t="s">
        <v>71</v>
      </c>
      <c r="AR169" t="s">
        <v>56</v>
      </c>
      <c r="AS169" t="s">
        <v>56</v>
      </c>
      <c r="AT169" t="s">
        <v>56</v>
      </c>
      <c r="AU169" t="s">
        <v>56</v>
      </c>
      <c r="AV169" t="s">
        <v>56</v>
      </c>
      <c r="AW169" t="s">
        <v>56</v>
      </c>
      <c r="AX169">
        <v>4</v>
      </c>
    </row>
    <row r="170" spans="1:50" x14ac:dyDescent="0.25">
      <c r="A170" t="str">
        <f>"20200126196017037070"</f>
        <v>20200126196017037070</v>
      </c>
      <c r="B170" t="s">
        <v>244</v>
      </c>
      <c r="C170" t="s">
        <v>244</v>
      </c>
      <c r="D170" t="s">
        <v>1296</v>
      </c>
      <c r="E170" t="str">
        <f>"086380074501"</f>
        <v>086380074501</v>
      </c>
      <c r="F170" t="s">
        <v>52</v>
      </c>
      <c r="G170">
        <v>900080150</v>
      </c>
      <c r="H170" t="s">
        <v>246</v>
      </c>
      <c r="I170" t="s">
        <v>247</v>
      </c>
      <c r="J170">
        <v>8783805</v>
      </c>
      <c r="K170" t="s">
        <v>54</v>
      </c>
      <c r="L170">
        <v>32831753</v>
      </c>
      <c r="M170" t="s">
        <v>248</v>
      </c>
      <c r="N170" t="s">
        <v>205</v>
      </c>
      <c r="O170" t="s">
        <v>134</v>
      </c>
      <c r="P170" t="s">
        <v>249</v>
      </c>
      <c r="Q170">
        <v>231539</v>
      </c>
      <c r="R170" t="s">
        <v>54</v>
      </c>
      <c r="S170">
        <v>22451499</v>
      </c>
      <c r="T170" t="s">
        <v>804</v>
      </c>
      <c r="U170" t="s">
        <v>62</v>
      </c>
      <c r="V170" t="s">
        <v>1297</v>
      </c>
      <c r="W170" t="s">
        <v>1298</v>
      </c>
      <c r="X170" t="s">
        <v>254</v>
      </c>
      <c r="Y170" t="s">
        <v>121</v>
      </c>
      <c r="Z170">
        <v>12</v>
      </c>
      <c r="AA170" t="s">
        <v>65</v>
      </c>
      <c r="AB170" t="s">
        <v>56</v>
      </c>
      <c r="AC170" t="s">
        <v>56</v>
      </c>
      <c r="AD170">
        <v>0</v>
      </c>
      <c r="AE170" t="s">
        <v>66</v>
      </c>
      <c r="AF170" t="s">
        <v>56</v>
      </c>
      <c r="AG170" t="s">
        <v>56</v>
      </c>
      <c r="AH170" t="s">
        <v>56</v>
      </c>
      <c r="AI170" t="s">
        <v>56</v>
      </c>
      <c r="AJ170" t="s">
        <v>255</v>
      </c>
      <c r="AK170" t="s">
        <v>256</v>
      </c>
      <c r="AL170" t="s">
        <v>56</v>
      </c>
      <c r="AM170" t="s">
        <v>56</v>
      </c>
      <c r="AN170" t="s">
        <v>56</v>
      </c>
      <c r="AO170" t="s">
        <v>56</v>
      </c>
      <c r="AP170" t="s">
        <v>56</v>
      </c>
      <c r="AQ170" t="s">
        <v>71</v>
      </c>
      <c r="AR170" t="s">
        <v>56</v>
      </c>
      <c r="AS170" t="s">
        <v>56</v>
      </c>
      <c r="AT170" t="s">
        <v>56</v>
      </c>
      <c r="AU170" t="s">
        <v>56</v>
      </c>
      <c r="AV170" t="s">
        <v>56</v>
      </c>
      <c r="AW170" t="s">
        <v>56</v>
      </c>
      <c r="AX170">
        <v>4</v>
      </c>
    </row>
    <row r="171" spans="1:50" x14ac:dyDescent="0.25">
      <c r="A171" t="str">
        <f>"20200124184017008701"</f>
        <v>20200124184017008701</v>
      </c>
      <c r="B171" t="s">
        <v>201</v>
      </c>
      <c r="C171" t="s">
        <v>201</v>
      </c>
      <c r="D171" t="s">
        <v>1299</v>
      </c>
      <c r="E171" t="str">
        <f>"761470371502"</f>
        <v>761470371502</v>
      </c>
      <c r="F171" t="s">
        <v>52</v>
      </c>
      <c r="G171">
        <v>890303841</v>
      </c>
      <c r="H171">
        <v>76147</v>
      </c>
      <c r="I171" t="s">
        <v>359</v>
      </c>
      <c r="J171">
        <v>2132425</v>
      </c>
      <c r="K171" t="s">
        <v>54</v>
      </c>
      <c r="L171">
        <v>16830715</v>
      </c>
      <c r="M171" t="s">
        <v>127</v>
      </c>
      <c r="N171" t="s">
        <v>360</v>
      </c>
      <c r="O171" t="s">
        <v>361</v>
      </c>
      <c r="P171" t="s">
        <v>362</v>
      </c>
      <c r="Q171">
        <v>1913</v>
      </c>
      <c r="R171" t="s">
        <v>54</v>
      </c>
      <c r="S171">
        <v>2559885</v>
      </c>
      <c r="T171" t="s">
        <v>854</v>
      </c>
      <c r="U171" t="s">
        <v>86</v>
      </c>
      <c r="V171" t="s">
        <v>1300</v>
      </c>
      <c r="W171" t="s">
        <v>1301</v>
      </c>
      <c r="X171" t="s">
        <v>1302</v>
      </c>
      <c r="Y171" t="s">
        <v>64</v>
      </c>
      <c r="Z171">
        <v>11</v>
      </c>
      <c r="AA171" t="s">
        <v>87</v>
      </c>
      <c r="AB171" t="s">
        <v>56</v>
      </c>
      <c r="AC171" t="s">
        <v>56</v>
      </c>
      <c r="AD171">
        <v>0</v>
      </c>
      <c r="AE171" t="s">
        <v>66</v>
      </c>
      <c r="AF171" t="s">
        <v>56</v>
      </c>
      <c r="AG171" t="s">
        <v>56</v>
      </c>
      <c r="AH171" t="s">
        <v>56</v>
      </c>
      <c r="AI171" t="s">
        <v>56</v>
      </c>
      <c r="AJ171" t="s">
        <v>365</v>
      </c>
      <c r="AK171" t="s">
        <v>366</v>
      </c>
      <c r="AL171" t="s">
        <v>215</v>
      </c>
      <c r="AM171" t="s">
        <v>216</v>
      </c>
      <c r="AN171" t="s">
        <v>56</v>
      </c>
      <c r="AO171" t="s">
        <v>56</v>
      </c>
      <c r="AP171" t="s">
        <v>56</v>
      </c>
      <c r="AQ171" t="s">
        <v>71</v>
      </c>
      <c r="AR171" t="s">
        <v>56</v>
      </c>
      <c r="AS171" t="s">
        <v>56</v>
      </c>
      <c r="AT171" t="s">
        <v>56</v>
      </c>
      <c r="AU171" t="s">
        <v>56</v>
      </c>
      <c r="AV171" t="s">
        <v>56</v>
      </c>
      <c r="AW171" t="s">
        <v>56</v>
      </c>
      <c r="AX171">
        <v>4</v>
      </c>
    </row>
    <row r="172" spans="1:50" x14ac:dyDescent="0.25">
      <c r="A172" t="str">
        <f>"20200125170017025766"</f>
        <v>20200125170017025766</v>
      </c>
      <c r="B172" t="s">
        <v>752</v>
      </c>
      <c r="C172" t="s">
        <v>752</v>
      </c>
      <c r="D172" t="s">
        <v>1303</v>
      </c>
      <c r="E172" t="str">
        <f>"087580001301"</f>
        <v>087580001301</v>
      </c>
      <c r="F172" t="s">
        <v>52</v>
      </c>
      <c r="G172">
        <v>890112801</v>
      </c>
      <c r="H172" t="s">
        <v>74</v>
      </c>
      <c r="I172" t="s">
        <v>75</v>
      </c>
      <c r="J172">
        <v>3715562</v>
      </c>
      <c r="K172" t="s">
        <v>54</v>
      </c>
      <c r="L172">
        <v>72135275</v>
      </c>
      <c r="M172" t="s">
        <v>76</v>
      </c>
      <c r="N172" t="s">
        <v>1304</v>
      </c>
      <c r="O172" t="s">
        <v>1305</v>
      </c>
      <c r="P172" t="s">
        <v>1306</v>
      </c>
      <c r="Q172">
        <v>2964</v>
      </c>
      <c r="R172" t="s">
        <v>54</v>
      </c>
      <c r="S172">
        <v>32823905</v>
      </c>
      <c r="T172" t="s">
        <v>470</v>
      </c>
      <c r="U172" t="s">
        <v>1307</v>
      </c>
      <c r="V172" t="s">
        <v>83</v>
      </c>
      <c r="W172" t="s">
        <v>1308</v>
      </c>
      <c r="X172" t="s">
        <v>241</v>
      </c>
      <c r="Y172" t="s">
        <v>121</v>
      </c>
      <c r="Z172">
        <v>12</v>
      </c>
      <c r="AA172" t="s">
        <v>65</v>
      </c>
      <c r="AB172" t="s">
        <v>56</v>
      </c>
      <c r="AC172" t="s">
        <v>56</v>
      </c>
      <c r="AD172">
        <v>0</v>
      </c>
      <c r="AE172" t="s">
        <v>66</v>
      </c>
      <c r="AF172" t="s">
        <v>56</v>
      </c>
      <c r="AG172" t="s">
        <v>56</v>
      </c>
      <c r="AH172" t="s">
        <v>56</v>
      </c>
      <c r="AI172" t="s">
        <v>56</v>
      </c>
      <c r="AJ172" t="s">
        <v>1309</v>
      </c>
      <c r="AK172" t="s">
        <v>1310</v>
      </c>
      <c r="AL172" t="s">
        <v>56</v>
      </c>
      <c r="AM172" t="s">
        <v>56</v>
      </c>
      <c r="AN172" t="s">
        <v>56</v>
      </c>
      <c r="AO172" t="s">
        <v>56</v>
      </c>
      <c r="AP172" t="s">
        <v>56</v>
      </c>
      <c r="AQ172" t="s">
        <v>71</v>
      </c>
      <c r="AR172" t="s">
        <v>56</v>
      </c>
      <c r="AS172" t="s">
        <v>56</v>
      </c>
      <c r="AT172" t="s">
        <v>56</v>
      </c>
      <c r="AU172" t="s">
        <v>56</v>
      </c>
      <c r="AV172" t="s">
        <v>56</v>
      </c>
      <c r="AW172" t="s">
        <v>56</v>
      </c>
      <c r="AX172">
        <v>4</v>
      </c>
    </row>
    <row r="173" spans="1:50" x14ac:dyDescent="0.25">
      <c r="A173" t="str">
        <f>"20200124139017024469"</f>
        <v>20200124139017024469</v>
      </c>
      <c r="B173" t="s">
        <v>201</v>
      </c>
      <c r="C173" t="s">
        <v>201</v>
      </c>
      <c r="D173" t="s">
        <v>1311</v>
      </c>
      <c r="E173" t="str">
        <f>"761470851601"</f>
        <v>761470851601</v>
      </c>
      <c r="F173" t="s">
        <v>52</v>
      </c>
      <c r="G173">
        <v>900472731</v>
      </c>
      <c r="H173">
        <v>76147</v>
      </c>
      <c r="I173" t="s">
        <v>53</v>
      </c>
      <c r="J173">
        <v>2146686</v>
      </c>
      <c r="K173" t="s">
        <v>54</v>
      </c>
      <c r="L173">
        <v>8707043</v>
      </c>
      <c r="M173" t="s">
        <v>351</v>
      </c>
      <c r="N173" t="s">
        <v>155</v>
      </c>
      <c r="O173" t="s">
        <v>1301</v>
      </c>
      <c r="P173" t="s">
        <v>1312</v>
      </c>
      <c r="Q173">
        <v>2823</v>
      </c>
      <c r="R173" t="s">
        <v>54</v>
      </c>
      <c r="S173">
        <v>38900822</v>
      </c>
      <c r="T173" t="s">
        <v>530</v>
      </c>
      <c r="U173" t="s">
        <v>1313</v>
      </c>
      <c r="V173" t="s">
        <v>1314</v>
      </c>
      <c r="W173" t="s">
        <v>1315</v>
      </c>
      <c r="X173" t="s">
        <v>277</v>
      </c>
      <c r="Y173" t="s">
        <v>64</v>
      </c>
      <c r="Z173">
        <v>11</v>
      </c>
      <c r="AA173" t="s">
        <v>87</v>
      </c>
      <c r="AB173" t="s">
        <v>56</v>
      </c>
      <c r="AC173" t="s">
        <v>56</v>
      </c>
      <c r="AD173">
        <v>0</v>
      </c>
      <c r="AE173" t="s">
        <v>66</v>
      </c>
      <c r="AF173" t="s">
        <v>56</v>
      </c>
      <c r="AG173" t="s">
        <v>56</v>
      </c>
      <c r="AH173" t="s">
        <v>56</v>
      </c>
      <c r="AI173" t="s">
        <v>56</v>
      </c>
      <c r="AJ173" t="s">
        <v>509</v>
      </c>
      <c r="AK173" t="s">
        <v>510</v>
      </c>
      <c r="AL173" t="s">
        <v>1316</v>
      </c>
      <c r="AM173" t="s">
        <v>1317</v>
      </c>
      <c r="AN173" t="s">
        <v>1318</v>
      </c>
      <c r="AO173" t="s">
        <v>1319</v>
      </c>
      <c r="AP173" t="s">
        <v>56</v>
      </c>
      <c r="AQ173" t="s">
        <v>71</v>
      </c>
      <c r="AR173" t="s">
        <v>56</v>
      </c>
      <c r="AS173" t="s">
        <v>56</v>
      </c>
      <c r="AT173" t="s">
        <v>56</v>
      </c>
      <c r="AU173" t="s">
        <v>56</v>
      </c>
      <c r="AV173" t="s">
        <v>56</v>
      </c>
      <c r="AW173" t="s">
        <v>56</v>
      </c>
      <c r="AX173">
        <v>4</v>
      </c>
    </row>
    <row r="174" spans="1:50" x14ac:dyDescent="0.25">
      <c r="A174" t="str">
        <f>"20200124176017007640"</f>
        <v>20200124176017007640</v>
      </c>
      <c r="B174" t="s">
        <v>201</v>
      </c>
      <c r="C174" t="s">
        <v>201</v>
      </c>
      <c r="D174" t="s">
        <v>1320</v>
      </c>
      <c r="E174" t="str">
        <f>"700010016301"</f>
        <v>700010016301</v>
      </c>
      <c r="F174" t="s">
        <v>52</v>
      </c>
      <c r="G174">
        <v>823002800</v>
      </c>
      <c r="H174">
        <v>70001</v>
      </c>
      <c r="I174" t="s">
        <v>603</v>
      </c>
      <c r="J174">
        <v>3126692716</v>
      </c>
      <c r="K174" t="s">
        <v>54</v>
      </c>
      <c r="L174">
        <v>42209100</v>
      </c>
      <c r="M174" t="s">
        <v>504</v>
      </c>
      <c r="N174" t="s">
        <v>117</v>
      </c>
      <c r="O174" t="s">
        <v>99</v>
      </c>
      <c r="P174" t="s">
        <v>84</v>
      </c>
      <c r="Q174">
        <v>1447</v>
      </c>
      <c r="R174" t="s">
        <v>54</v>
      </c>
      <c r="S174">
        <v>22942159</v>
      </c>
      <c r="T174" t="s">
        <v>1321</v>
      </c>
      <c r="U174" t="s">
        <v>117</v>
      </c>
      <c r="V174" t="s">
        <v>57</v>
      </c>
      <c r="W174" t="s">
        <v>1322</v>
      </c>
      <c r="X174" t="b">
        <v>0</v>
      </c>
      <c r="Y174" t="s">
        <v>330</v>
      </c>
      <c r="Z174">
        <v>11</v>
      </c>
      <c r="AA174" t="s">
        <v>87</v>
      </c>
      <c r="AB174" t="s">
        <v>56</v>
      </c>
      <c r="AC174" t="s">
        <v>56</v>
      </c>
      <c r="AD174">
        <v>0</v>
      </c>
      <c r="AE174" t="s">
        <v>66</v>
      </c>
      <c r="AF174" t="s">
        <v>56</v>
      </c>
      <c r="AG174" t="s">
        <v>56</v>
      </c>
      <c r="AH174" t="s">
        <v>56</v>
      </c>
      <c r="AI174" t="s">
        <v>56</v>
      </c>
      <c r="AJ174" t="s">
        <v>1323</v>
      </c>
      <c r="AK174" t="s">
        <v>1324</v>
      </c>
      <c r="AL174" t="s">
        <v>56</v>
      </c>
      <c r="AM174" t="s">
        <v>56</v>
      </c>
      <c r="AN174" t="s">
        <v>56</v>
      </c>
      <c r="AO174" t="s">
        <v>56</v>
      </c>
      <c r="AP174" t="s">
        <v>56</v>
      </c>
      <c r="AQ174" t="s">
        <v>71</v>
      </c>
      <c r="AR174" t="s">
        <v>56</v>
      </c>
      <c r="AS174" t="s">
        <v>56</v>
      </c>
      <c r="AT174" t="s">
        <v>56</v>
      </c>
      <c r="AU174" t="s">
        <v>56</v>
      </c>
      <c r="AV174" t="s">
        <v>56</v>
      </c>
      <c r="AW174" t="s">
        <v>56</v>
      </c>
      <c r="AX174">
        <v>4</v>
      </c>
    </row>
    <row r="175" spans="1:50" x14ac:dyDescent="0.25">
      <c r="A175" t="str">
        <f>"20200124165017007407"</f>
        <v>20200124165017007407</v>
      </c>
      <c r="B175" t="s">
        <v>201</v>
      </c>
      <c r="C175" t="s">
        <v>201</v>
      </c>
      <c r="D175" t="s">
        <v>1325</v>
      </c>
      <c r="E175" t="str">
        <f>"700010016301"</f>
        <v>700010016301</v>
      </c>
      <c r="F175" t="s">
        <v>52</v>
      </c>
      <c r="G175">
        <v>823002800</v>
      </c>
      <c r="H175">
        <v>70001</v>
      </c>
      <c r="I175" t="s">
        <v>603</v>
      </c>
      <c r="J175">
        <v>3126692716</v>
      </c>
      <c r="K175" t="s">
        <v>54</v>
      </c>
      <c r="L175">
        <v>42209100</v>
      </c>
      <c r="M175" t="s">
        <v>504</v>
      </c>
      <c r="N175" t="s">
        <v>117</v>
      </c>
      <c r="O175" t="s">
        <v>99</v>
      </c>
      <c r="P175" t="s">
        <v>84</v>
      </c>
      <c r="Q175">
        <v>1447</v>
      </c>
      <c r="R175" t="s">
        <v>54</v>
      </c>
      <c r="S175">
        <v>22942159</v>
      </c>
      <c r="T175" t="s">
        <v>1321</v>
      </c>
      <c r="U175" t="s">
        <v>117</v>
      </c>
      <c r="V175" t="s">
        <v>57</v>
      </c>
      <c r="W175" t="s">
        <v>1322</v>
      </c>
      <c r="X175" t="b">
        <v>0</v>
      </c>
      <c r="Y175" t="s">
        <v>330</v>
      </c>
      <c r="Z175">
        <v>12</v>
      </c>
      <c r="AA175" t="s">
        <v>65</v>
      </c>
      <c r="AB175" t="s">
        <v>56</v>
      </c>
      <c r="AC175" t="s">
        <v>56</v>
      </c>
      <c r="AD175">
        <v>0</v>
      </c>
      <c r="AE175" t="s">
        <v>66</v>
      </c>
      <c r="AF175" t="s">
        <v>56</v>
      </c>
      <c r="AG175" t="s">
        <v>56</v>
      </c>
      <c r="AH175" t="s">
        <v>56</v>
      </c>
      <c r="AI175" t="s">
        <v>56</v>
      </c>
      <c r="AJ175" t="s">
        <v>536</v>
      </c>
      <c r="AK175" t="s">
        <v>537</v>
      </c>
      <c r="AL175" t="s">
        <v>56</v>
      </c>
      <c r="AM175" t="s">
        <v>56</v>
      </c>
      <c r="AN175" t="s">
        <v>56</v>
      </c>
      <c r="AO175" t="s">
        <v>56</v>
      </c>
      <c r="AP175" t="s">
        <v>56</v>
      </c>
      <c r="AQ175" t="s">
        <v>71</v>
      </c>
      <c r="AR175" t="s">
        <v>56</v>
      </c>
      <c r="AS175" t="s">
        <v>56</v>
      </c>
      <c r="AT175" t="s">
        <v>56</v>
      </c>
      <c r="AU175" t="s">
        <v>56</v>
      </c>
      <c r="AV175" t="s">
        <v>56</v>
      </c>
      <c r="AW175" t="s">
        <v>56</v>
      </c>
      <c r="AX175">
        <v>4</v>
      </c>
    </row>
    <row r="176" spans="1:50" x14ac:dyDescent="0.25">
      <c r="A176" t="str">
        <f>"20200131143017174148"</f>
        <v>20200131143017174148</v>
      </c>
      <c r="B176" t="s">
        <v>110</v>
      </c>
      <c r="C176" t="s">
        <v>110</v>
      </c>
      <c r="D176" t="s">
        <v>1326</v>
      </c>
      <c r="E176" t="str">
        <f>"200010038901"</f>
        <v>200010038901</v>
      </c>
      <c r="F176" t="s">
        <v>52</v>
      </c>
      <c r="G176">
        <v>824004867</v>
      </c>
      <c r="H176">
        <v>20001</v>
      </c>
      <c r="I176" t="s">
        <v>1232</v>
      </c>
      <c r="J176" t="s">
        <v>1233</v>
      </c>
      <c r="K176" t="s">
        <v>54</v>
      </c>
      <c r="L176">
        <v>8711046</v>
      </c>
      <c r="M176" t="s">
        <v>261</v>
      </c>
      <c r="N176" t="s">
        <v>164</v>
      </c>
      <c r="O176" t="s">
        <v>343</v>
      </c>
      <c r="P176" t="s">
        <v>362</v>
      </c>
      <c r="Q176">
        <v>11109</v>
      </c>
      <c r="R176" t="s">
        <v>54</v>
      </c>
      <c r="S176">
        <v>49763262</v>
      </c>
      <c r="T176" t="s">
        <v>117</v>
      </c>
      <c r="U176" t="s">
        <v>1327</v>
      </c>
      <c r="V176" t="s">
        <v>1328</v>
      </c>
      <c r="W176" t="s">
        <v>1329</v>
      </c>
      <c r="X176" t="s">
        <v>462</v>
      </c>
      <c r="Y176" t="s">
        <v>86</v>
      </c>
      <c r="Z176">
        <v>12</v>
      </c>
      <c r="AA176" t="s">
        <v>65</v>
      </c>
      <c r="AB176" t="s">
        <v>56</v>
      </c>
      <c r="AC176" t="s">
        <v>56</v>
      </c>
      <c r="AD176">
        <v>0</v>
      </c>
      <c r="AE176" t="s">
        <v>66</v>
      </c>
      <c r="AF176" t="s">
        <v>56</v>
      </c>
      <c r="AG176" t="s">
        <v>56</v>
      </c>
      <c r="AH176" t="s">
        <v>56</v>
      </c>
      <c r="AI176" t="s">
        <v>56</v>
      </c>
      <c r="AJ176" t="s">
        <v>1330</v>
      </c>
      <c r="AK176" t="s">
        <v>1331</v>
      </c>
      <c r="AL176" t="s">
        <v>56</v>
      </c>
      <c r="AM176" t="s">
        <v>56</v>
      </c>
      <c r="AN176" t="s">
        <v>56</v>
      </c>
      <c r="AO176" t="s">
        <v>56</v>
      </c>
      <c r="AP176" t="s">
        <v>56</v>
      </c>
      <c r="AQ176" t="s">
        <v>71</v>
      </c>
      <c r="AR176" t="s">
        <v>56</v>
      </c>
      <c r="AS176" t="s">
        <v>56</v>
      </c>
      <c r="AT176" t="s">
        <v>56</v>
      </c>
      <c r="AU176" t="s">
        <v>56</v>
      </c>
      <c r="AV176" t="s">
        <v>56</v>
      </c>
      <c r="AW176" t="s">
        <v>56</v>
      </c>
      <c r="AX176">
        <v>4</v>
      </c>
    </row>
    <row r="177" spans="1:50" x14ac:dyDescent="0.25">
      <c r="A177" t="str">
        <f>"20200125188017028976"</f>
        <v>20200125188017028976</v>
      </c>
      <c r="B177" t="s">
        <v>752</v>
      </c>
      <c r="C177" t="s">
        <v>752</v>
      </c>
      <c r="D177" t="s">
        <v>1332</v>
      </c>
      <c r="E177" t="str">
        <f>"761470851601"</f>
        <v>761470851601</v>
      </c>
      <c r="F177" t="s">
        <v>52</v>
      </c>
      <c r="G177">
        <v>900472731</v>
      </c>
      <c r="H177">
        <v>76147</v>
      </c>
      <c r="I177" t="s">
        <v>53</v>
      </c>
      <c r="J177">
        <v>2146686</v>
      </c>
      <c r="K177" t="s">
        <v>54</v>
      </c>
      <c r="L177">
        <v>79151503</v>
      </c>
      <c r="M177" t="s">
        <v>1333</v>
      </c>
      <c r="N177" t="s">
        <v>94</v>
      </c>
      <c r="O177" t="s">
        <v>1334</v>
      </c>
      <c r="P177" t="s">
        <v>1335</v>
      </c>
      <c r="Q177">
        <v>79151503</v>
      </c>
      <c r="R177" t="s">
        <v>54</v>
      </c>
      <c r="S177">
        <v>66750167</v>
      </c>
      <c r="T177" t="s">
        <v>117</v>
      </c>
      <c r="U177" t="s">
        <v>1336</v>
      </c>
      <c r="V177" t="s">
        <v>98</v>
      </c>
      <c r="W177" t="s">
        <v>62</v>
      </c>
      <c r="X177" t="s">
        <v>1337</v>
      </c>
      <c r="Y177" t="s">
        <v>64</v>
      </c>
      <c r="Z177">
        <v>11</v>
      </c>
      <c r="AA177" t="s">
        <v>87</v>
      </c>
      <c r="AB177" t="s">
        <v>56</v>
      </c>
      <c r="AC177" t="s">
        <v>56</v>
      </c>
      <c r="AD177">
        <v>0</v>
      </c>
      <c r="AE177" t="s">
        <v>66</v>
      </c>
      <c r="AF177" t="s">
        <v>56</v>
      </c>
      <c r="AG177" t="s">
        <v>56</v>
      </c>
      <c r="AH177" t="s">
        <v>56</v>
      </c>
      <c r="AI177" t="s">
        <v>56</v>
      </c>
      <c r="AJ177" t="s">
        <v>1338</v>
      </c>
      <c r="AK177" t="s">
        <v>1339</v>
      </c>
      <c r="AL177" t="s">
        <v>56</v>
      </c>
      <c r="AM177" t="s">
        <v>56</v>
      </c>
      <c r="AN177" t="s">
        <v>56</v>
      </c>
      <c r="AO177" t="s">
        <v>56</v>
      </c>
      <c r="AP177" t="s">
        <v>56</v>
      </c>
      <c r="AQ177" t="s">
        <v>71</v>
      </c>
      <c r="AR177" t="s">
        <v>56</v>
      </c>
      <c r="AS177" t="s">
        <v>56</v>
      </c>
      <c r="AT177" t="s">
        <v>56</v>
      </c>
      <c r="AU177" t="s">
        <v>56</v>
      </c>
      <c r="AV177" t="s">
        <v>56</v>
      </c>
      <c r="AW177" t="s">
        <v>56</v>
      </c>
      <c r="AX177">
        <v>4</v>
      </c>
    </row>
    <row r="178" spans="1:50" x14ac:dyDescent="0.25">
      <c r="A178" t="str">
        <f>"20200129174017120675"</f>
        <v>20200129174017120675</v>
      </c>
      <c r="B178" t="s">
        <v>72</v>
      </c>
      <c r="C178" t="s">
        <v>72</v>
      </c>
      <c r="D178" t="s">
        <v>1340</v>
      </c>
      <c r="E178" t="str">
        <f>"080010054401"</f>
        <v>080010054401</v>
      </c>
      <c r="F178" t="s">
        <v>52</v>
      </c>
      <c r="G178">
        <v>800194798</v>
      </c>
      <c r="H178" t="s">
        <v>112</v>
      </c>
      <c r="I178" t="s">
        <v>616</v>
      </c>
      <c r="J178" t="s">
        <v>56</v>
      </c>
      <c r="K178" t="s">
        <v>54</v>
      </c>
      <c r="L178">
        <v>8713794</v>
      </c>
      <c r="M178" t="s">
        <v>291</v>
      </c>
      <c r="N178" t="s">
        <v>261</v>
      </c>
      <c r="O178" t="s">
        <v>449</v>
      </c>
      <c r="P178" t="s">
        <v>284</v>
      </c>
      <c r="Q178">
        <v>24194</v>
      </c>
      <c r="R178" t="s">
        <v>54</v>
      </c>
      <c r="S178">
        <v>42271434</v>
      </c>
      <c r="T178" t="s">
        <v>1341</v>
      </c>
      <c r="U178" t="s">
        <v>1032</v>
      </c>
      <c r="V178" t="s">
        <v>99</v>
      </c>
      <c r="W178" t="s">
        <v>169</v>
      </c>
      <c r="X178" t="s">
        <v>120</v>
      </c>
      <c r="Y178" t="s">
        <v>121</v>
      </c>
      <c r="Z178">
        <v>12</v>
      </c>
      <c r="AA178" t="s">
        <v>65</v>
      </c>
      <c r="AB178" t="s">
        <v>56</v>
      </c>
      <c r="AC178" t="s">
        <v>56</v>
      </c>
      <c r="AD178">
        <v>0</v>
      </c>
      <c r="AE178" t="s">
        <v>66</v>
      </c>
      <c r="AF178" t="s">
        <v>56</v>
      </c>
      <c r="AG178" t="s">
        <v>56</v>
      </c>
      <c r="AH178" t="s">
        <v>56</v>
      </c>
      <c r="AI178" t="s">
        <v>56</v>
      </c>
      <c r="AJ178" t="s">
        <v>1342</v>
      </c>
      <c r="AK178" t="s">
        <v>1343</v>
      </c>
      <c r="AL178" t="s">
        <v>56</v>
      </c>
      <c r="AM178" t="s">
        <v>56</v>
      </c>
      <c r="AN178" t="s">
        <v>56</v>
      </c>
      <c r="AO178" t="s">
        <v>56</v>
      </c>
      <c r="AP178" t="s">
        <v>56</v>
      </c>
      <c r="AQ178" t="s">
        <v>71</v>
      </c>
      <c r="AR178" t="s">
        <v>56</v>
      </c>
      <c r="AS178" t="s">
        <v>56</v>
      </c>
      <c r="AT178" t="s">
        <v>56</v>
      </c>
      <c r="AU178" t="s">
        <v>56</v>
      </c>
      <c r="AV178" t="s">
        <v>56</v>
      </c>
      <c r="AW178" t="s">
        <v>56</v>
      </c>
      <c r="AX178">
        <v>4</v>
      </c>
    </row>
    <row r="179" spans="1:50" x14ac:dyDescent="0.25">
      <c r="A179" t="str">
        <f>"20200127172017047983"</f>
        <v>20200127172017047983</v>
      </c>
      <c r="B179" t="s">
        <v>190</v>
      </c>
      <c r="C179" t="s">
        <v>190</v>
      </c>
      <c r="D179" t="s">
        <v>1344</v>
      </c>
      <c r="E179" t="str">
        <f>"134300049201"</f>
        <v>134300049201</v>
      </c>
      <c r="F179" t="s">
        <v>52</v>
      </c>
      <c r="G179">
        <v>900196347</v>
      </c>
      <c r="H179">
        <v>13430</v>
      </c>
      <c r="I179" t="s">
        <v>174</v>
      </c>
      <c r="J179" t="s">
        <v>175</v>
      </c>
      <c r="K179" t="s">
        <v>54</v>
      </c>
      <c r="L179">
        <v>1140817449</v>
      </c>
      <c r="M179" t="s">
        <v>477</v>
      </c>
      <c r="N179" t="s">
        <v>424</v>
      </c>
      <c r="O179" t="s">
        <v>109</v>
      </c>
      <c r="P179" t="s">
        <v>478</v>
      </c>
      <c r="Q179">
        <v>24345</v>
      </c>
      <c r="R179" t="s">
        <v>54</v>
      </c>
      <c r="S179">
        <v>9192391</v>
      </c>
      <c r="T179" t="s">
        <v>76</v>
      </c>
      <c r="U179" t="s">
        <v>1345</v>
      </c>
      <c r="V179" t="s">
        <v>99</v>
      </c>
      <c r="W179" t="s">
        <v>99</v>
      </c>
      <c r="X179" t="s">
        <v>330</v>
      </c>
      <c r="Y179" t="s">
        <v>330</v>
      </c>
      <c r="Z179">
        <v>22</v>
      </c>
      <c r="AA179" t="s">
        <v>102</v>
      </c>
      <c r="AB179">
        <v>0</v>
      </c>
      <c r="AC179" t="s">
        <v>66</v>
      </c>
      <c r="AD179">
        <v>0</v>
      </c>
      <c r="AE179" t="s">
        <v>66</v>
      </c>
      <c r="AF179" t="s">
        <v>56</v>
      </c>
      <c r="AG179" t="s">
        <v>56</v>
      </c>
      <c r="AH179" t="s">
        <v>56</v>
      </c>
      <c r="AI179" t="s">
        <v>56</v>
      </c>
      <c r="AJ179" t="s">
        <v>1346</v>
      </c>
      <c r="AK179" t="s">
        <v>1347</v>
      </c>
      <c r="AL179" t="s">
        <v>1348</v>
      </c>
      <c r="AM179" t="s">
        <v>1349</v>
      </c>
      <c r="AN179" t="s">
        <v>56</v>
      </c>
      <c r="AO179" t="s">
        <v>56</v>
      </c>
      <c r="AP179" t="s">
        <v>56</v>
      </c>
      <c r="AQ179" t="s">
        <v>71</v>
      </c>
      <c r="AR179" t="s">
        <v>56</v>
      </c>
      <c r="AS179" t="s">
        <v>56</v>
      </c>
      <c r="AT179" t="s">
        <v>56</v>
      </c>
      <c r="AU179" t="s">
        <v>56</v>
      </c>
      <c r="AV179" t="s">
        <v>56</v>
      </c>
      <c r="AW179" t="s">
        <v>56</v>
      </c>
      <c r="AX179">
        <v>4</v>
      </c>
    </row>
    <row r="180" spans="1:50" x14ac:dyDescent="0.25">
      <c r="A180" t="str">
        <f>"20200127161017060627"</f>
        <v>20200127161017060627</v>
      </c>
      <c r="B180" t="s">
        <v>190</v>
      </c>
      <c r="C180" t="s">
        <v>190</v>
      </c>
      <c r="D180" t="s">
        <v>1350</v>
      </c>
      <c r="E180" t="str">
        <f>"700010096901"</f>
        <v>700010096901</v>
      </c>
      <c r="F180" t="s">
        <v>52</v>
      </c>
      <c r="G180">
        <v>900118990</v>
      </c>
      <c r="H180">
        <v>70001</v>
      </c>
      <c r="I180" t="s">
        <v>869</v>
      </c>
      <c r="J180">
        <v>2761605</v>
      </c>
      <c r="K180" t="s">
        <v>54</v>
      </c>
      <c r="L180">
        <v>92498223</v>
      </c>
      <c r="M180" t="s">
        <v>1351</v>
      </c>
      <c r="N180" t="s">
        <v>155</v>
      </c>
      <c r="O180" t="s">
        <v>1352</v>
      </c>
      <c r="P180" t="s">
        <v>1353</v>
      </c>
      <c r="Q180">
        <v>17534</v>
      </c>
      <c r="R180" t="s">
        <v>54</v>
      </c>
      <c r="S180">
        <v>9140871</v>
      </c>
      <c r="T180" t="s">
        <v>1130</v>
      </c>
      <c r="U180" t="s">
        <v>62</v>
      </c>
      <c r="V180" t="s">
        <v>262</v>
      </c>
      <c r="W180" t="s">
        <v>707</v>
      </c>
      <c r="X180" t="s">
        <v>330</v>
      </c>
      <c r="Y180" t="s">
        <v>330</v>
      </c>
      <c r="Z180">
        <v>12</v>
      </c>
      <c r="AA180" t="s">
        <v>65</v>
      </c>
      <c r="AB180" t="s">
        <v>56</v>
      </c>
      <c r="AC180" t="s">
        <v>56</v>
      </c>
      <c r="AD180">
        <v>0</v>
      </c>
      <c r="AE180" t="s">
        <v>66</v>
      </c>
      <c r="AF180" t="s">
        <v>56</v>
      </c>
      <c r="AG180" t="s">
        <v>56</v>
      </c>
      <c r="AH180" t="s">
        <v>56</v>
      </c>
      <c r="AI180" t="s">
        <v>56</v>
      </c>
      <c r="AJ180" t="s">
        <v>1180</v>
      </c>
      <c r="AK180" t="s">
        <v>1181</v>
      </c>
      <c r="AL180" t="s">
        <v>56</v>
      </c>
      <c r="AM180" t="s">
        <v>56</v>
      </c>
      <c r="AN180" t="s">
        <v>56</v>
      </c>
      <c r="AO180" t="s">
        <v>56</v>
      </c>
      <c r="AP180" t="s">
        <v>56</v>
      </c>
      <c r="AQ180" t="s">
        <v>71</v>
      </c>
      <c r="AR180" t="s">
        <v>56</v>
      </c>
      <c r="AS180" t="s">
        <v>56</v>
      </c>
      <c r="AT180" t="s">
        <v>56</v>
      </c>
      <c r="AU180" t="s">
        <v>56</v>
      </c>
      <c r="AV180" t="s">
        <v>56</v>
      </c>
      <c r="AW180" t="s">
        <v>56</v>
      </c>
      <c r="AX180">
        <v>4</v>
      </c>
    </row>
    <row r="181" spans="1:50" x14ac:dyDescent="0.25">
      <c r="A181" t="str">
        <f>"20200127177017061586"</f>
        <v>20200127177017061586</v>
      </c>
      <c r="B181" t="s">
        <v>190</v>
      </c>
      <c r="C181" t="s">
        <v>190</v>
      </c>
      <c r="D181" t="s">
        <v>1354</v>
      </c>
      <c r="E181" t="str">
        <f>"700010096901"</f>
        <v>700010096901</v>
      </c>
      <c r="F181" t="s">
        <v>52</v>
      </c>
      <c r="G181">
        <v>900118990</v>
      </c>
      <c r="H181">
        <v>70001</v>
      </c>
      <c r="I181" t="s">
        <v>869</v>
      </c>
      <c r="J181">
        <v>2761605</v>
      </c>
      <c r="K181" t="s">
        <v>54</v>
      </c>
      <c r="L181">
        <v>92498223</v>
      </c>
      <c r="M181" t="s">
        <v>1351</v>
      </c>
      <c r="N181" t="s">
        <v>155</v>
      </c>
      <c r="O181" t="s">
        <v>1352</v>
      </c>
      <c r="P181" t="s">
        <v>1353</v>
      </c>
      <c r="Q181">
        <v>17534</v>
      </c>
      <c r="R181" t="s">
        <v>54</v>
      </c>
      <c r="S181">
        <v>9140871</v>
      </c>
      <c r="T181" t="s">
        <v>1130</v>
      </c>
      <c r="U181" t="s">
        <v>62</v>
      </c>
      <c r="V181" t="s">
        <v>262</v>
      </c>
      <c r="W181" t="s">
        <v>707</v>
      </c>
      <c r="X181" t="s">
        <v>330</v>
      </c>
      <c r="Y181" t="s">
        <v>330</v>
      </c>
      <c r="Z181">
        <v>12</v>
      </c>
      <c r="AA181" t="s">
        <v>65</v>
      </c>
      <c r="AB181" t="s">
        <v>56</v>
      </c>
      <c r="AC181" t="s">
        <v>56</v>
      </c>
      <c r="AD181">
        <v>0</v>
      </c>
      <c r="AE181" t="s">
        <v>66</v>
      </c>
      <c r="AF181" t="s">
        <v>56</v>
      </c>
      <c r="AG181" t="s">
        <v>56</v>
      </c>
      <c r="AH181" t="s">
        <v>56</v>
      </c>
      <c r="AI181" t="s">
        <v>56</v>
      </c>
      <c r="AJ181" t="s">
        <v>1180</v>
      </c>
      <c r="AK181" t="s">
        <v>1181</v>
      </c>
      <c r="AL181" t="s">
        <v>56</v>
      </c>
      <c r="AM181" t="s">
        <v>56</v>
      </c>
      <c r="AN181" t="s">
        <v>56</v>
      </c>
      <c r="AO181" t="s">
        <v>56</v>
      </c>
      <c r="AP181" t="s">
        <v>56</v>
      </c>
      <c r="AQ181" t="s">
        <v>71</v>
      </c>
      <c r="AR181" t="s">
        <v>56</v>
      </c>
      <c r="AS181" t="s">
        <v>56</v>
      </c>
      <c r="AT181" t="s">
        <v>56</v>
      </c>
      <c r="AU181" t="s">
        <v>56</v>
      </c>
      <c r="AV181" t="s">
        <v>56</v>
      </c>
      <c r="AW181" t="s">
        <v>56</v>
      </c>
      <c r="AX181">
        <v>4</v>
      </c>
    </row>
    <row r="182" spans="1:50" x14ac:dyDescent="0.25">
      <c r="A182" t="str">
        <f>"20200201113017184902"</f>
        <v>20200201113017184902</v>
      </c>
      <c r="B182" t="s">
        <v>50</v>
      </c>
      <c r="C182" t="s">
        <v>50</v>
      </c>
      <c r="D182" t="s">
        <v>1355</v>
      </c>
      <c r="E182" t="str">
        <f>"080010430501"</f>
        <v>080010430501</v>
      </c>
      <c r="F182" t="s">
        <v>52</v>
      </c>
      <c r="G182">
        <v>900206215</v>
      </c>
      <c r="H182" t="s">
        <v>112</v>
      </c>
      <c r="I182" t="s">
        <v>1084</v>
      </c>
      <c r="J182">
        <v>3174342880</v>
      </c>
      <c r="K182" t="s">
        <v>54</v>
      </c>
      <c r="L182">
        <v>32833623</v>
      </c>
      <c r="M182" t="s">
        <v>1065</v>
      </c>
      <c r="N182" t="s">
        <v>59</v>
      </c>
      <c r="O182" t="s">
        <v>659</v>
      </c>
      <c r="P182" t="s">
        <v>252</v>
      </c>
      <c r="Q182">
        <v>32833623</v>
      </c>
      <c r="R182" t="s">
        <v>54</v>
      </c>
      <c r="S182">
        <v>22639392</v>
      </c>
      <c r="T182" t="s">
        <v>1356</v>
      </c>
      <c r="U182" t="s">
        <v>373</v>
      </c>
      <c r="V182" t="s">
        <v>297</v>
      </c>
      <c r="W182" t="s">
        <v>109</v>
      </c>
      <c r="X182" t="s">
        <v>590</v>
      </c>
      <c r="Y182" t="s">
        <v>121</v>
      </c>
      <c r="Z182">
        <v>12</v>
      </c>
      <c r="AA182" t="s">
        <v>65</v>
      </c>
      <c r="AB182" t="s">
        <v>56</v>
      </c>
      <c r="AC182" t="s">
        <v>56</v>
      </c>
      <c r="AD182">
        <v>0</v>
      </c>
      <c r="AE182" t="s">
        <v>66</v>
      </c>
      <c r="AF182" t="s">
        <v>56</v>
      </c>
      <c r="AG182" t="s">
        <v>56</v>
      </c>
      <c r="AH182" t="s">
        <v>56</v>
      </c>
      <c r="AI182" t="s">
        <v>56</v>
      </c>
      <c r="AJ182" t="s">
        <v>894</v>
      </c>
      <c r="AK182" t="s">
        <v>895</v>
      </c>
      <c r="AL182" t="s">
        <v>444</v>
      </c>
      <c r="AM182" t="s">
        <v>445</v>
      </c>
      <c r="AN182" t="s">
        <v>1357</v>
      </c>
      <c r="AO182" t="s">
        <v>1358</v>
      </c>
      <c r="AP182" t="s">
        <v>56</v>
      </c>
      <c r="AQ182" t="s">
        <v>71</v>
      </c>
      <c r="AR182" t="s">
        <v>56</v>
      </c>
      <c r="AS182" t="s">
        <v>56</v>
      </c>
      <c r="AT182" t="s">
        <v>56</v>
      </c>
      <c r="AU182" t="s">
        <v>56</v>
      </c>
      <c r="AV182" t="s">
        <v>56</v>
      </c>
      <c r="AW182" t="s">
        <v>56</v>
      </c>
      <c r="AX182">
        <v>4</v>
      </c>
    </row>
    <row r="183" spans="1:50" x14ac:dyDescent="0.25">
      <c r="A183" t="str">
        <f>"20200130133017132624"</f>
        <v>20200130133017132624</v>
      </c>
      <c r="B183" t="s">
        <v>124</v>
      </c>
      <c r="C183" t="s">
        <v>124</v>
      </c>
      <c r="D183" t="s">
        <v>1359</v>
      </c>
      <c r="E183" t="str">
        <f>"200010205401"</f>
        <v>200010205401</v>
      </c>
      <c r="F183" t="s">
        <v>52</v>
      </c>
      <c r="G183">
        <v>901058547</v>
      </c>
      <c r="H183">
        <v>20001</v>
      </c>
      <c r="I183" t="s">
        <v>512</v>
      </c>
      <c r="J183" t="s">
        <v>513</v>
      </c>
      <c r="K183" t="s">
        <v>54</v>
      </c>
      <c r="L183">
        <v>56078839</v>
      </c>
      <c r="M183" t="s">
        <v>577</v>
      </c>
      <c r="N183" t="s">
        <v>275</v>
      </c>
      <c r="O183" t="s">
        <v>225</v>
      </c>
      <c r="P183" t="s">
        <v>578</v>
      </c>
      <c r="Q183">
        <v>7093</v>
      </c>
      <c r="R183" t="s">
        <v>54</v>
      </c>
      <c r="S183">
        <v>77094665</v>
      </c>
      <c r="T183" t="s">
        <v>1360</v>
      </c>
      <c r="U183" t="s">
        <v>62</v>
      </c>
      <c r="V183" t="s">
        <v>1361</v>
      </c>
      <c r="W183" t="s">
        <v>169</v>
      </c>
      <c r="X183" t="s">
        <v>462</v>
      </c>
      <c r="Y183" t="s">
        <v>86</v>
      </c>
      <c r="Z183">
        <v>11</v>
      </c>
      <c r="AA183" t="s">
        <v>87</v>
      </c>
      <c r="AB183" t="s">
        <v>56</v>
      </c>
      <c r="AC183" t="s">
        <v>56</v>
      </c>
      <c r="AD183">
        <v>0</v>
      </c>
      <c r="AE183" t="s">
        <v>66</v>
      </c>
      <c r="AF183" t="s">
        <v>56</v>
      </c>
      <c r="AG183" t="s">
        <v>56</v>
      </c>
      <c r="AH183" t="s">
        <v>56</v>
      </c>
      <c r="AI183" t="s">
        <v>56</v>
      </c>
      <c r="AJ183" t="s">
        <v>1362</v>
      </c>
      <c r="AK183" t="s">
        <v>1363</v>
      </c>
      <c r="AL183" t="s">
        <v>56</v>
      </c>
      <c r="AM183" t="s">
        <v>56</v>
      </c>
      <c r="AN183" t="s">
        <v>56</v>
      </c>
      <c r="AO183" t="s">
        <v>56</v>
      </c>
      <c r="AP183" t="s">
        <v>56</v>
      </c>
      <c r="AQ183" t="s">
        <v>71</v>
      </c>
      <c r="AR183" t="s">
        <v>56</v>
      </c>
      <c r="AS183" t="s">
        <v>56</v>
      </c>
      <c r="AT183" t="s">
        <v>56</v>
      </c>
      <c r="AU183" t="s">
        <v>56</v>
      </c>
      <c r="AV183" t="s">
        <v>56</v>
      </c>
      <c r="AW183" t="s">
        <v>56</v>
      </c>
      <c r="AX183">
        <v>4</v>
      </c>
    </row>
    <row r="184" spans="1:50" x14ac:dyDescent="0.25">
      <c r="A184" t="str">
        <f>"20200129124017098663"</f>
        <v>20200129124017098663</v>
      </c>
      <c r="B184" t="s">
        <v>72</v>
      </c>
      <c r="C184" t="s">
        <v>72</v>
      </c>
      <c r="D184" t="s">
        <v>1364</v>
      </c>
      <c r="E184" t="str">
        <f>"080010349401"</f>
        <v>080010349401</v>
      </c>
      <c r="F184" t="s">
        <v>52</v>
      </c>
      <c r="G184">
        <v>900458308</v>
      </c>
      <c r="H184" t="s">
        <v>112</v>
      </c>
      <c r="I184" t="s">
        <v>370</v>
      </c>
      <c r="J184" t="s">
        <v>371</v>
      </c>
      <c r="K184" t="s">
        <v>54</v>
      </c>
      <c r="L184">
        <v>1143378811</v>
      </c>
      <c r="M184" t="s">
        <v>372</v>
      </c>
      <c r="N184" t="s">
        <v>373</v>
      </c>
      <c r="O184" t="s">
        <v>109</v>
      </c>
      <c r="P184" t="s">
        <v>374</v>
      </c>
      <c r="Q184">
        <v>1143378811</v>
      </c>
      <c r="R184" t="s">
        <v>54</v>
      </c>
      <c r="S184">
        <v>72282149</v>
      </c>
      <c r="T184" t="s">
        <v>1365</v>
      </c>
      <c r="U184" t="s">
        <v>282</v>
      </c>
      <c r="V184" t="s">
        <v>1366</v>
      </c>
      <c r="W184" t="s">
        <v>425</v>
      </c>
      <c r="X184" t="s">
        <v>120</v>
      </c>
      <c r="Y184" t="s">
        <v>121</v>
      </c>
      <c r="Z184">
        <v>12</v>
      </c>
      <c r="AA184" t="s">
        <v>65</v>
      </c>
      <c r="AB184" t="s">
        <v>56</v>
      </c>
      <c r="AC184" t="s">
        <v>56</v>
      </c>
      <c r="AD184">
        <v>0</v>
      </c>
      <c r="AE184" t="s">
        <v>66</v>
      </c>
      <c r="AF184" t="s">
        <v>56</v>
      </c>
      <c r="AG184" t="s">
        <v>56</v>
      </c>
      <c r="AH184" t="s">
        <v>56</v>
      </c>
      <c r="AI184" t="s">
        <v>56</v>
      </c>
      <c r="AJ184" t="s">
        <v>1034</v>
      </c>
      <c r="AK184" t="s">
        <v>1035</v>
      </c>
      <c r="AL184" t="s">
        <v>1367</v>
      </c>
      <c r="AM184" t="s">
        <v>1368</v>
      </c>
      <c r="AN184" t="s">
        <v>56</v>
      </c>
      <c r="AO184" t="s">
        <v>56</v>
      </c>
      <c r="AP184" t="s">
        <v>56</v>
      </c>
      <c r="AQ184" t="s">
        <v>71</v>
      </c>
      <c r="AR184" t="s">
        <v>56</v>
      </c>
      <c r="AS184" t="s">
        <v>56</v>
      </c>
      <c r="AT184" t="s">
        <v>56</v>
      </c>
      <c r="AU184" t="s">
        <v>56</v>
      </c>
      <c r="AV184" t="s">
        <v>56</v>
      </c>
      <c r="AW184" t="s">
        <v>56</v>
      </c>
      <c r="AX184">
        <v>4</v>
      </c>
    </row>
    <row r="185" spans="1:50" x14ac:dyDescent="0.25">
      <c r="A185" t="str">
        <f>"20200129110017098644"</f>
        <v>20200129110017098644</v>
      </c>
      <c r="B185" t="s">
        <v>72</v>
      </c>
      <c r="C185" t="s">
        <v>72</v>
      </c>
      <c r="D185" t="s">
        <v>1369</v>
      </c>
      <c r="E185" t="str">
        <f>"080010349401"</f>
        <v>080010349401</v>
      </c>
      <c r="F185" t="s">
        <v>52</v>
      </c>
      <c r="G185">
        <v>900458308</v>
      </c>
      <c r="H185" t="s">
        <v>112</v>
      </c>
      <c r="I185" t="s">
        <v>370</v>
      </c>
      <c r="J185" t="s">
        <v>371</v>
      </c>
      <c r="K185" t="s">
        <v>54</v>
      </c>
      <c r="L185">
        <v>1143378811</v>
      </c>
      <c r="M185" t="s">
        <v>372</v>
      </c>
      <c r="N185" t="s">
        <v>373</v>
      </c>
      <c r="O185" t="s">
        <v>109</v>
      </c>
      <c r="P185" t="s">
        <v>374</v>
      </c>
      <c r="Q185">
        <v>1143378811</v>
      </c>
      <c r="R185" t="s">
        <v>54</v>
      </c>
      <c r="S185">
        <v>72282149</v>
      </c>
      <c r="T185" t="s">
        <v>1365</v>
      </c>
      <c r="U185" t="s">
        <v>282</v>
      </c>
      <c r="V185" t="s">
        <v>1366</v>
      </c>
      <c r="W185" t="s">
        <v>425</v>
      </c>
      <c r="X185" t="s">
        <v>120</v>
      </c>
      <c r="Y185" t="s">
        <v>121</v>
      </c>
      <c r="Z185">
        <v>12</v>
      </c>
      <c r="AA185" t="s">
        <v>65</v>
      </c>
      <c r="AB185" t="s">
        <v>56</v>
      </c>
      <c r="AC185" t="s">
        <v>56</v>
      </c>
      <c r="AD185">
        <v>0</v>
      </c>
      <c r="AE185" t="s">
        <v>66</v>
      </c>
      <c r="AF185" t="s">
        <v>56</v>
      </c>
      <c r="AG185" t="s">
        <v>56</v>
      </c>
      <c r="AH185" t="s">
        <v>56</v>
      </c>
      <c r="AI185" t="s">
        <v>56</v>
      </c>
      <c r="AJ185" t="s">
        <v>356</v>
      </c>
      <c r="AK185" t="s">
        <v>357</v>
      </c>
      <c r="AL185" t="s">
        <v>255</v>
      </c>
      <c r="AM185" t="s">
        <v>256</v>
      </c>
      <c r="AN185" t="s">
        <v>56</v>
      </c>
      <c r="AO185" t="s">
        <v>56</v>
      </c>
      <c r="AP185" t="s">
        <v>56</v>
      </c>
      <c r="AQ185" t="s">
        <v>71</v>
      </c>
      <c r="AR185" t="s">
        <v>56</v>
      </c>
      <c r="AS185" t="s">
        <v>56</v>
      </c>
      <c r="AT185" t="s">
        <v>56</v>
      </c>
      <c r="AU185" t="s">
        <v>56</v>
      </c>
      <c r="AV185" t="s">
        <v>56</v>
      </c>
      <c r="AW185" t="s">
        <v>56</v>
      </c>
      <c r="AX185">
        <v>4</v>
      </c>
    </row>
    <row r="186" spans="1:50" x14ac:dyDescent="0.25">
      <c r="A186" t="str">
        <f>"20200127193017063618"</f>
        <v>20200127193017063618</v>
      </c>
      <c r="B186" t="s">
        <v>190</v>
      </c>
      <c r="C186" t="s">
        <v>190</v>
      </c>
      <c r="D186" t="s">
        <v>1370</v>
      </c>
      <c r="E186" t="str">
        <f>"080010003601"</f>
        <v>080010003601</v>
      </c>
      <c r="F186" t="s">
        <v>52</v>
      </c>
      <c r="G186">
        <v>802000955</v>
      </c>
      <c r="H186" t="s">
        <v>112</v>
      </c>
      <c r="I186" t="s">
        <v>218</v>
      </c>
      <c r="J186" t="s">
        <v>56</v>
      </c>
      <c r="K186" t="s">
        <v>54</v>
      </c>
      <c r="L186">
        <v>1045754222</v>
      </c>
      <c r="M186" t="s">
        <v>607</v>
      </c>
      <c r="N186" t="s">
        <v>117</v>
      </c>
      <c r="O186" t="s">
        <v>608</v>
      </c>
      <c r="P186" t="s">
        <v>528</v>
      </c>
      <c r="Q186">
        <v>1045754222</v>
      </c>
      <c r="R186" t="s">
        <v>54</v>
      </c>
      <c r="S186">
        <v>22955536</v>
      </c>
      <c r="T186" t="s">
        <v>1371</v>
      </c>
      <c r="U186" t="s">
        <v>62</v>
      </c>
      <c r="V186" t="s">
        <v>691</v>
      </c>
      <c r="W186" t="s">
        <v>1372</v>
      </c>
      <c r="X186" t="s">
        <v>120</v>
      </c>
      <c r="Y186" t="s">
        <v>121</v>
      </c>
      <c r="Z186">
        <v>12</v>
      </c>
      <c r="AA186" t="s">
        <v>65</v>
      </c>
      <c r="AB186" t="s">
        <v>56</v>
      </c>
      <c r="AC186" t="s">
        <v>56</v>
      </c>
      <c r="AD186">
        <v>0</v>
      </c>
      <c r="AE186" t="s">
        <v>66</v>
      </c>
      <c r="AF186" t="s">
        <v>56</v>
      </c>
      <c r="AG186" t="s">
        <v>56</v>
      </c>
      <c r="AH186" t="s">
        <v>56</v>
      </c>
      <c r="AI186" t="s">
        <v>56</v>
      </c>
      <c r="AJ186" t="s">
        <v>1373</v>
      </c>
      <c r="AK186" t="s">
        <v>1374</v>
      </c>
      <c r="AL186" t="s">
        <v>1375</v>
      </c>
      <c r="AM186" t="s">
        <v>1376</v>
      </c>
      <c r="AN186" t="s">
        <v>613</v>
      </c>
      <c r="AO186" t="s">
        <v>614</v>
      </c>
      <c r="AP186" t="s">
        <v>56</v>
      </c>
      <c r="AQ186" t="s">
        <v>71</v>
      </c>
      <c r="AR186" t="s">
        <v>56</v>
      </c>
      <c r="AS186" t="s">
        <v>56</v>
      </c>
      <c r="AT186" t="s">
        <v>56</v>
      </c>
      <c r="AU186" t="s">
        <v>56</v>
      </c>
      <c r="AV186" t="s">
        <v>56</v>
      </c>
      <c r="AW186" t="s">
        <v>56</v>
      </c>
      <c r="AX186">
        <v>4</v>
      </c>
    </row>
    <row r="187" spans="1:50" x14ac:dyDescent="0.25">
      <c r="A187" t="str">
        <f>"20200127139017051710"</f>
        <v>20200127139017051710</v>
      </c>
      <c r="B187" t="s">
        <v>190</v>
      </c>
      <c r="C187" t="s">
        <v>190</v>
      </c>
      <c r="D187" t="s">
        <v>1377</v>
      </c>
      <c r="E187" t="str">
        <f>"080010022301"</f>
        <v>080010022301</v>
      </c>
      <c r="F187" t="s">
        <v>52</v>
      </c>
      <c r="G187">
        <v>72125229</v>
      </c>
      <c r="H187" t="s">
        <v>112</v>
      </c>
      <c r="I187" t="s">
        <v>303</v>
      </c>
      <c r="J187">
        <v>3781924</v>
      </c>
      <c r="K187" t="s">
        <v>54</v>
      </c>
      <c r="L187">
        <v>72125229</v>
      </c>
      <c r="M187" t="s">
        <v>304</v>
      </c>
      <c r="N187" t="s">
        <v>56</v>
      </c>
      <c r="O187" t="s">
        <v>305</v>
      </c>
      <c r="P187" t="s">
        <v>306</v>
      </c>
      <c r="Q187" t="s">
        <v>56</v>
      </c>
      <c r="R187" t="s">
        <v>54</v>
      </c>
      <c r="S187">
        <v>22955536</v>
      </c>
      <c r="T187" t="s">
        <v>1371</v>
      </c>
      <c r="U187" t="s">
        <v>62</v>
      </c>
      <c r="V187" t="s">
        <v>691</v>
      </c>
      <c r="W187" t="s">
        <v>1372</v>
      </c>
      <c r="X187" t="s">
        <v>120</v>
      </c>
      <c r="Y187" t="s">
        <v>121</v>
      </c>
      <c r="Z187">
        <v>12</v>
      </c>
      <c r="AA187" t="s">
        <v>65</v>
      </c>
      <c r="AB187" t="s">
        <v>56</v>
      </c>
      <c r="AC187" t="s">
        <v>56</v>
      </c>
      <c r="AD187">
        <v>0</v>
      </c>
      <c r="AE187" t="s">
        <v>66</v>
      </c>
      <c r="AF187" t="s">
        <v>56</v>
      </c>
      <c r="AG187" t="s">
        <v>56</v>
      </c>
      <c r="AH187" t="s">
        <v>56</v>
      </c>
      <c r="AI187" t="s">
        <v>56</v>
      </c>
      <c r="AJ187" t="s">
        <v>310</v>
      </c>
      <c r="AK187" t="s">
        <v>311</v>
      </c>
      <c r="AL187" t="s">
        <v>56</v>
      </c>
      <c r="AM187" t="s">
        <v>56</v>
      </c>
      <c r="AN187" t="s">
        <v>56</v>
      </c>
      <c r="AO187" t="s">
        <v>56</v>
      </c>
      <c r="AP187" t="s">
        <v>56</v>
      </c>
      <c r="AQ187" t="s">
        <v>71</v>
      </c>
      <c r="AR187" t="s">
        <v>56</v>
      </c>
      <c r="AS187" t="s">
        <v>56</v>
      </c>
      <c r="AT187" t="s">
        <v>56</v>
      </c>
      <c r="AU187" t="s">
        <v>56</v>
      </c>
      <c r="AV187" t="s">
        <v>56</v>
      </c>
      <c r="AW187" t="s">
        <v>56</v>
      </c>
      <c r="AX187">
        <v>4</v>
      </c>
    </row>
    <row r="188" spans="1:50" x14ac:dyDescent="0.25">
      <c r="A188" t="str">
        <f>"20200125113017029546"</f>
        <v>20200125113017029546</v>
      </c>
      <c r="B188" t="s">
        <v>752</v>
      </c>
      <c r="C188" t="s">
        <v>752</v>
      </c>
      <c r="D188" t="s">
        <v>1378</v>
      </c>
      <c r="E188" t="str">
        <f>"080010054401"</f>
        <v>080010054401</v>
      </c>
      <c r="F188" t="s">
        <v>52</v>
      </c>
      <c r="G188">
        <v>800194798</v>
      </c>
      <c r="H188" t="s">
        <v>112</v>
      </c>
      <c r="I188" t="s">
        <v>616</v>
      </c>
      <c r="J188" t="s">
        <v>56</v>
      </c>
      <c r="K188" t="s">
        <v>54</v>
      </c>
      <c r="L188">
        <v>1047222132</v>
      </c>
      <c r="M188" t="s">
        <v>667</v>
      </c>
      <c r="N188" t="s">
        <v>627</v>
      </c>
      <c r="O188" t="s">
        <v>754</v>
      </c>
      <c r="P188" t="s">
        <v>755</v>
      </c>
      <c r="Q188" t="s">
        <v>756</v>
      </c>
      <c r="R188" t="s">
        <v>54</v>
      </c>
      <c r="S188">
        <v>22634766</v>
      </c>
      <c r="T188" t="s">
        <v>1379</v>
      </c>
      <c r="U188" t="s">
        <v>1380</v>
      </c>
      <c r="V188" t="s">
        <v>1381</v>
      </c>
      <c r="W188" t="s">
        <v>1382</v>
      </c>
      <c r="X188" t="s">
        <v>590</v>
      </c>
      <c r="Y188" t="s">
        <v>121</v>
      </c>
      <c r="Z188">
        <v>22</v>
      </c>
      <c r="AA188" t="s">
        <v>102</v>
      </c>
      <c r="AB188">
        <v>0</v>
      </c>
      <c r="AC188" t="s">
        <v>66</v>
      </c>
      <c r="AD188">
        <v>0</v>
      </c>
      <c r="AE188" t="s">
        <v>66</v>
      </c>
      <c r="AF188" t="s">
        <v>56</v>
      </c>
      <c r="AG188" t="s">
        <v>56</v>
      </c>
      <c r="AH188" t="s">
        <v>56</v>
      </c>
      <c r="AI188" t="s">
        <v>56</v>
      </c>
      <c r="AJ188" t="s">
        <v>760</v>
      </c>
      <c r="AK188" t="s">
        <v>761</v>
      </c>
      <c r="AL188" t="s">
        <v>56</v>
      </c>
      <c r="AM188" t="s">
        <v>56</v>
      </c>
      <c r="AN188" t="s">
        <v>56</v>
      </c>
      <c r="AO188" t="s">
        <v>56</v>
      </c>
      <c r="AP188" t="s">
        <v>56</v>
      </c>
      <c r="AQ188" t="s">
        <v>71</v>
      </c>
      <c r="AR188" t="s">
        <v>56</v>
      </c>
      <c r="AS188" t="s">
        <v>56</v>
      </c>
      <c r="AT188" t="s">
        <v>56</v>
      </c>
      <c r="AU188" t="s">
        <v>56</v>
      </c>
      <c r="AV188" t="s">
        <v>56</v>
      </c>
      <c r="AW188" t="s">
        <v>56</v>
      </c>
      <c r="AX188">
        <v>4</v>
      </c>
    </row>
    <row r="189" spans="1:50" x14ac:dyDescent="0.25">
      <c r="A189" t="str">
        <f>"20200128132017082639"</f>
        <v>20200128132017082639</v>
      </c>
      <c r="B189" t="s">
        <v>151</v>
      </c>
      <c r="C189" t="s">
        <v>151</v>
      </c>
      <c r="D189" t="s">
        <v>1383</v>
      </c>
      <c r="E189" t="str">
        <f>"700010177001"</f>
        <v>700010177001</v>
      </c>
      <c r="F189" t="s">
        <v>52</v>
      </c>
      <c r="G189">
        <v>901082722</v>
      </c>
      <c r="H189">
        <v>70001</v>
      </c>
      <c r="I189" t="s">
        <v>1290</v>
      </c>
      <c r="J189" t="s">
        <v>1291</v>
      </c>
      <c r="K189" t="s">
        <v>54</v>
      </c>
      <c r="L189">
        <v>64477214</v>
      </c>
      <c r="M189" t="s">
        <v>1384</v>
      </c>
      <c r="N189" t="s">
        <v>210</v>
      </c>
      <c r="O189" t="s">
        <v>207</v>
      </c>
      <c r="P189" t="s">
        <v>1385</v>
      </c>
      <c r="Q189">
        <v>3351</v>
      </c>
      <c r="R189" t="s">
        <v>237</v>
      </c>
      <c r="S189">
        <v>1103509244</v>
      </c>
      <c r="T189" t="s">
        <v>250</v>
      </c>
      <c r="U189" t="s">
        <v>223</v>
      </c>
      <c r="V189" t="s">
        <v>146</v>
      </c>
      <c r="W189" t="s">
        <v>1386</v>
      </c>
      <c r="X189" t="s">
        <v>605</v>
      </c>
      <c r="Y189" t="s">
        <v>330</v>
      </c>
      <c r="Z189">
        <v>12</v>
      </c>
      <c r="AA189" t="s">
        <v>65</v>
      </c>
      <c r="AB189" t="s">
        <v>56</v>
      </c>
      <c r="AC189" t="s">
        <v>56</v>
      </c>
      <c r="AD189">
        <v>0</v>
      </c>
      <c r="AE189" t="s">
        <v>66</v>
      </c>
      <c r="AF189" t="s">
        <v>56</v>
      </c>
      <c r="AG189" t="s">
        <v>56</v>
      </c>
      <c r="AH189" t="s">
        <v>56</v>
      </c>
      <c r="AI189" t="s">
        <v>56</v>
      </c>
      <c r="AJ189" t="s">
        <v>1387</v>
      </c>
      <c r="AK189" t="s">
        <v>1388</v>
      </c>
      <c r="AL189" t="s">
        <v>1389</v>
      </c>
      <c r="AM189" t="s">
        <v>1390</v>
      </c>
      <c r="AN189" t="s">
        <v>56</v>
      </c>
      <c r="AO189" t="s">
        <v>56</v>
      </c>
      <c r="AP189" t="s">
        <v>56</v>
      </c>
      <c r="AQ189" t="s">
        <v>71</v>
      </c>
      <c r="AR189" t="s">
        <v>56</v>
      </c>
      <c r="AS189" t="s">
        <v>56</v>
      </c>
      <c r="AT189" t="s">
        <v>56</v>
      </c>
      <c r="AU189" t="s">
        <v>56</v>
      </c>
      <c r="AV189" t="s">
        <v>56</v>
      </c>
      <c r="AW189" t="s">
        <v>56</v>
      </c>
      <c r="AX189">
        <v>4</v>
      </c>
    </row>
    <row r="190" spans="1:50" x14ac:dyDescent="0.25">
      <c r="A190" t="str">
        <f>"20200127100017042248"</f>
        <v>20200127100017042248</v>
      </c>
      <c r="B190" t="s">
        <v>190</v>
      </c>
      <c r="C190" t="s">
        <v>190</v>
      </c>
      <c r="D190" t="s">
        <v>1391</v>
      </c>
      <c r="E190" t="str">
        <f>"130010256801"</f>
        <v>130010256801</v>
      </c>
      <c r="F190" t="s">
        <v>52</v>
      </c>
      <c r="G190">
        <v>900602320</v>
      </c>
      <c r="H190">
        <v>13001</v>
      </c>
      <c r="I190" t="s">
        <v>418</v>
      </c>
      <c r="J190">
        <v>3145960813</v>
      </c>
      <c r="K190" t="s">
        <v>54</v>
      </c>
      <c r="L190">
        <v>55228304</v>
      </c>
      <c r="M190" t="s">
        <v>1392</v>
      </c>
      <c r="N190" t="s">
        <v>519</v>
      </c>
      <c r="O190" t="s">
        <v>848</v>
      </c>
      <c r="P190" t="s">
        <v>1393</v>
      </c>
      <c r="Q190" t="s">
        <v>56</v>
      </c>
      <c r="R190" t="s">
        <v>237</v>
      </c>
      <c r="S190">
        <v>1043308743</v>
      </c>
      <c r="T190" t="s">
        <v>1394</v>
      </c>
      <c r="U190" t="s">
        <v>62</v>
      </c>
      <c r="V190" t="s">
        <v>1395</v>
      </c>
      <c r="W190" t="s">
        <v>528</v>
      </c>
      <c r="X190" t="s">
        <v>427</v>
      </c>
      <c r="Y190" t="s">
        <v>101</v>
      </c>
      <c r="Z190">
        <v>12</v>
      </c>
      <c r="AA190" t="s">
        <v>65</v>
      </c>
      <c r="AB190" t="s">
        <v>56</v>
      </c>
      <c r="AC190" t="s">
        <v>56</v>
      </c>
      <c r="AD190">
        <v>0</v>
      </c>
      <c r="AE190" t="s">
        <v>66</v>
      </c>
      <c r="AF190" t="s">
        <v>56</v>
      </c>
      <c r="AG190" t="s">
        <v>56</v>
      </c>
      <c r="AH190" t="s">
        <v>56</v>
      </c>
      <c r="AI190" t="s">
        <v>56</v>
      </c>
      <c r="AJ190" t="s">
        <v>1396</v>
      </c>
      <c r="AK190" t="s">
        <v>1397</v>
      </c>
      <c r="AL190" t="s">
        <v>56</v>
      </c>
      <c r="AM190" t="s">
        <v>56</v>
      </c>
      <c r="AN190" t="s">
        <v>56</v>
      </c>
      <c r="AO190" t="s">
        <v>56</v>
      </c>
      <c r="AP190" t="s">
        <v>56</v>
      </c>
      <c r="AQ190" t="s">
        <v>71</v>
      </c>
      <c r="AR190" t="s">
        <v>56</v>
      </c>
      <c r="AS190" t="s">
        <v>56</v>
      </c>
      <c r="AT190" t="s">
        <v>56</v>
      </c>
      <c r="AU190" t="s">
        <v>56</v>
      </c>
      <c r="AV190" t="s">
        <v>56</v>
      </c>
      <c r="AW190" t="s">
        <v>56</v>
      </c>
      <c r="AX190">
        <v>4</v>
      </c>
    </row>
    <row r="191" spans="1:50" x14ac:dyDescent="0.25">
      <c r="A191" t="str">
        <f>"20200131163017177209"</f>
        <v>20200131163017177209</v>
      </c>
      <c r="B191" t="s">
        <v>110</v>
      </c>
      <c r="C191" t="s">
        <v>110</v>
      </c>
      <c r="D191" t="s">
        <v>1398</v>
      </c>
      <c r="E191" t="str">
        <f>"087580001301"</f>
        <v>087580001301</v>
      </c>
      <c r="F191" t="s">
        <v>52</v>
      </c>
      <c r="G191">
        <v>890112801</v>
      </c>
      <c r="H191" t="s">
        <v>74</v>
      </c>
      <c r="I191" t="s">
        <v>75</v>
      </c>
      <c r="J191">
        <v>3715562</v>
      </c>
      <c r="K191" t="s">
        <v>54</v>
      </c>
      <c r="L191">
        <v>1129569732</v>
      </c>
      <c r="M191" t="s">
        <v>1399</v>
      </c>
      <c r="N191" t="s">
        <v>76</v>
      </c>
      <c r="O191" t="s">
        <v>1400</v>
      </c>
      <c r="P191" t="s">
        <v>1401</v>
      </c>
      <c r="Q191">
        <v>8371</v>
      </c>
      <c r="R191" t="s">
        <v>54</v>
      </c>
      <c r="S191">
        <v>22674021</v>
      </c>
      <c r="T191" t="s">
        <v>1213</v>
      </c>
      <c r="U191" t="s">
        <v>196</v>
      </c>
      <c r="V191" t="s">
        <v>207</v>
      </c>
      <c r="W191" t="s">
        <v>225</v>
      </c>
      <c r="X191" t="s">
        <v>443</v>
      </c>
      <c r="Y191" t="s">
        <v>121</v>
      </c>
      <c r="Z191">
        <v>11</v>
      </c>
      <c r="AA191" t="s">
        <v>87</v>
      </c>
      <c r="AB191" t="s">
        <v>56</v>
      </c>
      <c r="AC191" t="s">
        <v>56</v>
      </c>
      <c r="AD191">
        <v>0</v>
      </c>
      <c r="AE191" t="s">
        <v>66</v>
      </c>
      <c r="AF191" t="s">
        <v>56</v>
      </c>
      <c r="AG191" t="s">
        <v>56</v>
      </c>
      <c r="AH191" t="s">
        <v>56</v>
      </c>
      <c r="AI191" t="s">
        <v>56</v>
      </c>
      <c r="AJ191" t="s">
        <v>1402</v>
      </c>
      <c r="AK191" t="s">
        <v>1403</v>
      </c>
      <c r="AL191" t="s">
        <v>56</v>
      </c>
      <c r="AM191" t="s">
        <v>56</v>
      </c>
      <c r="AN191" t="s">
        <v>56</v>
      </c>
      <c r="AO191" t="s">
        <v>56</v>
      </c>
      <c r="AP191" t="s">
        <v>56</v>
      </c>
      <c r="AQ191" t="s">
        <v>71</v>
      </c>
      <c r="AR191" t="s">
        <v>56</v>
      </c>
      <c r="AS191" t="s">
        <v>56</v>
      </c>
      <c r="AT191" t="s">
        <v>56</v>
      </c>
      <c r="AU191" t="s">
        <v>56</v>
      </c>
      <c r="AV191" t="s">
        <v>56</v>
      </c>
      <c r="AW191" t="s">
        <v>56</v>
      </c>
      <c r="AX191">
        <v>4</v>
      </c>
    </row>
    <row r="192" spans="1:50" x14ac:dyDescent="0.25">
      <c r="A192" t="str">
        <f>"20200130160017147414"</f>
        <v>20200130160017147414</v>
      </c>
      <c r="B192" t="s">
        <v>124</v>
      </c>
      <c r="C192" t="s">
        <v>124</v>
      </c>
      <c r="D192" t="s">
        <v>1404</v>
      </c>
      <c r="E192" t="str">
        <f>"660010211101"</f>
        <v>660010211101</v>
      </c>
      <c r="F192" t="s">
        <v>52</v>
      </c>
      <c r="G192">
        <v>900743259</v>
      </c>
      <c r="H192">
        <v>66001</v>
      </c>
      <c r="I192" t="s">
        <v>1405</v>
      </c>
      <c r="J192" t="s">
        <v>1406</v>
      </c>
      <c r="K192" t="s">
        <v>54</v>
      </c>
      <c r="L192">
        <v>1018405939</v>
      </c>
      <c r="M192" t="s">
        <v>1407</v>
      </c>
      <c r="N192" t="s">
        <v>56</v>
      </c>
      <c r="O192" t="s">
        <v>1408</v>
      </c>
      <c r="P192" t="s">
        <v>883</v>
      </c>
      <c r="Q192">
        <v>1018405939</v>
      </c>
      <c r="R192" t="s">
        <v>54</v>
      </c>
      <c r="S192">
        <v>26262090</v>
      </c>
      <c r="T192" t="s">
        <v>1409</v>
      </c>
      <c r="U192" t="s">
        <v>62</v>
      </c>
      <c r="V192" t="s">
        <v>376</v>
      </c>
      <c r="W192" t="s">
        <v>1410</v>
      </c>
      <c r="X192" t="s">
        <v>860</v>
      </c>
      <c r="Y192" t="s">
        <v>717</v>
      </c>
      <c r="Z192">
        <v>12</v>
      </c>
      <c r="AA192" t="s">
        <v>65</v>
      </c>
      <c r="AB192" t="s">
        <v>56</v>
      </c>
      <c r="AC192" t="s">
        <v>56</v>
      </c>
      <c r="AD192">
        <v>0</v>
      </c>
      <c r="AE192" t="s">
        <v>66</v>
      </c>
      <c r="AF192" t="s">
        <v>56</v>
      </c>
      <c r="AG192" t="s">
        <v>56</v>
      </c>
      <c r="AH192" t="s">
        <v>56</v>
      </c>
      <c r="AI192" t="s">
        <v>56</v>
      </c>
      <c r="AJ192" t="s">
        <v>545</v>
      </c>
      <c r="AK192" t="s">
        <v>546</v>
      </c>
      <c r="AL192" t="s">
        <v>56</v>
      </c>
      <c r="AM192" t="s">
        <v>56</v>
      </c>
      <c r="AN192" t="s">
        <v>56</v>
      </c>
      <c r="AO192" t="s">
        <v>56</v>
      </c>
      <c r="AP192" t="s">
        <v>56</v>
      </c>
      <c r="AQ192" t="s">
        <v>71</v>
      </c>
      <c r="AR192" t="s">
        <v>56</v>
      </c>
      <c r="AS192" t="s">
        <v>56</v>
      </c>
      <c r="AT192" t="s">
        <v>56</v>
      </c>
      <c r="AU192" t="s">
        <v>56</v>
      </c>
      <c r="AV192" t="s">
        <v>56</v>
      </c>
      <c r="AW192" t="s">
        <v>56</v>
      </c>
      <c r="AX192">
        <v>4</v>
      </c>
    </row>
    <row r="193" spans="1:50" x14ac:dyDescent="0.25">
      <c r="A193" t="str">
        <f>"20200127147017061501"</f>
        <v>20200127147017061501</v>
      </c>
      <c r="B193" t="s">
        <v>190</v>
      </c>
      <c r="C193" t="s">
        <v>190</v>
      </c>
      <c r="D193" t="s">
        <v>1411</v>
      </c>
      <c r="E193" t="str">
        <f>"080010409201"</f>
        <v>080010409201</v>
      </c>
      <c r="F193" t="s">
        <v>52</v>
      </c>
      <c r="G193">
        <v>900448414</v>
      </c>
      <c r="H193" t="s">
        <v>112</v>
      </c>
      <c r="I193" t="s">
        <v>785</v>
      </c>
      <c r="J193">
        <v>3545674</v>
      </c>
      <c r="K193" t="s">
        <v>54</v>
      </c>
      <c r="L193">
        <v>8736587</v>
      </c>
      <c r="M193" t="s">
        <v>164</v>
      </c>
      <c r="N193" t="s">
        <v>281</v>
      </c>
      <c r="O193" t="s">
        <v>1101</v>
      </c>
      <c r="P193" t="s">
        <v>309</v>
      </c>
      <c r="Q193" t="s">
        <v>1412</v>
      </c>
      <c r="R193" t="s">
        <v>54</v>
      </c>
      <c r="S193">
        <v>36548150</v>
      </c>
      <c r="T193" t="s">
        <v>1138</v>
      </c>
      <c r="U193" t="s">
        <v>196</v>
      </c>
      <c r="V193" t="s">
        <v>1413</v>
      </c>
      <c r="W193" t="s">
        <v>1414</v>
      </c>
      <c r="X193" t="s">
        <v>874</v>
      </c>
      <c r="Y193" t="s">
        <v>330</v>
      </c>
      <c r="Z193">
        <v>12</v>
      </c>
      <c r="AA193" t="s">
        <v>65</v>
      </c>
      <c r="AB193" t="s">
        <v>56</v>
      </c>
      <c r="AC193" t="s">
        <v>56</v>
      </c>
      <c r="AD193">
        <v>0</v>
      </c>
      <c r="AE193" t="s">
        <v>66</v>
      </c>
      <c r="AF193" t="s">
        <v>56</v>
      </c>
      <c r="AG193" t="s">
        <v>56</v>
      </c>
      <c r="AH193" t="s">
        <v>56</v>
      </c>
      <c r="AI193" t="s">
        <v>56</v>
      </c>
      <c r="AJ193" t="s">
        <v>215</v>
      </c>
      <c r="AK193" t="s">
        <v>216</v>
      </c>
      <c r="AL193" t="s">
        <v>56</v>
      </c>
      <c r="AM193" t="s">
        <v>56</v>
      </c>
      <c r="AN193" t="s">
        <v>56</v>
      </c>
      <c r="AO193" t="s">
        <v>56</v>
      </c>
      <c r="AP193" t="s">
        <v>56</v>
      </c>
      <c r="AQ193" t="s">
        <v>71</v>
      </c>
      <c r="AR193" t="s">
        <v>56</v>
      </c>
      <c r="AS193" t="s">
        <v>56</v>
      </c>
      <c r="AT193" t="s">
        <v>56</v>
      </c>
      <c r="AU193" t="s">
        <v>56</v>
      </c>
      <c r="AV193" t="s">
        <v>56</v>
      </c>
      <c r="AW193" t="s">
        <v>56</v>
      </c>
      <c r="AX193">
        <v>4</v>
      </c>
    </row>
    <row r="194" spans="1:50" x14ac:dyDescent="0.25">
      <c r="A194" t="str">
        <f>"20200124193017005078"</f>
        <v>20200124193017005078</v>
      </c>
      <c r="B194" t="s">
        <v>201</v>
      </c>
      <c r="C194" t="s">
        <v>201</v>
      </c>
      <c r="D194" t="s">
        <v>1415</v>
      </c>
      <c r="E194" t="str">
        <f>"470580002301"</f>
        <v>470580002301</v>
      </c>
      <c r="F194" t="s">
        <v>52</v>
      </c>
      <c r="G194">
        <v>819001107</v>
      </c>
      <c r="H194">
        <v>47058</v>
      </c>
      <c r="I194" t="s">
        <v>626</v>
      </c>
      <c r="J194">
        <v>4258152</v>
      </c>
      <c r="K194" t="s">
        <v>54</v>
      </c>
      <c r="L194">
        <v>22585117</v>
      </c>
      <c r="M194" t="s">
        <v>577</v>
      </c>
      <c r="N194" t="s">
        <v>627</v>
      </c>
      <c r="O194" t="s">
        <v>194</v>
      </c>
      <c r="P194" t="s">
        <v>517</v>
      </c>
      <c r="Q194">
        <v>472587</v>
      </c>
      <c r="R194" t="s">
        <v>237</v>
      </c>
      <c r="S194">
        <v>1081002875</v>
      </c>
      <c r="T194" t="s">
        <v>1416</v>
      </c>
      <c r="U194" t="s">
        <v>62</v>
      </c>
      <c r="V194" t="s">
        <v>1417</v>
      </c>
      <c r="W194" t="s">
        <v>169</v>
      </c>
      <c r="X194" t="s">
        <v>344</v>
      </c>
      <c r="Y194" t="s">
        <v>345</v>
      </c>
      <c r="Z194">
        <v>11</v>
      </c>
      <c r="AA194" t="s">
        <v>87</v>
      </c>
      <c r="AB194" t="s">
        <v>56</v>
      </c>
      <c r="AC194" t="s">
        <v>56</v>
      </c>
      <c r="AD194">
        <v>0</v>
      </c>
      <c r="AE194" t="s">
        <v>66</v>
      </c>
      <c r="AF194" t="s">
        <v>56</v>
      </c>
      <c r="AG194" t="s">
        <v>56</v>
      </c>
      <c r="AH194" t="s">
        <v>56</v>
      </c>
      <c r="AI194" t="s">
        <v>56</v>
      </c>
      <c r="AJ194" t="s">
        <v>1418</v>
      </c>
      <c r="AK194" t="s">
        <v>1419</v>
      </c>
      <c r="AL194" t="s">
        <v>56</v>
      </c>
      <c r="AM194" t="s">
        <v>56</v>
      </c>
      <c r="AN194" t="s">
        <v>56</v>
      </c>
      <c r="AO194" t="s">
        <v>56</v>
      </c>
      <c r="AP194" t="s">
        <v>56</v>
      </c>
      <c r="AQ194" t="s">
        <v>71</v>
      </c>
      <c r="AR194" t="s">
        <v>56</v>
      </c>
      <c r="AS194" t="s">
        <v>56</v>
      </c>
      <c r="AT194" t="s">
        <v>56</v>
      </c>
      <c r="AU194" t="s">
        <v>56</v>
      </c>
      <c r="AV194" t="s">
        <v>56</v>
      </c>
      <c r="AW194" t="s">
        <v>56</v>
      </c>
      <c r="AX194">
        <v>4</v>
      </c>
    </row>
    <row r="195" spans="1:50" x14ac:dyDescent="0.25">
      <c r="A195" t="str">
        <f>"20200130135017140619"</f>
        <v>20200130135017140619</v>
      </c>
      <c r="B195" t="s">
        <v>124</v>
      </c>
      <c r="C195" t="s">
        <v>124</v>
      </c>
      <c r="D195" t="s">
        <v>1420</v>
      </c>
      <c r="E195" t="str">
        <f>"760200165701"</f>
        <v>760200165701</v>
      </c>
      <c r="F195" t="s">
        <v>52</v>
      </c>
      <c r="G195">
        <v>891900438</v>
      </c>
      <c r="H195">
        <v>76020</v>
      </c>
      <c r="I195" t="s">
        <v>447</v>
      </c>
      <c r="J195">
        <v>2004120</v>
      </c>
      <c r="K195" t="s">
        <v>54</v>
      </c>
      <c r="L195">
        <v>10123191</v>
      </c>
      <c r="M195" t="s">
        <v>291</v>
      </c>
      <c r="N195" t="s">
        <v>838</v>
      </c>
      <c r="O195" t="s">
        <v>839</v>
      </c>
      <c r="P195" t="s">
        <v>425</v>
      </c>
      <c r="Q195">
        <v>762392</v>
      </c>
      <c r="R195" t="s">
        <v>54</v>
      </c>
      <c r="S195">
        <v>24556275</v>
      </c>
      <c r="T195" t="s">
        <v>1421</v>
      </c>
      <c r="U195" t="s">
        <v>373</v>
      </c>
      <c r="V195" t="s">
        <v>1422</v>
      </c>
      <c r="W195" t="s">
        <v>1423</v>
      </c>
      <c r="X195" t="s">
        <v>453</v>
      </c>
      <c r="Y195" t="s">
        <v>64</v>
      </c>
      <c r="Z195">
        <v>11</v>
      </c>
      <c r="AA195" t="s">
        <v>87</v>
      </c>
      <c r="AB195" t="s">
        <v>56</v>
      </c>
      <c r="AC195" t="s">
        <v>56</v>
      </c>
      <c r="AD195">
        <v>0</v>
      </c>
      <c r="AE195" t="s">
        <v>66</v>
      </c>
      <c r="AF195" t="s">
        <v>56</v>
      </c>
      <c r="AG195" t="s">
        <v>56</v>
      </c>
      <c r="AH195" t="s">
        <v>56</v>
      </c>
      <c r="AI195" t="s">
        <v>56</v>
      </c>
      <c r="AJ195" t="s">
        <v>1424</v>
      </c>
      <c r="AK195" t="s">
        <v>1425</v>
      </c>
      <c r="AL195" t="s">
        <v>56</v>
      </c>
      <c r="AM195" t="s">
        <v>56</v>
      </c>
      <c r="AN195" t="s">
        <v>56</v>
      </c>
      <c r="AO195" t="s">
        <v>56</v>
      </c>
      <c r="AP195" t="s">
        <v>56</v>
      </c>
      <c r="AQ195" t="s">
        <v>71</v>
      </c>
      <c r="AR195" t="s">
        <v>56</v>
      </c>
      <c r="AS195" t="s">
        <v>56</v>
      </c>
      <c r="AT195" t="s">
        <v>56</v>
      </c>
      <c r="AU195" t="s">
        <v>56</v>
      </c>
      <c r="AV195" t="s">
        <v>56</v>
      </c>
      <c r="AW195" t="s">
        <v>56</v>
      </c>
      <c r="AX195">
        <v>4</v>
      </c>
    </row>
    <row r="196" spans="1:50" x14ac:dyDescent="0.25">
      <c r="A196" t="str">
        <f>"20200128136017092312"</f>
        <v>20200128136017092312</v>
      </c>
      <c r="B196" t="s">
        <v>151</v>
      </c>
      <c r="C196" t="s">
        <v>151</v>
      </c>
      <c r="D196" t="s">
        <v>1426</v>
      </c>
      <c r="E196" t="str">
        <f>"200010038901"</f>
        <v>200010038901</v>
      </c>
      <c r="F196" t="s">
        <v>52</v>
      </c>
      <c r="G196">
        <v>824004867</v>
      </c>
      <c r="H196">
        <v>20001</v>
      </c>
      <c r="I196" t="s">
        <v>1232</v>
      </c>
      <c r="J196" t="s">
        <v>1233</v>
      </c>
      <c r="K196" t="s">
        <v>54</v>
      </c>
      <c r="L196">
        <v>73009095</v>
      </c>
      <c r="M196" t="s">
        <v>127</v>
      </c>
      <c r="N196" t="s">
        <v>1012</v>
      </c>
      <c r="O196" t="s">
        <v>364</v>
      </c>
      <c r="P196" t="s">
        <v>1234</v>
      </c>
      <c r="Q196">
        <v>73009095</v>
      </c>
      <c r="R196" t="s">
        <v>54</v>
      </c>
      <c r="S196">
        <v>1749312</v>
      </c>
      <c r="T196" t="s">
        <v>86</v>
      </c>
      <c r="U196" t="s">
        <v>604</v>
      </c>
      <c r="V196" t="s">
        <v>560</v>
      </c>
      <c r="W196" t="s">
        <v>262</v>
      </c>
      <c r="X196" t="s">
        <v>462</v>
      </c>
      <c r="Y196" t="s">
        <v>86</v>
      </c>
      <c r="Z196">
        <v>12</v>
      </c>
      <c r="AA196" t="s">
        <v>65</v>
      </c>
      <c r="AB196" t="s">
        <v>56</v>
      </c>
      <c r="AC196" t="s">
        <v>56</v>
      </c>
      <c r="AD196">
        <v>0</v>
      </c>
      <c r="AE196" t="s">
        <v>66</v>
      </c>
      <c r="AF196" t="s">
        <v>56</v>
      </c>
      <c r="AG196" t="s">
        <v>56</v>
      </c>
      <c r="AH196" t="s">
        <v>56</v>
      </c>
      <c r="AI196" t="s">
        <v>56</v>
      </c>
      <c r="AJ196" t="s">
        <v>536</v>
      </c>
      <c r="AK196" t="s">
        <v>537</v>
      </c>
      <c r="AL196" t="s">
        <v>56</v>
      </c>
      <c r="AM196" t="s">
        <v>56</v>
      </c>
      <c r="AN196" t="s">
        <v>56</v>
      </c>
      <c r="AO196" t="s">
        <v>56</v>
      </c>
      <c r="AP196" t="s">
        <v>56</v>
      </c>
      <c r="AQ196" t="s">
        <v>71</v>
      </c>
      <c r="AR196" t="s">
        <v>56</v>
      </c>
      <c r="AS196" t="s">
        <v>56</v>
      </c>
      <c r="AT196" t="s">
        <v>56</v>
      </c>
      <c r="AU196" t="s">
        <v>56</v>
      </c>
      <c r="AV196" t="s">
        <v>56</v>
      </c>
      <c r="AW196" t="s">
        <v>56</v>
      </c>
      <c r="AX196">
        <v>4</v>
      </c>
    </row>
    <row r="197" spans="1:50" x14ac:dyDescent="0.25">
      <c r="A197" t="str">
        <f>"20200124180017001284"</f>
        <v>20200124180017001284</v>
      </c>
      <c r="B197" t="s">
        <v>201</v>
      </c>
      <c r="C197" t="s">
        <v>201</v>
      </c>
      <c r="D197" t="s">
        <v>1427</v>
      </c>
      <c r="E197" t="str">
        <f>"087580001301"</f>
        <v>087580001301</v>
      </c>
      <c r="F197" t="s">
        <v>52</v>
      </c>
      <c r="G197">
        <v>890112801</v>
      </c>
      <c r="H197" t="s">
        <v>74</v>
      </c>
      <c r="I197" t="s">
        <v>75</v>
      </c>
      <c r="J197">
        <v>3715562</v>
      </c>
      <c r="K197" t="s">
        <v>54</v>
      </c>
      <c r="L197">
        <v>72310350</v>
      </c>
      <c r="M197" t="s">
        <v>81</v>
      </c>
      <c r="N197" t="s">
        <v>164</v>
      </c>
      <c r="O197" t="s">
        <v>1428</v>
      </c>
      <c r="P197" t="s">
        <v>194</v>
      </c>
      <c r="Q197" t="s">
        <v>1429</v>
      </c>
      <c r="R197" t="s">
        <v>54</v>
      </c>
      <c r="S197">
        <v>7462518</v>
      </c>
      <c r="T197" t="s">
        <v>132</v>
      </c>
      <c r="U197" t="s">
        <v>94</v>
      </c>
      <c r="V197" t="s">
        <v>364</v>
      </c>
      <c r="W197" t="s">
        <v>324</v>
      </c>
      <c r="X197" t="s">
        <v>1430</v>
      </c>
      <c r="Y197" t="s">
        <v>121</v>
      </c>
      <c r="Z197">
        <v>12</v>
      </c>
      <c r="AA197" t="s">
        <v>65</v>
      </c>
      <c r="AB197" t="s">
        <v>56</v>
      </c>
      <c r="AC197" t="s">
        <v>56</v>
      </c>
      <c r="AD197">
        <v>0</v>
      </c>
      <c r="AE197" t="s">
        <v>66</v>
      </c>
      <c r="AF197" t="s">
        <v>56</v>
      </c>
      <c r="AG197" t="s">
        <v>56</v>
      </c>
      <c r="AH197" t="s">
        <v>56</v>
      </c>
      <c r="AI197" t="s">
        <v>56</v>
      </c>
      <c r="AJ197" t="s">
        <v>669</v>
      </c>
      <c r="AK197" t="s">
        <v>670</v>
      </c>
      <c r="AL197" t="s">
        <v>56</v>
      </c>
      <c r="AM197" t="s">
        <v>56</v>
      </c>
      <c r="AN197" t="s">
        <v>56</v>
      </c>
      <c r="AO197" t="s">
        <v>56</v>
      </c>
      <c r="AP197" t="s">
        <v>56</v>
      </c>
      <c r="AQ197" t="s">
        <v>71</v>
      </c>
      <c r="AR197" t="s">
        <v>56</v>
      </c>
      <c r="AS197" t="s">
        <v>56</v>
      </c>
      <c r="AT197" t="s">
        <v>56</v>
      </c>
      <c r="AU197" t="s">
        <v>56</v>
      </c>
      <c r="AV197" t="s">
        <v>56</v>
      </c>
      <c r="AW197" t="s">
        <v>56</v>
      </c>
      <c r="AX197">
        <v>4</v>
      </c>
    </row>
    <row r="198" spans="1:50" x14ac:dyDescent="0.25">
      <c r="A198" t="str">
        <f>"20200129139017120489"</f>
        <v>20200129139017120489</v>
      </c>
      <c r="B198" t="s">
        <v>72</v>
      </c>
      <c r="C198" t="s">
        <v>72</v>
      </c>
      <c r="D198" t="s">
        <v>1431</v>
      </c>
      <c r="E198" t="str">
        <f>"134300074601"</f>
        <v>134300074601</v>
      </c>
      <c r="F198" t="s">
        <v>52</v>
      </c>
      <c r="G198">
        <v>900709216</v>
      </c>
      <c r="H198">
        <v>13430</v>
      </c>
      <c r="I198" t="s">
        <v>466</v>
      </c>
      <c r="J198" t="s">
        <v>467</v>
      </c>
      <c r="K198" t="s">
        <v>54</v>
      </c>
      <c r="L198">
        <v>1052982684</v>
      </c>
      <c r="M198" t="s">
        <v>1432</v>
      </c>
      <c r="N198" t="s">
        <v>59</v>
      </c>
      <c r="O198" t="s">
        <v>355</v>
      </c>
      <c r="P198" t="s">
        <v>918</v>
      </c>
      <c r="Q198">
        <v>1052982684</v>
      </c>
      <c r="R198" t="s">
        <v>54</v>
      </c>
      <c r="S198">
        <v>9128785</v>
      </c>
      <c r="T198" t="s">
        <v>132</v>
      </c>
      <c r="U198" t="s">
        <v>424</v>
      </c>
      <c r="V198" t="s">
        <v>166</v>
      </c>
      <c r="W198" t="s">
        <v>240</v>
      </c>
      <c r="X198" t="s">
        <v>183</v>
      </c>
      <c r="Y198" t="s">
        <v>101</v>
      </c>
      <c r="Z198">
        <v>11</v>
      </c>
      <c r="AA198" t="s">
        <v>87</v>
      </c>
      <c r="AB198" t="s">
        <v>56</v>
      </c>
      <c r="AC198" t="s">
        <v>56</v>
      </c>
      <c r="AD198">
        <v>0</v>
      </c>
      <c r="AE198" t="s">
        <v>66</v>
      </c>
      <c r="AF198" t="s">
        <v>56</v>
      </c>
      <c r="AG198" t="s">
        <v>56</v>
      </c>
      <c r="AH198" t="s">
        <v>56</v>
      </c>
      <c r="AI198" t="s">
        <v>56</v>
      </c>
      <c r="AJ198" t="s">
        <v>1061</v>
      </c>
      <c r="AK198" t="s">
        <v>1062</v>
      </c>
      <c r="AL198" t="s">
        <v>56</v>
      </c>
      <c r="AM198" t="s">
        <v>56</v>
      </c>
      <c r="AN198" t="s">
        <v>56</v>
      </c>
      <c r="AO198" t="s">
        <v>56</v>
      </c>
      <c r="AP198" t="s">
        <v>56</v>
      </c>
      <c r="AQ198" t="s">
        <v>71</v>
      </c>
      <c r="AR198" t="s">
        <v>56</v>
      </c>
      <c r="AS198" t="s">
        <v>56</v>
      </c>
      <c r="AT198" t="s">
        <v>56</v>
      </c>
      <c r="AU198" t="s">
        <v>56</v>
      </c>
      <c r="AV198" t="s">
        <v>56</v>
      </c>
      <c r="AW198" t="s">
        <v>56</v>
      </c>
      <c r="AX198">
        <v>4</v>
      </c>
    </row>
    <row r="199" spans="1:50" x14ac:dyDescent="0.25">
      <c r="A199" t="str">
        <f>"20200127172017061232"</f>
        <v>20200127172017061232</v>
      </c>
      <c r="B199" t="s">
        <v>190</v>
      </c>
      <c r="C199" t="s">
        <v>190</v>
      </c>
      <c r="D199" t="s">
        <v>1433</v>
      </c>
      <c r="E199" t="str">
        <f>"270010103801"</f>
        <v>270010103801</v>
      </c>
      <c r="F199" t="s">
        <v>52</v>
      </c>
      <c r="G199">
        <v>900771065</v>
      </c>
      <c r="H199">
        <v>27001</v>
      </c>
      <c r="I199" t="s">
        <v>1122</v>
      </c>
      <c r="J199">
        <v>3122303518</v>
      </c>
      <c r="K199" t="s">
        <v>54</v>
      </c>
      <c r="L199">
        <v>11814040</v>
      </c>
      <c r="M199" t="s">
        <v>1123</v>
      </c>
      <c r="N199" t="s">
        <v>86</v>
      </c>
      <c r="O199" t="s">
        <v>1124</v>
      </c>
      <c r="P199" t="s">
        <v>108</v>
      </c>
      <c r="Q199">
        <v>271126</v>
      </c>
      <c r="R199" t="s">
        <v>54</v>
      </c>
      <c r="S199">
        <v>31971623</v>
      </c>
      <c r="T199" t="s">
        <v>1434</v>
      </c>
      <c r="U199" t="s">
        <v>62</v>
      </c>
      <c r="V199" t="s">
        <v>1092</v>
      </c>
      <c r="W199" t="s">
        <v>1435</v>
      </c>
      <c r="X199" t="s">
        <v>860</v>
      </c>
      <c r="Y199" t="s">
        <v>717</v>
      </c>
      <c r="Z199">
        <v>11</v>
      </c>
      <c r="AA199" t="s">
        <v>87</v>
      </c>
      <c r="AB199" t="s">
        <v>56</v>
      </c>
      <c r="AC199" t="s">
        <v>56</v>
      </c>
      <c r="AD199">
        <v>0</v>
      </c>
      <c r="AE199" t="s">
        <v>66</v>
      </c>
      <c r="AF199" t="s">
        <v>56</v>
      </c>
      <c r="AG199" t="s">
        <v>56</v>
      </c>
      <c r="AH199" t="s">
        <v>56</v>
      </c>
      <c r="AI199" t="s">
        <v>56</v>
      </c>
      <c r="AJ199" t="s">
        <v>1436</v>
      </c>
      <c r="AK199" t="s">
        <v>1437</v>
      </c>
      <c r="AL199" t="s">
        <v>591</v>
      </c>
      <c r="AM199" t="s">
        <v>592</v>
      </c>
      <c r="AN199" t="s">
        <v>56</v>
      </c>
      <c r="AO199" t="s">
        <v>56</v>
      </c>
      <c r="AP199" t="s">
        <v>56</v>
      </c>
      <c r="AQ199" t="s">
        <v>71</v>
      </c>
      <c r="AR199" t="s">
        <v>56</v>
      </c>
      <c r="AS199" t="s">
        <v>56</v>
      </c>
      <c r="AT199" t="s">
        <v>56</v>
      </c>
      <c r="AU199" t="s">
        <v>56</v>
      </c>
      <c r="AV199" t="s">
        <v>56</v>
      </c>
      <c r="AW199" t="s">
        <v>56</v>
      </c>
      <c r="AX199">
        <v>4</v>
      </c>
    </row>
    <row r="200" spans="1:50" x14ac:dyDescent="0.25">
      <c r="A200" t="str">
        <f>"20200130174017138790"</f>
        <v>20200130174017138790</v>
      </c>
      <c r="B200" t="s">
        <v>124</v>
      </c>
      <c r="C200" t="s">
        <v>124</v>
      </c>
      <c r="D200" t="s">
        <v>1438</v>
      </c>
      <c r="E200" t="str">
        <f>"080010409201"</f>
        <v>080010409201</v>
      </c>
      <c r="F200" t="s">
        <v>52</v>
      </c>
      <c r="G200">
        <v>900448414</v>
      </c>
      <c r="H200" t="s">
        <v>112</v>
      </c>
      <c r="I200" t="s">
        <v>785</v>
      </c>
      <c r="J200">
        <v>3545674</v>
      </c>
      <c r="K200" t="s">
        <v>54</v>
      </c>
      <c r="L200">
        <v>72248346</v>
      </c>
      <c r="M200" t="s">
        <v>1189</v>
      </c>
      <c r="N200" t="s">
        <v>1190</v>
      </c>
      <c r="O200" t="s">
        <v>1191</v>
      </c>
      <c r="P200" t="s">
        <v>1192</v>
      </c>
      <c r="Q200">
        <v>23796</v>
      </c>
      <c r="R200" t="s">
        <v>54</v>
      </c>
      <c r="S200">
        <v>22671695</v>
      </c>
      <c r="T200" t="s">
        <v>1327</v>
      </c>
      <c r="U200" t="s">
        <v>1439</v>
      </c>
      <c r="V200" t="s">
        <v>1139</v>
      </c>
      <c r="W200" t="s">
        <v>1266</v>
      </c>
      <c r="X200" t="s">
        <v>443</v>
      </c>
      <c r="Y200" t="s">
        <v>121</v>
      </c>
      <c r="Z200">
        <v>12</v>
      </c>
      <c r="AA200" t="s">
        <v>65</v>
      </c>
      <c r="AB200" t="s">
        <v>56</v>
      </c>
      <c r="AC200" t="s">
        <v>56</v>
      </c>
      <c r="AD200">
        <v>0</v>
      </c>
      <c r="AE200" t="s">
        <v>66</v>
      </c>
      <c r="AF200" t="s">
        <v>56</v>
      </c>
      <c r="AG200" t="s">
        <v>56</v>
      </c>
      <c r="AH200" t="s">
        <v>56</v>
      </c>
      <c r="AI200" t="s">
        <v>56</v>
      </c>
      <c r="AJ200" t="s">
        <v>822</v>
      </c>
      <c r="AK200" t="s">
        <v>823</v>
      </c>
      <c r="AL200" t="s">
        <v>56</v>
      </c>
      <c r="AM200" t="s">
        <v>56</v>
      </c>
      <c r="AN200" t="s">
        <v>56</v>
      </c>
      <c r="AO200" t="s">
        <v>56</v>
      </c>
      <c r="AP200" t="s">
        <v>56</v>
      </c>
      <c r="AQ200" t="s">
        <v>71</v>
      </c>
      <c r="AR200" t="s">
        <v>56</v>
      </c>
      <c r="AS200" t="s">
        <v>56</v>
      </c>
      <c r="AT200" t="s">
        <v>56</v>
      </c>
      <c r="AU200" t="s">
        <v>56</v>
      </c>
      <c r="AV200" t="s">
        <v>56</v>
      </c>
      <c r="AW200" t="s">
        <v>56</v>
      </c>
      <c r="AX200">
        <v>4</v>
      </c>
    </row>
    <row r="201" spans="1:50" x14ac:dyDescent="0.25">
      <c r="A201" t="str">
        <f>"20200130150017133989"</f>
        <v>20200130150017133989</v>
      </c>
      <c r="B201" t="s">
        <v>124</v>
      </c>
      <c r="C201" t="s">
        <v>124</v>
      </c>
      <c r="D201" t="s">
        <v>1440</v>
      </c>
      <c r="E201" t="str">
        <f>"080010022301"</f>
        <v>080010022301</v>
      </c>
      <c r="F201" t="s">
        <v>52</v>
      </c>
      <c r="G201">
        <v>72125229</v>
      </c>
      <c r="H201" t="s">
        <v>112</v>
      </c>
      <c r="I201" t="s">
        <v>303</v>
      </c>
      <c r="J201">
        <v>3781924</v>
      </c>
      <c r="K201" t="s">
        <v>54</v>
      </c>
      <c r="L201">
        <v>72125229</v>
      </c>
      <c r="M201" t="s">
        <v>304</v>
      </c>
      <c r="N201" t="s">
        <v>56</v>
      </c>
      <c r="O201" t="s">
        <v>305</v>
      </c>
      <c r="P201" t="s">
        <v>306</v>
      </c>
      <c r="Q201" t="s">
        <v>56</v>
      </c>
      <c r="R201" t="s">
        <v>440</v>
      </c>
      <c r="S201">
        <v>1143150733</v>
      </c>
      <c r="T201" t="s">
        <v>250</v>
      </c>
      <c r="U201" t="s">
        <v>107</v>
      </c>
      <c r="V201" t="s">
        <v>1266</v>
      </c>
      <c r="W201" t="s">
        <v>636</v>
      </c>
      <c r="X201" t="s">
        <v>120</v>
      </c>
      <c r="Y201" t="s">
        <v>121</v>
      </c>
      <c r="Z201">
        <v>12</v>
      </c>
      <c r="AA201" t="s">
        <v>65</v>
      </c>
      <c r="AB201" t="s">
        <v>56</v>
      </c>
      <c r="AC201" t="s">
        <v>56</v>
      </c>
      <c r="AD201">
        <v>0</v>
      </c>
      <c r="AE201" t="s">
        <v>66</v>
      </c>
      <c r="AF201" t="s">
        <v>56</v>
      </c>
      <c r="AG201" t="s">
        <v>56</v>
      </c>
      <c r="AH201" t="s">
        <v>56</v>
      </c>
      <c r="AI201" t="s">
        <v>56</v>
      </c>
      <c r="AJ201" t="s">
        <v>310</v>
      </c>
      <c r="AK201" t="s">
        <v>311</v>
      </c>
      <c r="AL201" t="s">
        <v>56</v>
      </c>
      <c r="AM201" t="s">
        <v>56</v>
      </c>
      <c r="AN201" t="s">
        <v>56</v>
      </c>
      <c r="AO201" t="s">
        <v>56</v>
      </c>
      <c r="AP201" t="s">
        <v>56</v>
      </c>
      <c r="AQ201" t="s">
        <v>71</v>
      </c>
      <c r="AR201" t="s">
        <v>56</v>
      </c>
      <c r="AS201" t="s">
        <v>56</v>
      </c>
      <c r="AT201" t="s">
        <v>56</v>
      </c>
      <c r="AU201" t="s">
        <v>56</v>
      </c>
      <c r="AV201" t="s">
        <v>56</v>
      </c>
      <c r="AW201" t="s">
        <v>56</v>
      </c>
      <c r="AX201">
        <v>4</v>
      </c>
    </row>
    <row r="202" spans="1:50" x14ac:dyDescent="0.25">
      <c r="A202" t="str">
        <f>"20200129113017120800"</f>
        <v>20200129113017120800</v>
      </c>
      <c r="B202" t="s">
        <v>72</v>
      </c>
      <c r="C202" t="s">
        <v>72</v>
      </c>
      <c r="D202" t="s">
        <v>1441</v>
      </c>
      <c r="E202" t="str">
        <f>"130010118701"</f>
        <v>130010118701</v>
      </c>
      <c r="F202" t="s">
        <v>52</v>
      </c>
      <c r="G202">
        <v>890480135</v>
      </c>
      <c r="H202">
        <v>13001</v>
      </c>
      <c r="I202" t="s">
        <v>1442</v>
      </c>
      <c r="J202" t="s">
        <v>1443</v>
      </c>
      <c r="K202" t="s">
        <v>54</v>
      </c>
      <c r="L202">
        <v>1098676928</v>
      </c>
      <c r="M202" t="s">
        <v>117</v>
      </c>
      <c r="N202" t="s">
        <v>1444</v>
      </c>
      <c r="O202" t="s">
        <v>1445</v>
      </c>
      <c r="P202" t="s">
        <v>1446</v>
      </c>
      <c r="Q202" t="s">
        <v>1447</v>
      </c>
      <c r="R202" t="s">
        <v>440</v>
      </c>
      <c r="S202">
        <v>1043334290</v>
      </c>
      <c r="T202" t="s">
        <v>897</v>
      </c>
      <c r="U202" t="s">
        <v>76</v>
      </c>
      <c r="V202" t="s">
        <v>364</v>
      </c>
      <c r="W202" t="s">
        <v>403</v>
      </c>
      <c r="X202" t="s">
        <v>1448</v>
      </c>
      <c r="Y202" t="s">
        <v>101</v>
      </c>
      <c r="Z202">
        <v>12</v>
      </c>
      <c r="AA202" t="s">
        <v>65</v>
      </c>
      <c r="AB202" t="s">
        <v>56</v>
      </c>
      <c r="AC202" t="s">
        <v>56</v>
      </c>
      <c r="AD202">
        <v>0</v>
      </c>
      <c r="AE202" t="s">
        <v>66</v>
      </c>
      <c r="AF202" t="s">
        <v>56</v>
      </c>
      <c r="AG202" t="s">
        <v>56</v>
      </c>
      <c r="AH202" t="s">
        <v>56</v>
      </c>
      <c r="AI202" t="s">
        <v>56</v>
      </c>
      <c r="AJ202" t="s">
        <v>122</v>
      </c>
      <c r="AK202" t="s">
        <v>123</v>
      </c>
      <c r="AL202" t="s">
        <v>56</v>
      </c>
      <c r="AM202" t="s">
        <v>56</v>
      </c>
      <c r="AN202" t="s">
        <v>56</v>
      </c>
      <c r="AO202" t="s">
        <v>56</v>
      </c>
      <c r="AP202" t="s">
        <v>56</v>
      </c>
      <c r="AQ202" t="s">
        <v>71</v>
      </c>
      <c r="AR202" t="s">
        <v>56</v>
      </c>
      <c r="AS202" t="s">
        <v>56</v>
      </c>
      <c r="AT202" t="s">
        <v>56</v>
      </c>
      <c r="AU202" t="s">
        <v>56</v>
      </c>
      <c r="AV202" t="s">
        <v>56</v>
      </c>
      <c r="AW202" t="s">
        <v>56</v>
      </c>
      <c r="AX202">
        <v>4</v>
      </c>
    </row>
    <row r="203" spans="1:50" x14ac:dyDescent="0.25">
      <c r="A203" t="str">
        <f>"20200124157017023008"</f>
        <v>20200124157017023008</v>
      </c>
      <c r="B203" t="s">
        <v>201</v>
      </c>
      <c r="C203" t="s">
        <v>201</v>
      </c>
      <c r="D203" t="s">
        <v>1449</v>
      </c>
      <c r="E203" t="str">
        <f>"700010151301"</f>
        <v>700010151301</v>
      </c>
      <c r="F203" t="s">
        <v>52</v>
      </c>
      <c r="G203">
        <v>830510991</v>
      </c>
      <c r="H203">
        <v>70001</v>
      </c>
      <c r="I203" t="s">
        <v>945</v>
      </c>
      <c r="J203">
        <v>2806901</v>
      </c>
      <c r="K203" t="s">
        <v>54</v>
      </c>
      <c r="L203">
        <v>50913311</v>
      </c>
      <c r="M203" t="s">
        <v>1450</v>
      </c>
      <c r="N203" t="s">
        <v>205</v>
      </c>
      <c r="O203" t="s">
        <v>1451</v>
      </c>
      <c r="P203" t="s">
        <v>1452</v>
      </c>
      <c r="Q203">
        <v>23701</v>
      </c>
      <c r="R203" t="s">
        <v>54</v>
      </c>
      <c r="S203">
        <v>64869396</v>
      </c>
      <c r="T203" t="s">
        <v>1453</v>
      </c>
      <c r="U203" t="s">
        <v>420</v>
      </c>
      <c r="V203" t="s">
        <v>263</v>
      </c>
      <c r="W203" t="s">
        <v>193</v>
      </c>
      <c r="X203" t="s">
        <v>1454</v>
      </c>
      <c r="Y203" t="s">
        <v>330</v>
      </c>
      <c r="Z203">
        <v>22</v>
      </c>
      <c r="AA203" t="s">
        <v>102</v>
      </c>
      <c r="AB203">
        <v>0</v>
      </c>
      <c r="AC203" t="s">
        <v>66</v>
      </c>
      <c r="AD203">
        <v>0</v>
      </c>
      <c r="AE203" t="s">
        <v>66</v>
      </c>
      <c r="AF203" t="s">
        <v>56</v>
      </c>
      <c r="AG203" t="s">
        <v>56</v>
      </c>
      <c r="AH203" t="s">
        <v>56</v>
      </c>
      <c r="AI203" t="s">
        <v>56</v>
      </c>
      <c r="AJ203" t="s">
        <v>1455</v>
      </c>
      <c r="AK203" t="s">
        <v>1456</v>
      </c>
      <c r="AL203" t="s">
        <v>1457</v>
      </c>
      <c r="AM203" t="s">
        <v>1458</v>
      </c>
      <c r="AN203" t="s">
        <v>56</v>
      </c>
      <c r="AO203" t="s">
        <v>56</v>
      </c>
      <c r="AP203" t="s">
        <v>56</v>
      </c>
      <c r="AQ203" t="s">
        <v>71</v>
      </c>
      <c r="AR203" t="s">
        <v>56</v>
      </c>
      <c r="AS203" t="s">
        <v>56</v>
      </c>
      <c r="AT203" t="s">
        <v>56</v>
      </c>
      <c r="AU203" t="s">
        <v>56</v>
      </c>
      <c r="AV203" t="s">
        <v>56</v>
      </c>
      <c r="AW203" t="s">
        <v>56</v>
      </c>
      <c r="AX203">
        <v>4</v>
      </c>
    </row>
    <row r="204" spans="1:50" x14ac:dyDescent="0.25">
      <c r="A204" t="str">
        <f>"20200124129017011701"</f>
        <v>20200124129017011701</v>
      </c>
      <c r="B204" t="s">
        <v>201</v>
      </c>
      <c r="C204" t="s">
        <v>201</v>
      </c>
      <c r="D204" t="s">
        <v>1459</v>
      </c>
      <c r="E204" t="str">
        <f>"761470728201"</f>
        <v>761470728201</v>
      </c>
      <c r="F204" t="s">
        <v>52</v>
      </c>
      <c r="G204">
        <v>900247710</v>
      </c>
      <c r="H204">
        <v>76147</v>
      </c>
      <c r="I204" t="s">
        <v>526</v>
      </c>
      <c r="J204">
        <v>2108988</v>
      </c>
      <c r="K204" t="s">
        <v>54</v>
      </c>
      <c r="L204">
        <v>18615571</v>
      </c>
      <c r="M204" t="s">
        <v>164</v>
      </c>
      <c r="N204" t="s">
        <v>527</v>
      </c>
      <c r="O204" t="s">
        <v>528</v>
      </c>
      <c r="P204" t="s">
        <v>249</v>
      </c>
      <c r="Q204" t="s">
        <v>529</v>
      </c>
      <c r="R204" t="s">
        <v>54</v>
      </c>
      <c r="S204">
        <v>29603609</v>
      </c>
      <c r="T204" t="s">
        <v>117</v>
      </c>
      <c r="U204" t="s">
        <v>1460</v>
      </c>
      <c r="V204" t="s">
        <v>1461</v>
      </c>
      <c r="W204" t="s">
        <v>573</v>
      </c>
      <c r="X204" t="s">
        <v>1337</v>
      </c>
      <c r="Y204" t="s">
        <v>64</v>
      </c>
      <c r="Z204">
        <v>12</v>
      </c>
      <c r="AA204" t="s">
        <v>65</v>
      </c>
      <c r="AB204" t="s">
        <v>56</v>
      </c>
      <c r="AC204" t="s">
        <v>56</v>
      </c>
      <c r="AD204">
        <v>0</v>
      </c>
      <c r="AE204" t="s">
        <v>66</v>
      </c>
      <c r="AF204" t="s">
        <v>56</v>
      </c>
      <c r="AG204" t="s">
        <v>56</v>
      </c>
      <c r="AH204" t="s">
        <v>56</v>
      </c>
      <c r="AI204" t="s">
        <v>56</v>
      </c>
      <c r="AJ204" t="s">
        <v>574</v>
      </c>
      <c r="AK204" t="s">
        <v>575</v>
      </c>
      <c r="AL204" t="s">
        <v>56</v>
      </c>
      <c r="AM204" t="s">
        <v>56</v>
      </c>
      <c r="AN204" t="s">
        <v>56</v>
      </c>
      <c r="AO204" t="s">
        <v>56</v>
      </c>
      <c r="AP204" t="s">
        <v>56</v>
      </c>
      <c r="AQ204" t="s">
        <v>71</v>
      </c>
      <c r="AR204" t="s">
        <v>56</v>
      </c>
      <c r="AS204" t="s">
        <v>56</v>
      </c>
      <c r="AT204" t="s">
        <v>56</v>
      </c>
      <c r="AU204" t="s">
        <v>56</v>
      </c>
      <c r="AV204" t="s">
        <v>56</v>
      </c>
      <c r="AW204" t="s">
        <v>56</v>
      </c>
      <c r="AX204">
        <v>4</v>
      </c>
    </row>
    <row r="205" spans="1:50" x14ac:dyDescent="0.25">
      <c r="A205" t="str">
        <f>"20200131183017161557"</f>
        <v>20200131183017161557</v>
      </c>
      <c r="B205" t="s">
        <v>110</v>
      </c>
      <c r="C205" t="s">
        <v>110</v>
      </c>
      <c r="D205" t="s">
        <v>1462</v>
      </c>
      <c r="E205" t="str">
        <f>"700010096901"</f>
        <v>700010096901</v>
      </c>
      <c r="F205" t="s">
        <v>52</v>
      </c>
      <c r="G205">
        <v>900118990</v>
      </c>
      <c r="H205">
        <v>70001</v>
      </c>
      <c r="I205" t="s">
        <v>869</v>
      </c>
      <c r="J205">
        <v>2761605</v>
      </c>
      <c r="K205" t="s">
        <v>54</v>
      </c>
      <c r="L205">
        <v>1104864752</v>
      </c>
      <c r="M205" t="s">
        <v>897</v>
      </c>
      <c r="N205" t="s">
        <v>1463</v>
      </c>
      <c r="O205" t="s">
        <v>1464</v>
      </c>
      <c r="P205" t="s">
        <v>1465</v>
      </c>
      <c r="Q205" t="s">
        <v>56</v>
      </c>
      <c r="R205" t="s">
        <v>54</v>
      </c>
      <c r="S205">
        <v>23117495</v>
      </c>
      <c r="T205" t="s">
        <v>1327</v>
      </c>
      <c r="U205" t="s">
        <v>62</v>
      </c>
      <c r="V205" t="s">
        <v>770</v>
      </c>
      <c r="W205" t="s">
        <v>1466</v>
      </c>
      <c r="X205" t="s">
        <v>1295</v>
      </c>
      <c r="Y205" t="s">
        <v>330</v>
      </c>
      <c r="Z205">
        <v>12</v>
      </c>
      <c r="AA205" t="s">
        <v>65</v>
      </c>
      <c r="AB205" t="s">
        <v>56</v>
      </c>
      <c r="AC205" t="s">
        <v>56</v>
      </c>
      <c r="AD205">
        <v>0</v>
      </c>
      <c r="AE205" t="s">
        <v>66</v>
      </c>
      <c r="AF205" t="s">
        <v>56</v>
      </c>
      <c r="AG205" t="s">
        <v>56</v>
      </c>
      <c r="AH205" t="s">
        <v>56</v>
      </c>
      <c r="AI205" t="s">
        <v>56</v>
      </c>
      <c r="AJ205" t="s">
        <v>1467</v>
      </c>
      <c r="AK205" t="s">
        <v>1468</v>
      </c>
      <c r="AL205" t="s">
        <v>56</v>
      </c>
      <c r="AM205" t="s">
        <v>56</v>
      </c>
      <c r="AN205" t="s">
        <v>56</v>
      </c>
      <c r="AO205" t="s">
        <v>56</v>
      </c>
      <c r="AP205" t="s">
        <v>56</v>
      </c>
      <c r="AQ205" t="s">
        <v>71</v>
      </c>
      <c r="AR205" t="s">
        <v>56</v>
      </c>
      <c r="AS205" t="s">
        <v>56</v>
      </c>
      <c r="AT205" t="s">
        <v>56</v>
      </c>
      <c r="AU205" t="s">
        <v>56</v>
      </c>
      <c r="AV205" t="s">
        <v>56</v>
      </c>
      <c r="AW205" t="s">
        <v>56</v>
      </c>
      <c r="AX205">
        <v>4</v>
      </c>
    </row>
    <row r="206" spans="1:50" x14ac:dyDescent="0.25">
      <c r="A206" t="str">
        <f>"20200129181017102153"</f>
        <v>20200129181017102153</v>
      </c>
      <c r="B206" t="s">
        <v>72</v>
      </c>
      <c r="C206" t="s">
        <v>72</v>
      </c>
      <c r="D206" t="s">
        <v>807</v>
      </c>
      <c r="E206" t="str">
        <f>"086380050301"</f>
        <v>086380050301</v>
      </c>
      <c r="F206" t="s">
        <v>52</v>
      </c>
      <c r="G206">
        <v>900008600</v>
      </c>
      <c r="H206" t="s">
        <v>246</v>
      </c>
      <c r="I206" t="s">
        <v>732</v>
      </c>
      <c r="J206" t="s">
        <v>733</v>
      </c>
      <c r="K206" t="s">
        <v>54</v>
      </c>
      <c r="L206">
        <v>1045754222</v>
      </c>
      <c r="M206" t="s">
        <v>607</v>
      </c>
      <c r="N206" t="s">
        <v>117</v>
      </c>
      <c r="O206" t="s">
        <v>608</v>
      </c>
      <c r="P206" t="s">
        <v>528</v>
      </c>
      <c r="Q206">
        <v>1045754222</v>
      </c>
      <c r="R206" t="s">
        <v>54</v>
      </c>
      <c r="S206">
        <v>1002070591</v>
      </c>
      <c r="T206" t="s">
        <v>1469</v>
      </c>
      <c r="U206" t="s">
        <v>205</v>
      </c>
      <c r="V206" t="s">
        <v>811</v>
      </c>
      <c r="W206" t="s">
        <v>691</v>
      </c>
      <c r="X206" t="s">
        <v>1470</v>
      </c>
      <c r="Y206" t="s">
        <v>121</v>
      </c>
      <c r="Z206">
        <v>12</v>
      </c>
      <c r="AA206" t="s">
        <v>65</v>
      </c>
      <c r="AB206" t="s">
        <v>56</v>
      </c>
      <c r="AC206" t="s">
        <v>56</v>
      </c>
      <c r="AD206">
        <v>0</v>
      </c>
      <c r="AE206" t="s">
        <v>66</v>
      </c>
      <c r="AF206" t="s">
        <v>56</v>
      </c>
      <c r="AG206" t="s">
        <v>56</v>
      </c>
      <c r="AH206" t="s">
        <v>56</v>
      </c>
      <c r="AI206" t="s">
        <v>56</v>
      </c>
      <c r="AJ206" t="s">
        <v>1471</v>
      </c>
      <c r="AK206" t="s">
        <v>1472</v>
      </c>
      <c r="AL206" t="s">
        <v>56</v>
      </c>
      <c r="AM206" t="s">
        <v>56</v>
      </c>
      <c r="AN206" t="s">
        <v>56</v>
      </c>
      <c r="AO206" t="s">
        <v>56</v>
      </c>
      <c r="AP206" t="s">
        <v>56</v>
      </c>
      <c r="AQ206" t="s">
        <v>71</v>
      </c>
      <c r="AR206" t="s">
        <v>56</v>
      </c>
      <c r="AS206" t="s">
        <v>56</v>
      </c>
      <c r="AT206" t="s">
        <v>56</v>
      </c>
      <c r="AU206" t="s">
        <v>56</v>
      </c>
      <c r="AV206" t="s">
        <v>56</v>
      </c>
      <c r="AW206" t="s">
        <v>56</v>
      </c>
      <c r="AX206">
        <v>4</v>
      </c>
    </row>
    <row r="207" spans="1:50" x14ac:dyDescent="0.25">
      <c r="A207" t="str">
        <f>"20200129150017107705"</f>
        <v>20200129150017107705</v>
      </c>
      <c r="B207" t="s">
        <v>72</v>
      </c>
      <c r="C207" t="s">
        <v>72</v>
      </c>
      <c r="D207" t="s">
        <v>1473</v>
      </c>
      <c r="E207" t="str">
        <f>"080010139103"</f>
        <v>080010139103</v>
      </c>
      <c r="F207" t="s">
        <v>52</v>
      </c>
      <c r="G207">
        <v>830007355</v>
      </c>
      <c r="H207" t="s">
        <v>112</v>
      </c>
      <c r="I207" t="s">
        <v>1474</v>
      </c>
      <c r="J207">
        <v>3783674</v>
      </c>
      <c r="K207" t="s">
        <v>54</v>
      </c>
      <c r="L207">
        <v>73073016</v>
      </c>
      <c r="M207" t="s">
        <v>492</v>
      </c>
      <c r="N207" t="s">
        <v>128</v>
      </c>
      <c r="O207" t="s">
        <v>1475</v>
      </c>
      <c r="P207" t="s">
        <v>1476</v>
      </c>
      <c r="Q207">
        <v>1151</v>
      </c>
      <c r="R207" t="s">
        <v>54</v>
      </c>
      <c r="S207">
        <v>22416276</v>
      </c>
      <c r="T207" t="s">
        <v>1477</v>
      </c>
      <c r="U207" t="s">
        <v>117</v>
      </c>
      <c r="V207" t="s">
        <v>735</v>
      </c>
      <c r="W207" t="s">
        <v>1478</v>
      </c>
      <c r="X207" t="s">
        <v>120</v>
      </c>
      <c r="Y207" t="s">
        <v>121</v>
      </c>
      <c r="Z207">
        <v>11</v>
      </c>
      <c r="AA207" t="s">
        <v>87</v>
      </c>
      <c r="AB207" t="s">
        <v>56</v>
      </c>
      <c r="AC207" t="s">
        <v>56</v>
      </c>
      <c r="AD207">
        <v>0</v>
      </c>
      <c r="AE207" t="s">
        <v>66</v>
      </c>
      <c r="AF207" t="s">
        <v>56</v>
      </c>
      <c r="AG207" t="s">
        <v>56</v>
      </c>
      <c r="AH207" t="s">
        <v>56</v>
      </c>
      <c r="AI207" t="s">
        <v>56</v>
      </c>
      <c r="AJ207" t="s">
        <v>1479</v>
      </c>
      <c r="AK207" t="s">
        <v>1480</v>
      </c>
      <c r="AL207" t="s">
        <v>333</v>
      </c>
      <c r="AM207" t="s">
        <v>334</v>
      </c>
      <c r="AN207" t="s">
        <v>56</v>
      </c>
      <c r="AO207" t="s">
        <v>56</v>
      </c>
      <c r="AP207" t="s">
        <v>56</v>
      </c>
      <c r="AQ207" t="s">
        <v>71</v>
      </c>
      <c r="AR207" t="s">
        <v>56</v>
      </c>
      <c r="AS207" t="s">
        <v>56</v>
      </c>
      <c r="AT207" t="s">
        <v>56</v>
      </c>
      <c r="AU207" t="s">
        <v>56</v>
      </c>
      <c r="AV207" t="s">
        <v>56</v>
      </c>
      <c r="AW207" t="s">
        <v>56</v>
      </c>
      <c r="AX207">
        <v>4</v>
      </c>
    </row>
    <row r="208" spans="1:50" x14ac:dyDescent="0.25">
      <c r="A208" t="str">
        <f>"20200128137017078043"</f>
        <v>20200128137017078043</v>
      </c>
      <c r="B208" t="s">
        <v>151</v>
      </c>
      <c r="C208" t="s">
        <v>151</v>
      </c>
      <c r="D208" t="s">
        <v>1481</v>
      </c>
      <c r="E208" t="str">
        <f>"761470067210"</f>
        <v>761470067210</v>
      </c>
      <c r="F208" t="s">
        <v>52</v>
      </c>
      <c r="G208">
        <v>836000386</v>
      </c>
      <c r="H208">
        <v>76147</v>
      </c>
      <c r="I208" t="s">
        <v>1142</v>
      </c>
      <c r="J208" t="s">
        <v>1143</v>
      </c>
      <c r="K208" t="s">
        <v>54</v>
      </c>
      <c r="L208">
        <v>31419038</v>
      </c>
      <c r="M208" t="s">
        <v>504</v>
      </c>
      <c r="N208" t="s">
        <v>627</v>
      </c>
      <c r="O208" t="s">
        <v>1152</v>
      </c>
      <c r="P208" t="s">
        <v>207</v>
      </c>
      <c r="Q208" t="s">
        <v>1153</v>
      </c>
      <c r="R208" t="s">
        <v>440</v>
      </c>
      <c r="S208">
        <v>1114157023</v>
      </c>
      <c r="T208" t="s">
        <v>274</v>
      </c>
      <c r="U208" t="s">
        <v>62</v>
      </c>
      <c r="V208" t="s">
        <v>361</v>
      </c>
      <c r="W208" t="s">
        <v>315</v>
      </c>
      <c r="X208" t="s">
        <v>277</v>
      </c>
      <c r="Y208" t="s">
        <v>64</v>
      </c>
      <c r="Z208">
        <v>12</v>
      </c>
      <c r="AA208" t="s">
        <v>65</v>
      </c>
      <c r="AB208" t="s">
        <v>56</v>
      </c>
      <c r="AC208" t="s">
        <v>56</v>
      </c>
      <c r="AD208">
        <v>0</v>
      </c>
      <c r="AE208" t="s">
        <v>66</v>
      </c>
      <c r="AF208" t="s">
        <v>56</v>
      </c>
      <c r="AG208" t="s">
        <v>56</v>
      </c>
      <c r="AH208" t="s">
        <v>56</v>
      </c>
      <c r="AI208" t="s">
        <v>56</v>
      </c>
      <c r="AJ208" t="s">
        <v>199</v>
      </c>
      <c r="AK208" t="s">
        <v>200</v>
      </c>
      <c r="AL208" t="s">
        <v>56</v>
      </c>
      <c r="AM208" t="s">
        <v>56</v>
      </c>
      <c r="AN208" t="s">
        <v>56</v>
      </c>
      <c r="AO208" t="s">
        <v>56</v>
      </c>
      <c r="AP208" t="s">
        <v>56</v>
      </c>
      <c r="AQ208" t="s">
        <v>71</v>
      </c>
      <c r="AR208" t="s">
        <v>56</v>
      </c>
      <c r="AS208" t="s">
        <v>56</v>
      </c>
      <c r="AT208" t="s">
        <v>56</v>
      </c>
      <c r="AU208" t="s">
        <v>56</v>
      </c>
      <c r="AV208" t="s">
        <v>56</v>
      </c>
      <c r="AW208" t="s">
        <v>56</v>
      </c>
      <c r="AX208">
        <v>4</v>
      </c>
    </row>
    <row r="209" spans="1:50" x14ac:dyDescent="0.25">
      <c r="A209" t="str">
        <f>"20200124124017002455"</f>
        <v>20200124124017002455</v>
      </c>
      <c r="B209" t="s">
        <v>201</v>
      </c>
      <c r="C209" t="s">
        <v>201</v>
      </c>
      <c r="D209" t="s">
        <v>1482</v>
      </c>
      <c r="E209" t="str">
        <f>"130010256801"</f>
        <v>130010256801</v>
      </c>
      <c r="F209" t="s">
        <v>52</v>
      </c>
      <c r="G209">
        <v>900602320</v>
      </c>
      <c r="H209">
        <v>13001</v>
      </c>
      <c r="I209" t="s">
        <v>418</v>
      </c>
      <c r="J209">
        <v>3145960813</v>
      </c>
      <c r="K209" t="s">
        <v>54</v>
      </c>
      <c r="L209">
        <v>57417649</v>
      </c>
      <c r="M209" t="s">
        <v>419</v>
      </c>
      <c r="N209" t="s">
        <v>420</v>
      </c>
      <c r="O209" t="s">
        <v>421</v>
      </c>
      <c r="P209" t="s">
        <v>207</v>
      </c>
      <c r="Q209" t="s">
        <v>422</v>
      </c>
      <c r="R209" t="s">
        <v>237</v>
      </c>
      <c r="S209">
        <v>1148691919</v>
      </c>
      <c r="T209" t="s">
        <v>1483</v>
      </c>
      <c r="U209" t="s">
        <v>1484</v>
      </c>
      <c r="V209" t="s">
        <v>552</v>
      </c>
      <c r="W209" t="s">
        <v>1485</v>
      </c>
      <c r="X209" t="s">
        <v>1486</v>
      </c>
      <c r="Y209" t="s">
        <v>101</v>
      </c>
      <c r="Z209">
        <v>11</v>
      </c>
      <c r="AA209" t="s">
        <v>87</v>
      </c>
      <c r="AB209" t="s">
        <v>56</v>
      </c>
      <c r="AC209" t="s">
        <v>56</v>
      </c>
      <c r="AD209">
        <v>0</v>
      </c>
      <c r="AE209" t="s">
        <v>66</v>
      </c>
      <c r="AF209" t="s">
        <v>56</v>
      </c>
      <c r="AG209" t="s">
        <v>56</v>
      </c>
      <c r="AH209" t="s">
        <v>56</v>
      </c>
      <c r="AI209" t="s">
        <v>56</v>
      </c>
      <c r="AJ209" t="s">
        <v>930</v>
      </c>
      <c r="AK209" t="s">
        <v>931</v>
      </c>
      <c r="AL209" t="s">
        <v>1487</v>
      </c>
      <c r="AM209" t="s">
        <v>1488</v>
      </c>
      <c r="AN209" t="s">
        <v>1489</v>
      </c>
      <c r="AO209" t="s">
        <v>1490</v>
      </c>
      <c r="AP209" t="s">
        <v>56</v>
      </c>
      <c r="AQ209" t="s">
        <v>71</v>
      </c>
      <c r="AR209" t="s">
        <v>56</v>
      </c>
      <c r="AS209" t="s">
        <v>56</v>
      </c>
      <c r="AT209" t="s">
        <v>56</v>
      </c>
      <c r="AU209" t="s">
        <v>56</v>
      </c>
      <c r="AV209" t="s">
        <v>56</v>
      </c>
      <c r="AW209" t="s">
        <v>56</v>
      </c>
      <c r="AX209">
        <v>4</v>
      </c>
    </row>
    <row r="210" spans="1:50" x14ac:dyDescent="0.25">
      <c r="A210" t="str">
        <f>"20200130179017141577"</f>
        <v>20200130179017141577</v>
      </c>
      <c r="B210" t="s">
        <v>124</v>
      </c>
      <c r="C210" t="s">
        <v>124</v>
      </c>
      <c r="D210" t="s">
        <v>1491</v>
      </c>
      <c r="E210" t="str">
        <f>"700010096901"</f>
        <v>700010096901</v>
      </c>
      <c r="F210" t="s">
        <v>52</v>
      </c>
      <c r="G210">
        <v>900118990</v>
      </c>
      <c r="H210">
        <v>70001</v>
      </c>
      <c r="I210" t="s">
        <v>869</v>
      </c>
      <c r="J210">
        <v>2761605</v>
      </c>
      <c r="K210" t="s">
        <v>54</v>
      </c>
      <c r="L210">
        <v>9070805</v>
      </c>
      <c r="M210" t="s">
        <v>1492</v>
      </c>
      <c r="N210" t="s">
        <v>56</v>
      </c>
      <c r="O210" t="s">
        <v>1493</v>
      </c>
      <c r="P210" t="s">
        <v>707</v>
      </c>
      <c r="Q210">
        <v>153</v>
      </c>
      <c r="R210" t="s">
        <v>237</v>
      </c>
      <c r="S210">
        <v>1101124698</v>
      </c>
      <c r="T210" t="s">
        <v>1444</v>
      </c>
      <c r="U210" t="s">
        <v>1494</v>
      </c>
      <c r="V210" t="s">
        <v>130</v>
      </c>
      <c r="W210" t="s">
        <v>1294</v>
      </c>
      <c r="X210" t="s">
        <v>1495</v>
      </c>
      <c r="Y210" t="s">
        <v>330</v>
      </c>
      <c r="Z210">
        <v>11</v>
      </c>
      <c r="AA210" t="s">
        <v>87</v>
      </c>
      <c r="AB210" t="s">
        <v>56</v>
      </c>
      <c r="AC210" t="s">
        <v>56</v>
      </c>
      <c r="AD210">
        <v>0</v>
      </c>
      <c r="AE210" t="s">
        <v>66</v>
      </c>
      <c r="AF210" t="s">
        <v>56</v>
      </c>
      <c r="AG210" t="s">
        <v>56</v>
      </c>
      <c r="AH210" t="s">
        <v>56</v>
      </c>
      <c r="AI210" t="s">
        <v>56</v>
      </c>
      <c r="AJ210" t="s">
        <v>1496</v>
      </c>
      <c r="AK210" t="s">
        <v>1497</v>
      </c>
      <c r="AL210" t="s">
        <v>56</v>
      </c>
      <c r="AM210" t="s">
        <v>56</v>
      </c>
      <c r="AN210" t="s">
        <v>56</v>
      </c>
      <c r="AO210" t="s">
        <v>56</v>
      </c>
      <c r="AP210" t="s">
        <v>56</v>
      </c>
      <c r="AQ210" t="s">
        <v>71</v>
      </c>
      <c r="AR210" t="s">
        <v>56</v>
      </c>
      <c r="AS210" t="s">
        <v>56</v>
      </c>
      <c r="AT210" t="s">
        <v>56</v>
      </c>
      <c r="AU210" t="s">
        <v>56</v>
      </c>
      <c r="AV210" t="s">
        <v>56</v>
      </c>
      <c r="AW210" t="s">
        <v>56</v>
      </c>
      <c r="AX210">
        <v>4</v>
      </c>
    </row>
    <row r="211" spans="1:50" x14ac:dyDescent="0.25">
      <c r="A211" t="str">
        <f>"20200202152017191438"</f>
        <v>20200202152017191438</v>
      </c>
      <c r="B211" t="s">
        <v>90</v>
      </c>
      <c r="C211" t="s">
        <v>90</v>
      </c>
      <c r="D211" t="s">
        <v>1498</v>
      </c>
      <c r="E211" t="str">
        <f>"764970165001"</f>
        <v>764970165001</v>
      </c>
      <c r="F211" t="s">
        <v>52</v>
      </c>
      <c r="G211">
        <v>891901041</v>
      </c>
      <c r="H211">
        <v>76497</v>
      </c>
      <c r="I211" t="s">
        <v>163</v>
      </c>
      <c r="J211">
        <v>2053111</v>
      </c>
      <c r="K211" t="s">
        <v>54</v>
      </c>
      <c r="L211">
        <v>1088338846</v>
      </c>
      <c r="M211" t="s">
        <v>117</v>
      </c>
      <c r="N211" t="s">
        <v>448</v>
      </c>
      <c r="O211" t="s">
        <v>1092</v>
      </c>
      <c r="P211" t="s">
        <v>392</v>
      </c>
      <c r="Q211">
        <v>1088338846</v>
      </c>
      <c r="R211" t="s">
        <v>54</v>
      </c>
      <c r="S211">
        <v>41630442</v>
      </c>
      <c r="T211" t="s">
        <v>117</v>
      </c>
      <c r="U211" t="s">
        <v>459</v>
      </c>
      <c r="V211" t="s">
        <v>449</v>
      </c>
      <c r="W211" t="s">
        <v>1499</v>
      </c>
      <c r="X211" t="s">
        <v>63</v>
      </c>
      <c r="Y211" t="s">
        <v>64</v>
      </c>
      <c r="Z211">
        <v>11</v>
      </c>
      <c r="AA211" t="s">
        <v>87</v>
      </c>
      <c r="AB211" t="s">
        <v>56</v>
      </c>
      <c r="AC211" t="s">
        <v>56</v>
      </c>
      <c r="AD211">
        <v>0</v>
      </c>
      <c r="AE211" t="s">
        <v>66</v>
      </c>
      <c r="AF211" t="s">
        <v>56</v>
      </c>
      <c r="AG211" t="s">
        <v>56</v>
      </c>
      <c r="AH211" t="s">
        <v>56</v>
      </c>
      <c r="AI211" t="s">
        <v>56</v>
      </c>
      <c r="AJ211" t="s">
        <v>255</v>
      </c>
      <c r="AK211" t="s">
        <v>256</v>
      </c>
      <c r="AL211" t="s">
        <v>56</v>
      </c>
      <c r="AM211" t="s">
        <v>56</v>
      </c>
      <c r="AN211" t="s">
        <v>56</v>
      </c>
      <c r="AO211" t="s">
        <v>56</v>
      </c>
      <c r="AP211" t="s">
        <v>56</v>
      </c>
      <c r="AQ211" t="s">
        <v>71</v>
      </c>
      <c r="AR211" t="s">
        <v>56</v>
      </c>
      <c r="AS211" t="s">
        <v>56</v>
      </c>
      <c r="AT211" t="s">
        <v>56</v>
      </c>
      <c r="AU211" t="s">
        <v>56</v>
      </c>
      <c r="AV211" t="s">
        <v>56</v>
      </c>
      <c r="AW211" t="s">
        <v>56</v>
      </c>
      <c r="AX211">
        <v>4</v>
      </c>
    </row>
    <row r="212" spans="1:50" x14ac:dyDescent="0.25">
      <c r="A212" t="str">
        <f>"20200127118017063181"</f>
        <v>20200127118017063181</v>
      </c>
      <c r="B212" t="s">
        <v>190</v>
      </c>
      <c r="C212" t="s">
        <v>190</v>
      </c>
      <c r="D212" t="s">
        <v>1500</v>
      </c>
      <c r="E212" t="str">
        <f>"080010409201"</f>
        <v>080010409201</v>
      </c>
      <c r="F212" t="s">
        <v>52</v>
      </c>
      <c r="G212">
        <v>900448414</v>
      </c>
      <c r="H212" t="s">
        <v>112</v>
      </c>
      <c r="I212" t="s">
        <v>785</v>
      </c>
      <c r="J212">
        <v>3545674</v>
      </c>
      <c r="K212" t="s">
        <v>54</v>
      </c>
      <c r="L212">
        <v>8736587</v>
      </c>
      <c r="M212" t="s">
        <v>164</v>
      </c>
      <c r="N212" t="s">
        <v>281</v>
      </c>
      <c r="O212" t="s">
        <v>1101</v>
      </c>
      <c r="P212" t="s">
        <v>309</v>
      </c>
      <c r="Q212" t="s">
        <v>1412</v>
      </c>
      <c r="R212" t="s">
        <v>54</v>
      </c>
      <c r="S212">
        <v>22299683</v>
      </c>
      <c r="T212" t="s">
        <v>1275</v>
      </c>
      <c r="U212" t="s">
        <v>1327</v>
      </c>
      <c r="V212" t="s">
        <v>1501</v>
      </c>
      <c r="W212" t="s">
        <v>1502</v>
      </c>
      <c r="X212" t="s">
        <v>120</v>
      </c>
      <c r="Y212" t="s">
        <v>121</v>
      </c>
      <c r="Z212">
        <v>12</v>
      </c>
      <c r="AA212" t="s">
        <v>65</v>
      </c>
      <c r="AB212" t="s">
        <v>56</v>
      </c>
      <c r="AC212" t="s">
        <v>56</v>
      </c>
      <c r="AD212">
        <v>0</v>
      </c>
      <c r="AE212" t="s">
        <v>66</v>
      </c>
      <c r="AF212" t="s">
        <v>56</v>
      </c>
      <c r="AG212" t="s">
        <v>56</v>
      </c>
      <c r="AH212" t="s">
        <v>56</v>
      </c>
      <c r="AI212" t="s">
        <v>56</v>
      </c>
      <c r="AJ212" t="s">
        <v>1503</v>
      </c>
      <c r="AK212" t="s">
        <v>1504</v>
      </c>
      <c r="AL212" t="s">
        <v>56</v>
      </c>
      <c r="AM212" t="s">
        <v>56</v>
      </c>
      <c r="AN212" t="s">
        <v>56</v>
      </c>
      <c r="AO212" t="s">
        <v>56</v>
      </c>
      <c r="AP212" t="s">
        <v>56</v>
      </c>
      <c r="AQ212" t="s">
        <v>71</v>
      </c>
      <c r="AR212" t="s">
        <v>56</v>
      </c>
      <c r="AS212" t="s">
        <v>56</v>
      </c>
      <c r="AT212" t="s">
        <v>56</v>
      </c>
      <c r="AU212" t="s">
        <v>56</v>
      </c>
      <c r="AV212" t="s">
        <v>56</v>
      </c>
      <c r="AW212" t="s">
        <v>56</v>
      </c>
      <c r="AX212">
        <v>4</v>
      </c>
    </row>
    <row r="213" spans="1:50" x14ac:dyDescent="0.25">
      <c r="A213" t="str">
        <f>"20200125196017029929"</f>
        <v>20200125196017029929</v>
      </c>
      <c r="B213" t="s">
        <v>752</v>
      </c>
      <c r="C213" t="s">
        <v>752</v>
      </c>
      <c r="D213" t="s">
        <v>1505</v>
      </c>
      <c r="E213" t="str">
        <f>"080010003601"</f>
        <v>080010003601</v>
      </c>
      <c r="F213" t="s">
        <v>52</v>
      </c>
      <c r="G213">
        <v>802000955</v>
      </c>
      <c r="H213" t="s">
        <v>112</v>
      </c>
      <c r="I213" t="s">
        <v>218</v>
      </c>
      <c r="J213" t="s">
        <v>56</v>
      </c>
      <c r="K213" t="s">
        <v>54</v>
      </c>
      <c r="L213">
        <v>8703386</v>
      </c>
      <c r="M213" t="s">
        <v>219</v>
      </c>
      <c r="N213" t="s">
        <v>56</v>
      </c>
      <c r="O213" t="s">
        <v>220</v>
      </c>
      <c r="P213" t="s">
        <v>221</v>
      </c>
      <c r="Q213" t="s">
        <v>222</v>
      </c>
      <c r="R213" t="s">
        <v>54</v>
      </c>
      <c r="S213">
        <v>3763078</v>
      </c>
      <c r="T213" t="s">
        <v>132</v>
      </c>
      <c r="U213" t="s">
        <v>94</v>
      </c>
      <c r="V213" t="s">
        <v>1506</v>
      </c>
      <c r="W213" t="s">
        <v>1507</v>
      </c>
      <c r="X213" t="s">
        <v>443</v>
      </c>
      <c r="Y213" t="s">
        <v>121</v>
      </c>
      <c r="Z213">
        <v>12</v>
      </c>
      <c r="AA213" t="s">
        <v>65</v>
      </c>
      <c r="AB213" t="s">
        <v>56</v>
      </c>
      <c r="AC213" t="s">
        <v>56</v>
      </c>
      <c r="AD213">
        <v>0</v>
      </c>
      <c r="AE213" t="s">
        <v>66</v>
      </c>
      <c r="AF213" t="s">
        <v>56</v>
      </c>
      <c r="AG213" t="s">
        <v>56</v>
      </c>
      <c r="AH213" t="s">
        <v>56</v>
      </c>
      <c r="AI213" t="s">
        <v>56</v>
      </c>
      <c r="AJ213" t="s">
        <v>226</v>
      </c>
      <c r="AK213" t="s">
        <v>227</v>
      </c>
      <c r="AL213" t="s">
        <v>228</v>
      </c>
      <c r="AM213" t="s">
        <v>229</v>
      </c>
      <c r="AN213" t="s">
        <v>56</v>
      </c>
      <c r="AO213" t="s">
        <v>56</v>
      </c>
      <c r="AP213" t="s">
        <v>56</v>
      </c>
      <c r="AQ213" t="s">
        <v>71</v>
      </c>
      <c r="AR213" t="s">
        <v>56</v>
      </c>
      <c r="AS213" t="s">
        <v>56</v>
      </c>
      <c r="AT213" t="s">
        <v>56</v>
      </c>
      <c r="AU213" t="s">
        <v>56</v>
      </c>
      <c r="AV213" t="s">
        <v>56</v>
      </c>
      <c r="AW213" t="s">
        <v>56</v>
      </c>
      <c r="AX213">
        <v>4</v>
      </c>
    </row>
    <row r="214" spans="1:50" x14ac:dyDescent="0.25">
      <c r="A214" t="str">
        <f>"20200129177017111912"</f>
        <v>20200129177017111912</v>
      </c>
      <c r="B214" t="s">
        <v>72</v>
      </c>
      <c r="C214" t="s">
        <v>72</v>
      </c>
      <c r="D214" t="s">
        <v>1508</v>
      </c>
      <c r="E214" t="str">
        <f>"470010065001"</f>
        <v>470010065001</v>
      </c>
      <c r="F214" t="s">
        <v>52</v>
      </c>
      <c r="G214">
        <v>891780185</v>
      </c>
      <c r="H214">
        <v>47001</v>
      </c>
      <c r="I214" t="s">
        <v>1509</v>
      </c>
      <c r="J214" t="s">
        <v>1510</v>
      </c>
      <c r="K214" t="s">
        <v>54</v>
      </c>
      <c r="L214">
        <v>85162381</v>
      </c>
      <c r="M214" t="s">
        <v>1511</v>
      </c>
      <c r="N214" t="s">
        <v>291</v>
      </c>
      <c r="O214" t="s">
        <v>1512</v>
      </c>
      <c r="P214" t="s">
        <v>1513</v>
      </c>
      <c r="Q214" t="s">
        <v>1514</v>
      </c>
      <c r="R214" t="s">
        <v>54</v>
      </c>
      <c r="S214">
        <v>21469676</v>
      </c>
      <c r="T214" t="s">
        <v>1515</v>
      </c>
      <c r="U214" t="s">
        <v>62</v>
      </c>
      <c r="V214" t="s">
        <v>1516</v>
      </c>
      <c r="W214" t="s">
        <v>801</v>
      </c>
      <c r="X214" t="s">
        <v>1045</v>
      </c>
      <c r="Y214" t="s">
        <v>345</v>
      </c>
      <c r="Z214">
        <v>12</v>
      </c>
      <c r="AA214" t="s">
        <v>65</v>
      </c>
      <c r="AB214" t="s">
        <v>56</v>
      </c>
      <c r="AC214" t="s">
        <v>56</v>
      </c>
      <c r="AD214">
        <v>0</v>
      </c>
      <c r="AE214" t="s">
        <v>66</v>
      </c>
      <c r="AF214" t="s">
        <v>56</v>
      </c>
      <c r="AG214" t="s">
        <v>56</v>
      </c>
      <c r="AH214" t="s">
        <v>56</v>
      </c>
      <c r="AI214" t="s">
        <v>56</v>
      </c>
      <c r="AJ214" t="s">
        <v>942</v>
      </c>
      <c r="AK214" t="s">
        <v>943</v>
      </c>
      <c r="AL214" t="s">
        <v>56</v>
      </c>
      <c r="AM214" t="s">
        <v>56</v>
      </c>
      <c r="AN214" t="s">
        <v>56</v>
      </c>
      <c r="AO214" t="s">
        <v>56</v>
      </c>
      <c r="AP214" t="s">
        <v>56</v>
      </c>
      <c r="AQ214" t="s">
        <v>71</v>
      </c>
      <c r="AR214" t="s">
        <v>56</v>
      </c>
      <c r="AS214" t="s">
        <v>56</v>
      </c>
      <c r="AT214" t="s">
        <v>56</v>
      </c>
      <c r="AU214" t="s">
        <v>56</v>
      </c>
      <c r="AV214" t="s">
        <v>56</v>
      </c>
      <c r="AW214" t="s">
        <v>56</v>
      </c>
      <c r="AX214">
        <v>4</v>
      </c>
    </row>
    <row r="215" spans="1:50" x14ac:dyDescent="0.25">
      <c r="A215" t="str">
        <f>"20200125157017033088"</f>
        <v>20200125157017033088</v>
      </c>
      <c r="B215" t="s">
        <v>752</v>
      </c>
      <c r="C215" t="s">
        <v>752</v>
      </c>
      <c r="D215" t="s">
        <v>1517</v>
      </c>
      <c r="E215" t="str">
        <f>"134300028101"</f>
        <v>134300028101</v>
      </c>
      <c r="F215" t="s">
        <v>52</v>
      </c>
      <c r="G215">
        <v>890480363</v>
      </c>
      <c r="H215">
        <v>13430</v>
      </c>
      <c r="I215" t="s">
        <v>1518</v>
      </c>
      <c r="J215">
        <v>6876043</v>
      </c>
      <c r="K215" t="s">
        <v>338</v>
      </c>
      <c r="L215">
        <v>445088</v>
      </c>
      <c r="M215" t="s">
        <v>1519</v>
      </c>
      <c r="N215" t="s">
        <v>1520</v>
      </c>
      <c r="O215" t="s">
        <v>1521</v>
      </c>
      <c r="P215" t="s">
        <v>56</v>
      </c>
      <c r="Q215">
        <v>70120</v>
      </c>
      <c r="R215" t="s">
        <v>54</v>
      </c>
      <c r="S215">
        <v>22937158</v>
      </c>
      <c r="T215" t="s">
        <v>1522</v>
      </c>
      <c r="U215" t="s">
        <v>62</v>
      </c>
      <c r="V215" t="s">
        <v>1523</v>
      </c>
      <c r="W215" t="s">
        <v>1524</v>
      </c>
      <c r="X215" t="s">
        <v>183</v>
      </c>
      <c r="Y215" t="s">
        <v>101</v>
      </c>
      <c r="Z215">
        <v>12</v>
      </c>
      <c r="AA215" t="s">
        <v>65</v>
      </c>
      <c r="AB215" t="s">
        <v>56</v>
      </c>
      <c r="AC215" t="s">
        <v>56</v>
      </c>
      <c r="AD215">
        <v>0</v>
      </c>
      <c r="AE215" t="s">
        <v>66</v>
      </c>
      <c r="AF215" t="s">
        <v>56</v>
      </c>
      <c r="AG215" t="s">
        <v>56</v>
      </c>
      <c r="AH215" t="s">
        <v>56</v>
      </c>
      <c r="AI215" t="s">
        <v>56</v>
      </c>
      <c r="AJ215" t="s">
        <v>365</v>
      </c>
      <c r="AK215" t="s">
        <v>366</v>
      </c>
      <c r="AL215" t="s">
        <v>56</v>
      </c>
      <c r="AM215" t="s">
        <v>56</v>
      </c>
      <c r="AN215" t="s">
        <v>56</v>
      </c>
      <c r="AO215" t="s">
        <v>56</v>
      </c>
      <c r="AP215" t="s">
        <v>56</v>
      </c>
      <c r="AQ215" t="s">
        <v>71</v>
      </c>
      <c r="AR215" t="s">
        <v>56</v>
      </c>
      <c r="AS215" t="s">
        <v>56</v>
      </c>
      <c r="AT215" t="s">
        <v>56</v>
      </c>
      <c r="AU215" t="s">
        <v>56</v>
      </c>
      <c r="AV215" t="s">
        <v>56</v>
      </c>
      <c r="AW215" t="s">
        <v>56</v>
      </c>
      <c r="AX215">
        <v>4</v>
      </c>
    </row>
    <row r="216" spans="1:50" x14ac:dyDescent="0.25">
      <c r="A216" t="str">
        <f>"20200128111017071351"</f>
        <v>20200128111017071351</v>
      </c>
      <c r="B216" t="s">
        <v>151</v>
      </c>
      <c r="C216" t="s">
        <v>151</v>
      </c>
      <c r="D216" t="s">
        <v>1525</v>
      </c>
      <c r="E216" t="str">
        <f>"080010022301"</f>
        <v>080010022301</v>
      </c>
      <c r="F216" t="s">
        <v>52</v>
      </c>
      <c r="G216">
        <v>72125229</v>
      </c>
      <c r="H216" t="s">
        <v>112</v>
      </c>
      <c r="I216" t="s">
        <v>303</v>
      </c>
      <c r="J216">
        <v>3781924</v>
      </c>
      <c r="K216" t="s">
        <v>54</v>
      </c>
      <c r="L216">
        <v>72125229</v>
      </c>
      <c r="M216" t="s">
        <v>304</v>
      </c>
      <c r="N216" t="s">
        <v>56</v>
      </c>
      <c r="O216" t="s">
        <v>305</v>
      </c>
      <c r="P216" t="s">
        <v>306</v>
      </c>
      <c r="Q216" t="s">
        <v>56</v>
      </c>
      <c r="R216" t="s">
        <v>54</v>
      </c>
      <c r="S216">
        <v>39067114</v>
      </c>
      <c r="T216" t="s">
        <v>1526</v>
      </c>
      <c r="U216" t="s">
        <v>1527</v>
      </c>
      <c r="V216" t="s">
        <v>1528</v>
      </c>
      <c r="W216" t="s">
        <v>1139</v>
      </c>
      <c r="X216" t="s">
        <v>344</v>
      </c>
      <c r="Y216" t="s">
        <v>345</v>
      </c>
      <c r="Z216">
        <v>12</v>
      </c>
      <c r="AA216" t="s">
        <v>65</v>
      </c>
      <c r="AB216" t="s">
        <v>56</v>
      </c>
      <c r="AC216" t="s">
        <v>56</v>
      </c>
      <c r="AD216">
        <v>0</v>
      </c>
      <c r="AE216" t="s">
        <v>66</v>
      </c>
      <c r="AF216" t="s">
        <v>56</v>
      </c>
      <c r="AG216" t="s">
        <v>56</v>
      </c>
      <c r="AH216" t="s">
        <v>56</v>
      </c>
      <c r="AI216" t="s">
        <v>56</v>
      </c>
      <c r="AJ216" t="s">
        <v>942</v>
      </c>
      <c r="AK216" t="s">
        <v>943</v>
      </c>
      <c r="AL216" t="s">
        <v>310</v>
      </c>
      <c r="AM216" t="s">
        <v>311</v>
      </c>
      <c r="AN216" t="s">
        <v>56</v>
      </c>
      <c r="AO216" t="s">
        <v>56</v>
      </c>
      <c r="AP216" t="s">
        <v>56</v>
      </c>
      <c r="AQ216" t="s">
        <v>71</v>
      </c>
      <c r="AR216" t="s">
        <v>56</v>
      </c>
      <c r="AS216" t="s">
        <v>56</v>
      </c>
      <c r="AT216" t="s">
        <v>56</v>
      </c>
      <c r="AU216" t="s">
        <v>56</v>
      </c>
      <c r="AV216" t="s">
        <v>56</v>
      </c>
      <c r="AW216" t="s">
        <v>56</v>
      </c>
      <c r="AX216">
        <v>4</v>
      </c>
    </row>
    <row r="217" spans="1:50" x14ac:dyDescent="0.25">
      <c r="A217" t="str">
        <f>"20200128150017072728"</f>
        <v>20200128150017072728</v>
      </c>
      <c r="B217" t="s">
        <v>151</v>
      </c>
      <c r="C217" t="s">
        <v>151</v>
      </c>
      <c r="D217" t="s">
        <v>1529</v>
      </c>
      <c r="E217" t="str">
        <f>"080010022301"</f>
        <v>080010022301</v>
      </c>
      <c r="F217" t="s">
        <v>52</v>
      </c>
      <c r="G217">
        <v>72125229</v>
      </c>
      <c r="H217" t="s">
        <v>112</v>
      </c>
      <c r="I217" t="s">
        <v>303</v>
      </c>
      <c r="J217">
        <v>3781924</v>
      </c>
      <c r="K217" t="s">
        <v>54</v>
      </c>
      <c r="L217">
        <v>72125229</v>
      </c>
      <c r="M217" t="s">
        <v>304</v>
      </c>
      <c r="N217" t="s">
        <v>56</v>
      </c>
      <c r="O217" t="s">
        <v>305</v>
      </c>
      <c r="P217" t="s">
        <v>306</v>
      </c>
      <c r="Q217" t="s">
        <v>56</v>
      </c>
      <c r="R217" t="s">
        <v>54</v>
      </c>
      <c r="S217">
        <v>1143432704</v>
      </c>
      <c r="T217" t="s">
        <v>1530</v>
      </c>
      <c r="U217" t="s">
        <v>638</v>
      </c>
      <c r="V217" t="s">
        <v>157</v>
      </c>
      <c r="W217" t="s">
        <v>57</v>
      </c>
      <c r="X217" t="s">
        <v>120</v>
      </c>
      <c r="Y217" t="s">
        <v>121</v>
      </c>
      <c r="Z217">
        <v>12</v>
      </c>
      <c r="AA217" t="s">
        <v>65</v>
      </c>
      <c r="AB217" t="s">
        <v>56</v>
      </c>
      <c r="AC217" t="s">
        <v>56</v>
      </c>
      <c r="AD217">
        <v>0</v>
      </c>
      <c r="AE217" t="s">
        <v>66</v>
      </c>
      <c r="AF217" t="s">
        <v>56</v>
      </c>
      <c r="AG217" t="s">
        <v>56</v>
      </c>
      <c r="AH217" t="s">
        <v>56</v>
      </c>
      <c r="AI217" t="s">
        <v>56</v>
      </c>
      <c r="AJ217" t="s">
        <v>1531</v>
      </c>
      <c r="AK217" t="s">
        <v>1532</v>
      </c>
      <c r="AL217" t="s">
        <v>56</v>
      </c>
      <c r="AM217" t="s">
        <v>56</v>
      </c>
      <c r="AN217" t="s">
        <v>56</v>
      </c>
      <c r="AO217" t="s">
        <v>56</v>
      </c>
      <c r="AP217" t="s">
        <v>56</v>
      </c>
      <c r="AQ217" t="s">
        <v>71</v>
      </c>
      <c r="AR217" t="s">
        <v>56</v>
      </c>
      <c r="AS217" t="s">
        <v>56</v>
      </c>
      <c r="AT217" t="s">
        <v>56</v>
      </c>
      <c r="AU217" t="s">
        <v>56</v>
      </c>
      <c r="AV217" t="s">
        <v>56</v>
      </c>
      <c r="AW217" t="s">
        <v>56</v>
      </c>
      <c r="AX217">
        <v>4</v>
      </c>
    </row>
    <row r="218" spans="1:50" x14ac:dyDescent="0.25">
      <c r="A218" t="str">
        <f>"20200131179017170797"</f>
        <v>20200131179017170797</v>
      </c>
      <c r="B218" t="s">
        <v>110</v>
      </c>
      <c r="C218" t="s">
        <v>110</v>
      </c>
      <c r="D218" t="s">
        <v>1533</v>
      </c>
      <c r="E218" t="str">
        <f>"080010030801"</f>
        <v>080010030801</v>
      </c>
      <c r="F218" t="s">
        <v>52</v>
      </c>
      <c r="G218">
        <v>800218024</v>
      </c>
      <c r="H218" t="s">
        <v>112</v>
      </c>
      <c r="I218" t="s">
        <v>1534</v>
      </c>
      <c r="J218">
        <v>3852808</v>
      </c>
      <c r="K218" t="s">
        <v>54</v>
      </c>
      <c r="L218">
        <v>19345831</v>
      </c>
      <c r="M218" t="s">
        <v>423</v>
      </c>
      <c r="N218" t="s">
        <v>261</v>
      </c>
      <c r="O218" t="s">
        <v>1535</v>
      </c>
      <c r="P218" t="s">
        <v>1536</v>
      </c>
      <c r="Q218" t="s">
        <v>1537</v>
      </c>
      <c r="R218" t="s">
        <v>54</v>
      </c>
      <c r="S218">
        <v>77008235</v>
      </c>
      <c r="T218" t="s">
        <v>897</v>
      </c>
      <c r="U218" t="s">
        <v>1380</v>
      </c>
      <c r="V218" t="s">
        <v>1538</v>
      </c>
      <c r="W218" t="s">
        <v>62</v>
      </c>
      <c r="X218" t="s">
        <v>299</v>
      </c>
      <c r="Y218" t="s">
        <v>121</v>
      </c>
      <c r="Z218">
        <v>12</v>
      </c>
      <c r="AA218" t="s">
        <v>65</v>
      </c>
      <c r="AB218" t="s">
        <v>56</v>
      </c>
      <c r="AC218" t="s">
        <v>56</v>
      </c>
      <c r="AD218">
        <v>0</v>
      </c>
      <c r="AE218" t="s">
        <v>66</v>
      </c>
      <c r="AF218" t="s">
        <v>56</v>
      </c>
      <c r="AG218" t="s">
        <v>56</v>
      </c>
      <c r="AH218" t="s">
        <v>56</v>
      </c>
      <c r="AI218" t="s">
        <v>56</v>
      </c>
      <c r="AJ218" t="s">
        <v>215</v>
      </c>
      <c r="AK218" t="s">
        <v>216</v>
      </c>
      <c r="AL218" t="s">
        <v>56</v>
      </c>
      <c r="AM218" t="s">
        <v>56</v>
      </c>
      <c r="AN218" t="s">
        <v>56</v>
      </c>
      <c r="AO218" t="s">
        <v>56</v>
      </c>
      <c r="AP218" t="s">
        <v>56</v>
      </c>
      <c r="AQ218" t="s">
        <v>71</v>
      </c>
      <c r="AR218" t="s">
        <v>56</v>
      </c>
      <c r="AS218" t="s">
        <v>56</v>
      </c>
      <c r="AT218" t="s">
        <v>56</v>
      </c>
      <c r="AU218" t="s">
        <v>56</v>
      </c>
      <c r="AV218" t="s">
        <v>56</v>
      </c>
      <c r="AW218" t="s">
        <v>56</v>
      </c>
      <c r="AX218">
        <v>4</v>
      </c>
    </row>
    <row r="219" spans="1:50" x14ac:dyDescent="0.25">
      <c r="A219" t="str">
        <f>"20200128127017078635"</f>
        <v>20200128127017078635</v>
      </c>
      <c r="B219" t="s">
        <v>151</v>
      </c>
      <c r="C219" t="s">
        <v>151</v>
      </c>
      <c r="D219" t="s">
        <v>1539</v>
      </c>
      <c r="E219" t="str">
        <f>"700010096901"</f>
        <v>700010096901</v>
      </c>
      <c r="F219" t="s">
        <v>52</v>
      </c>
      <c r="G219">
        <v>900118990</v>
      </c>
      <c r="H219">
        <v>70001</v>
      </c>
      <c r="I219" t="s">
        <v>869</v>
      </c>
      <c r="J219">
        <v>2761605</v>
      </c>
      <c r="K219" t="s">
        <v>54</v>
      </c>
      <c r="L219">
        <v>15041623</v>
      </c>
      <c r="M219" t="s">
        <v>870</v>
      </c>
      <c r="N219" t="s">
        <v>56</v>
      </c>
      <c r="O219" t="s">
        <v>129</v>
      </c>
      <c r="P219" t="s">
        <v>130</v>
      </c>
      <c r="Q219">
        <v>294</v>
      </c>
      <c r="R219" t="s">
        <v>54</v>
      </c>
      <c r="S219">
        <v>3835139</v>
      </c>
      <c r="T219" t="s">
        <v>1360</v>
      </c>
      <c r="U219" t="s">
        <v>62</v>
      </c>
      <c r="V219" t="s">
        <v>1540</v>
      </c>
      <c r="W219" t="s">
        <v>1541</v>
      </c>
      <c r="X219" t="s">
        <v>1542</v>
      </c>
      <c r="Y219" t="s">
        <v>330</v>
      </c>
      <c r="Z219">
        <v>12</v>
      </c>
      <c r="AA219" t="s">
        <v>65</v>
      </c>
      <c r="AB219" t="s">
        <v>56</v>
      </c>
      <c r="AC219" t="s">
        <v>56</v>
      </c>
      <c r="AD219">
        <v>0</v>
      </c>
      <c r="AE219" t="s">
        <v>66</v>
      </c>
      <c r="AF219" t="s">
        <v>56</v>
      </c>
      <c r="AG219" t="s">
        <v>56</v>
      </c>
      <c r="AH219" t="s">
        <v>56</v>
      </c>
      <c r="AI219" t="s">
        <v>56</v>
      </c>
      <c r="AJ219" t="s">
        <v>1543</v>
      </c>
      <c r="AK219" t="s">
        <v>1544</v>
      </c>
      <c r="AL219" t="s">
        <v>56</v>
      </c>
      <c r="AM219" t="s">
        <v>56</v>
      </c>
      <c r="AN219" t="s">
        <v>56</v>
      </c>
      <c r="AO219" t="s">
        <v>56</v>
      </c>
      <c r="AP219" t="s">
        <v>56</v>
      </c>
      <c r="AQ219" t="s">
        <v>71</v>
      </c>
      <c r="AR219" t="s">
        <v>56</v>
      </c>
      <c r="AS219" t="s">
        <v>56</v>
      </c>
      <c r="AT219" t="s">
        <v>56</v>
      </c>
      <c r="AU219" t="s">
        <v>56</v>
      </c>
      <c r="AV219" t="s">
        <v>56</v>
      </c>
      <c r="AW219" t="s">
        <v>56</v>
      </c>
      <c r="AX219">
        <v>4</v>
      </c>
    </row>
    <row r="220" spans="1:50" x14ac:dyDescent="0.25">
      <c r="A220" t="str">
        <f>"20200130111017151285"</f>
        <v>20200130111017151285</v>
      </c>
      <c r="B220" t="s">
        <v>124</v>
      </c>
      <c r="C220" t="s">
        <v>124</v>
      </c>
      <c r="D220" t="s">
        <v>1545</v>
      </c>
      <c r="E220" t="str">
        <f>"134300092701"</f>
        <v>134300092701</v>
      </c>
      <c r="F220" t="s">
        <v>52</v>
      </c>
      <c r="G220">
        <v>900638867</v>
      </c>
      <c r="H220">
        <v>13430</v>
      </c>
      <c r="I220" t="s">
        <v>1183</v>
      </c>
      <c r="J220" t="s">
        <v>1184</v>
      </c>
      <c r="K220" t="s">
        <v>54</v>
      </c>
      <c r="L220">
        <v>1047465675</v>
      </c>
      <c r="M220" t="s">
        <v>1199</v>
      </c>
      <c r="N220" t="s">
        <v>1546</v>
      </c>
      <c r="O220" t="s">
        <v>1547</v>
      </c>
      <c r="P220" t="s">
        <v>1548</v>
      </c>
      <c r="Q220">
        <v>1047465675</v>
      </c>
      <c r="R220" t="s">
        <v>54</v>
      </c>
      <c r="S220">
        <v>9133772</v>
      </c>
      <c r="T220" t="s">
        <v>1549</v>
      </c>
      <c r="U220" t="s">
        <v>62</v>
      </c>
      <c r="V220" t="s">
        <v>1550</v>
      </c>
      <c r="W220" t="s">
        <v>1551</v>
      </c>
      <c r="X220" t="s">
        <v>183</v>
      </c>
      <c r="Y220" t="s">
        <v>101</v>
      </c>
      <c r="Z220">
        <v>22</v>
      </c>
      <c r="AA220" t="s">
        <v>102</v>
      </c>
      <c r="AB220">
        <v>0</v>
      </c>
      <c r="AC220" t="s">
        <v>66</v>
      </c>
      <c r="AD220">
        <v>0</v>
      </c>
      <c r="AE220" t="s">
        <v>66</v>
      </c>
      <c r="AF220" t="s">
        <v>56</v>
      </c>
      <c r="AG220" t="s">
        <v>56</v>
      </c>
      <c r="AH220" t="s">
        <v>56</v>
      </c>
      <c r="AI220" t="s">
        <v>56</v>
      </c>
      <c r="AJ220" t="s">
        <v>1552</v>
      </c>
      <c r="AK220" t="s">
        <v>1553</v>
      </c>
      <c r="AL220" t="s">
        <v>56</v>
      </c>
      <c r="AM220" t="s">
        <v>56</v>
      </c>
      <c r="AN220" t="s">
        <v>56</v>
      </c>
      <c r="AO220" t="s">
        <v>56</v>
      </c>
      <c r="AP220" t="s">
        <v>56</v>
      </c>
      <c r="AQ220" t="s">
        <v>71</v>
      </c>
      <c r="AR220" t="s">
        <v>56</v>
      </c>
      <c r="AS220" t="s">
        <v>56</v>
      </c>
      <c r="AT220" t="s">
        <v>56</v>
      </c>
      <c r="AU220" t="s">
        <v>56</v>
      </c>
      <c r="AV220" t="s">
        <v>56</v>
      </c>
      <c r="AW220" t="s">
        <v>56</v>
      </c>
      <c r="AX220">
        <v>4</v>
      </c>
    </row>
    <row r="221" spans="1:50" x14ac:dyDescent="0.25">
      <c r="A221" t="str">
        <f>"20200130122017149468"</f>
        <v>20200130122017149468</v>
      </c>
      <c r="B221" t="s">
        <v>124</v>
      </c>
      <c r="C221" t="s">
        <v>124</v>
      </c>
      <c r="D221" t="s">
        <v>1554</v>
      </c>
      <c r="E221" t="str">
        <f>"470010065001"</f>
        <v>470010065001</v>
      </c>
      <c r="F221" t="s">
        <v>52</v>
      </c>
      <c r="G221">
        <v>891780185</v>
      </c>
      <c r="H221">
        <v>47001</v>
      </c>
      <c r="I221" t="s">
        <v>1509</v>
      </c>
      <c r="J221" t="s">
        <v>1510</v>
      </c>
      <c r="K221" t="s">
        <v>54</v>
      </c>
      <c r="L221">
        <v>57299375</v>
      </c>
      <c r="M221" t="s">
        <v>1555</v>
      </c>
      <c r="N221" t="s">
        <v>1327</v>
      </c>
      <c r="O221" t="s">
        <v>194</v>
      </c>
      <c r="P221" t="s">
        <v>938</v>
      </c>
      <c r="Q221">
        <v>4711179</v>
      </c>
      <c r="R221" t="s">
        <v>54</v>
      </c>
      <c r="S221">
        <v>1685695</v>
      </c>
      <c r="T221" t="s">
        <v>1222</v>
      </c>
      <c r="U221" t="s">
        <v>62</v>
      </c>
      <c r="V221" t="s">
        <v>99</v>
      </c>
      <c r="W221" t="s">
        <v>315</v>
      </c>
      <c r="X221" t="s">
        <v>1045</v>
      </c>
      <c r="Y221" t="s">
        <v>345</v>
      </c>
      <c r="Z221">
        <v>12</v>
      </c>
      <c r="AA221" t="s">
        <v>65</v>
      </c>
      <c r="AB221" t="s">
        <v>56</v>
      </c>
      <c r="AC221" t="s">
        <v>56</v>
      </c>
      <c r="AD221">
        <v>0</v>
      </c>
      <c r="AE221" t="s">
        <v>66</v>
      </c>
      <c r="AF221" t="s">
        <v>56</v>
      </c>
      <c r="AG221" t="s">
        <v>56</v>
      </c>
      <c r="AH221" t="s">
        <v>56</v>
      </c>
      <c r="AI221" t="s">
        <v>56</v>
      </c>
      <c r="AJ221" t="s">
        <v>1556</v>
      </c>
      <c r="AK221" t="s">
        <v>1557</v>
      </c>
      <c r="AL221" t="s">
        <v>1558</v>
      </c>
      <c r="AM221" t="s">
        <v>1559</v>
      </c>
      <c r="AN221" t="s">
        <v>56</v>
      </c>
      <c r="AO221" t="s">
        <v>56</v>
      </c>
      <c r="AP221" t="s">
        <v>56</v>
      </c>
      <c r="AQ221" t="s">
        <v>71</v>
      </c>
      <c r="AR221" t="s">
        <v>56</v>
      </c>
      <c r="AS221" t="s">
        <v>56</v>
      </c>
      <c r="AT221" t="s">
        <v>56</v>
      </c>
      <c r="AU221" t="s">
        <v>56</v>
      </c>
      <c r="AV221" t="s">
        <v>56</v>
      </c>
      <c r="AW221" t="s">
        <v>56</v>
      </c>
      <c r="AX221">
        <v>4</v>
      </c>
    </row>
    <row r="222" spans="1:50" x14ac:dyDescent="0.25">
      <c r="A222" t="str">
        <f>"20200127192017056733"</f>
        <v>20200127192017056733</v>
      </c>
      <c r="B222" t="s">
        <v>190</v>
      </c>
      <c r="C222" t="s">
        <v>190</v>
      </c>
      <c r="D222" t="s">
        <v>1560</v>
      </c>
      <c r="E222" t="str">
        <f>"080010003601"</f>
        <v>080010003601</v>
      </c>
      <c r="F222" t="s">
        <v>52</v>
      </c>
      <c r="G222">
        <v>802000955</v>
      </c>
      <c r="H222" t="s">
        <v>112</v>
      </c>
      <c r="I222" t="s">
        <v>218</v>
      </c>
      <c r="J222" t="s">
        <v>56</v>
      </c>
      <c r="K222" t="s">
        <v>54</v>
      </c>
      <c r="L222">
        <v>1051357508</v>
      </c>
      <c r="M222" t="s">
        <v>644</v>
      </c>
      <c r="N222" t="s">
        <v>645</v>
      </c>
      <c r="O222" t="s">
        <v>646</v>
      </c>
      <c r="P222" t="s">
        <v>647</v>
      </c>
      <c r="Q222">
        <v>81153</v>
      </c>
      <c r="R222" t="s">
        <v>54</v>
      </c>
      <c r="S222">
        <v>5113724</v>
      </c>
      <c r="T222" t="s">
        <v>86</v>
      </c>
      <c r="U222" t="s">
        <v>604</v>
      </c>
      <c r="V222" t="s">
        <v>1561</v>
      </c>
      <c r="W222" t="s">
        <v>1562</v>
      </c>
      <c r="X222" t="s">
        <v>1563</v>
      </c>
      <c r="Y222" t="s">
        <v>345</v>
      </c>
      <c r="Z222">
        <v>12</v>
      </c>
      <c r="AA222" t="s">
        <v>65</v>
      </c>
      <c r="AB222" t="s">
        <v>56</v>
      </c>
      <c r="AC222" t="s">
        <v>56</v>
      </c>
      <c r="AD222">
        <v>0</v>
      </c>
      <c r="AE222" t="s">
        <v>66</v>
      </c>
      <c r="AF222" t="s">
        <v>56</v>
      </c>
      <c r="AG222" t="s">
        <v>56</v>
      </c>
      <c r="AH222" t="s">
        <v>56</v>
      </c>
      <c r="AI222" t="s">
        <v>56</v>
      </c>
      <c r="AJ222" t="s">
        <v>228</v>
      </c>
      <c r="AK222" t="s">
        <v>229</v>
      </c>
      <c r="AL222" t="s">
        <v>56</v>
      </c>
      <c r="AM222" t="s">
        <v>56</v>
      </c>
      <c r="AN222" t="s">
        <v>56</v>
      </c>
      <c r="AO222" t="s">
        <v>56</v>
      </c>
      <c r="AP222" t="s">
        <v>56</v>
      </c>
      <c r="AQ222" t="s">
        <v>71</v>
      </c>
      <c r="AR222" t="s">
        <v>56</v>
      </c>
      <c r="AS222" t="s">
        <v>56</v>
      </c>
      <c r="AT222" t="s">
        <v>56</v>
      </c>
      <c r="AU222" t="s">
        <v>56</v>
      </c>
      <c r="AV222" t="s">
        <v>56</v>
      </c>
      <c r="AW222" t="s">
        <v>56</v>
      </c>
      <c r="AX222">
        <v>4</v>
      </c>
    </row>
    <row r="223" spans="1:50" x14ac:dyDescent="0.25">
      <c r="A223" t="str">
        <f>"20200131185017177045"</f>
        <v>20200131185017177045</v>
      </c>
      <c r="B223" t="s">
        <v>110</v>
      </c>
      <c r="C223" t="s">
        <v>110</v>
      </c>
      <c r="D223" t="s">
        <v>1564</v>
      </c>
      <c r="E223" t="str">
        <f>"134300049201"</f>
        <v>134300049201</v>
      </c>
      <c r="F223" t="s">
        <v>52</v>
      </c>
      <c r="G223">
        <v>900196347</v>
      </c>
      <c r="H223">
        <v>13430</v>
      </c>
      <c r="I223" t="s">
        <v>174</v>
      </c>
      <c r="J223" t="s">
        <v>175</v>
      </c>
      <c r="K223" t="s">
        <v>54</v>
      </c>
      <c r="L223">
        <v>73241145</v>
      </c>
      <c r="M223" t="s">
        <v>1565</v>
      </c>
      <c r="N223" t="s">
        <v>76</v>
      </c>
      <c r="O223" t="s">
        <v>1566</v>
      </c>
      <c r="P223" t="s">
        <v>263</v>
      </c>
      <c r="Q223">
        <v>44062001</v>
      </c>
      <c r="R223" t="s">
        <v>440</v>
      </c>
      <c r="S223">
        <v>1050739155</v>
      </c>
      <c r="T223" t="s">
        <v>1567</v>
      </c>
      <c r="U223" t="s">
        <v>62</v>
      </c>
      <c r="V223" t="s">
        <v>194</v>
      </c>
      <c r="W223" t="s">
        <v>1568</v>
      </c>
      <c r="X223" t="s">
        <v>183</v>
      </c>
      <c r="Y223" t="s">
        <v>101</v>
      </c>
      <c r="Z223">
        <v>22</v>
      </c>
      <c r="AA223" t="s">
        <v>102</v>
      </c>
      <c r="AB223">
        <v>0</v>
      </c>
      <c r="AC223" t="s">
        <v>66</v>
      </c>
      <c r="AD223">
        <v>0</v>
      </c>
      <c r="AE223" t="s">
        <v>66</v>
      </c>
      <c r="AF223" t="s">
        <v>56</v>
      </c>
      <c r="AG223" t="s">
        <v>56</v>
      </c>
      <c r="AH223" t="s">
        <v>56</v>
      </c>
      <c r="AI223" t="s">
        <v>56</v>
      </c>
      <c r="AJ223" t="s">
        <v>1003</v>
      </c>
      <c r="AK223" t="s">
        <v>1004</v>
      </c>
      <c r="AL223" t="s">
        <v>56</v>
      </c>
      <c r="AM223" t="s">
        <v>56</v>
      </c>
      <c r="AN223" t="s">
        <v>56</v>
      </c>
      <c r="AO223" t="s">
        <v>56</v>
      </c>
      <c r="AP223" t="s">
        <v>56</v>
      </c>
      <c r="AQ223" t="s">
        <v>71</v>
      </c>
      <c r="AR223" t="s">
        <v>56</v>
      </c>
      <c r="AS223" t="s">
        <v>56</v>
      </c>
      <c r="AT223" t="s">
        <v>56</v>
      </c>
      <c r="AU223" t="s">
        <v>56</v>
      </c>
      <c r="AV223" t="s">
        <v>56</v>
      </c>
      <c r="AW223" t="s">
        <v>56</v>
      </c>
      <c r="AX223">
        <v>4</v>
      </c>
    </row>
    <row r="224" spans="1:50" x14ac:dyDescent="0.25">
      <c r="A224" t="str">
        <f>"20200128193017098177"</f>
        <v>20200128193017098177</v>
      </c>
      <c r="B224" t="s">
        <v>151</v>
      </c>
      <c r="C224" t="s">
        <v>151</v>
      </c>
      <c r="D224" t="s">
        <v>1569</v>
      </c>
      <c r="E224" t="str">
        <f>"134300049201"</f>
        <v>134300049201</v>
      </c>
      <c r="F224" t="s">
        <v>52</v>
      </c>
      <c r="G224">
        <v>900196347</v>
      </c>
      <c r="H224">
        <v>13430</v>
      </c>
      <c r="I224" t="s">
        <v>174</v>
      </c>
      <c r="J224" t="s">
        <v>175</v>
      </c>
      <c r="K224" t="s">
        <v>54</v>
      </c>
      <c r="L224">
        <v>73241145</v>
      </c>
      <c r="M224" t="s">
        <v>1565</v>
      </c>
      <c r="N224" t="s">
        <v>76</v>
      </c>
      <c r="O224" t="s">
        <v>1566</v>
      </c>
      <c r="P224" t="s">
        <v>263</v>
      </c>
      <c r="Q224">
        <v>44062001</v>
      </c>
      <c r="R224" t="s">
        <v>440</v>
      </c>
      <c r="S224">
        <v>1050739155</v>
      </c>
      <c r="T224" t="s">
        <v>1567</v>
      </c>
      <c r="U224" t="s">
        <v>62</v>
      </c>
      <c r="V224" t="s">
        <v>194</v>
      </c>
      <c r="W224" t="s">
        <v>1568</v>
      </c>
      <c r="X224" t="s">
        <v>183</v>
      </c>
      <c r="Y224" t="s">
        <v>101</v>
      </c>
      <c r="Z224">
        <v>22</v>
      </c>
      <c r="AA224" t="s">
        <v>102</v>
      </c>
      <c r="AB224">
        <v>0</v>
      </c>
      <c r="AC224" t="s">
        <v>66</v>
      </c>
      <c r="AD224">
        <v>0</v>
      </c>
      <c r="AE224" t="s">
        <v>66</v>
      </c>
      <c r="AF224" t="s">
        <v>56</v>
      </c>
      <c r="AG224" t="s">
        <v>56</v>
      </c>
      <c r="AH224" t="s">
        <v>56</v>
      </c>
      <c r="AI224" t="s">
        <v>56</v>
      </c>
      <c r="AJ224" t="s">
        <v>1570</v>
      </c>
      <c r="AK224" t="s">
        <v>1571</v>
      </c>
      <c r="AL224" t="s">
        <v>56</v>
      </c>
      <c r="AM224" t="s">
        <v>56</v>
      </c>
      <c r="AN224" t="s">
        <v>56</v>
      </c>
      <c r="AO224" t="s">
        <v>56</v>
      </c>
      <c r="AP224" t="s">
        <v>56</v>
      </c>
      <c r="AQ224" t="s">
        <v>71</v>
      </c>
      <c r="AR224" t="s">
        <v>56</v>
      </c>
      <c r="AS224" t="s">
        <v>56</v>
      </c>
      <c r="AT224" t="s">
        <v>56</v>
      </c>
      <c r="AU224" t="s">
        <v>56</v>
      </c>
      <c r="AV224" t="s">
        <v>56</v>
      </c>
      <c r="AW224" t="s">
        <v>56</v>
      </c>
      <c r="AX224">
        <v>4</v>
      </c>
    </row>
    <row r="225" spans="1:50" x14ac:dyDescent="0.25">
      <c r="A225" t="str">
        <f>"20200124188017006003"</f>
        <v>20200124188017006003</v>
      </c>
      <c r="B225" t="s">
        <v>201</v>
      </c>
      <c r="C225" t="s">
        <v>201</v>
      </c>
      <c r="D225" t="s">
        <v>1572</v>
      </c>
      <c r="E225" t="str">
        <f>"080010003601"</f>
        <v>080010003601</v>
      </c>
      <c r="F225" t="s">
        <v>52</v>
      </c>
      <c r="G225">
        <v>802000955</v>
      </c>
      <c r="H225" t="s">
        <v>112</v>
      </c>
      <c r="I225" t="s">
        <v>218</v>
      </c>
      <c r="J225" t="s">
        <v>56</v>
      </c>
      <c r="K225" t="s">
        <v>54</v>
      </c>
      <c r="L225">
        <v>1051357508</v>
      </c>
      <c r="M225" t="s">
        <v>644</v>
      </c>
      <c r="N225" t="s">
        <v>645</v>
      </c>
      <c r="O225" t="s">
        <v>646</v>
      </c>
      <c r="P225" t="s">
        <v>647</v>
      </c>
      <c r="Q225">
        <v>81153</v>
      </c>
      <c r="R225" t="s">
        <v>54</v>
      </c>
      <c r="S225">
        <v>32620621</v>
      </c>
      <c r="T225" t="s">
        <v>470</v>
      </c>
      <c r="U225" t="s">
        <v>1573</v>
      </c>
      <c r="V225" t="s">
        <v>1574</v>
      </c>
      <c r="W225" t="s">
        <v>650</v>
      </c>
      <c r="X225" t="s">
        <v>1045</v>
      </c>
      <c r="Y225" t="s">
        <v>345</v>
      </c>
      <c r="Z225">
        <v>12</v>
      </c>
      <c r="AA225" t="s">
        <v>65</v>
      </c>
      <c r="AB225" t="s">
        <v>56</v>
      </c>
      <c r="AC225" t="s">
        <v>56</v>
      </c>
      <c r="AD225">
        <v>0</v>
      </c>
      <c r="AE225" t="s">
        <v>66</v>
      </c>
      <c r="AF225" t="s">
        <v>56</v>
      </c>
      <c r="AG225" t="s">
        <v>56</v>
      </c>
      <c r="AH225" t="s">
        <v>56</v>
      </c>
      <c r="AI225" t="s">
        <v>56</v>
      </c>
      <c r="AJ225" t="s">
        <v>1575</v>
      </c>
      <c r="AK225" t="s">
        <v>1576</v>
      </c>
      <c r="AL225" t="s">
        <v>56</v>
      </c>
      <c r="AM225" t="s">
        <v>56</v>
      </c>
      <c r="AN225" t="s">
        <v>56</v>
      </c>
      <c r="AO225" t="s">
        <v>56</v>
      </c>
      <c r="AP225" t="s">
        <v>56</v>
      </c>
      <c r="AQ225" t="s">
        <v>71</v>
      </c>
      <c r="AR225" t="s">
        <v>56</v>
      </c>
      <c r="AS225" t="s">
        <v>56</v>
      </c>
      <c r="AT225" t="s">
        <v>56</v>
      </c>
      <c r="AU225" t="s">
        <v>56</v>
      </c>
      <c r="AV225" t="s">
        <v>56</v>
      </c>
      <c r="AW225" t="s">
        <v>56</v>
      </c>
      <c r="AX225">
        <v>4</v>
      </c>
    </row>
    <row r="226" spans="1:50" x14ac:dyDescent="0.25">
      <c r="A226" t="str">
        <f>"20200127144017044905"</f>
        <v>20200127144017044905</v>
      </c>
      <c r="B226" t="s">
        <v>190</v>
      </c>
      <c r="C226" t="s">
        <v>190</v>
      </c>
      <c r="D226" t="s">
        <v>1577</v>
      </c>
      <c r="E226" t="str">
        <f>"760010371501"</f>
        <v>760010371501</v>
      </c>
      <c r="F226" t="s">
        <v>52</v>
      </c>
      <c r="G226">
        <v>890303841</v>
      </c>
      <c r="H226">
        <v>76001</v>
      </c>
      <c r="I226" t="s">
        <v>1578</v>
      </c>
      <c r="J226">
        <v>4892222</v>
      </c>
      <c r="K226" t="s">
        <v>54</v>
      </c>
      <c r="L226">
        <v>16830715</v>
      </c>
      <c r="M226" t="s">
        <v>127</v>
      </c>
      <c r="N226" t="s">
        <v>360</v>
      </c>
      <c r="O226" t="s">
        <v>361</v>
      </c>
      <c r="P226" t="s">
        <v>362</v>
      </c>
      <c r="Q226">
        <v>1913</v>
      </c>
      <c r="R226" t="s">
        <v>54</v>
      </c>
      <c r="S226">
        <v>26317218</v>
      </c>
      <c r="T226" t="s">
        <v>117</v>
      </c>
      <c r="U226" t="s">
        <v>1579</v>
      </c>
      <c r="V226" t="s">
        <v>715</v>
      </c>
      <c r="W226" t="s">
        <v>62</v>
      </c>
      <c r="X226" t="s">
        <v>716</v>
      </c>
      <c r="Y226" t="s">
        <v>717</v>
      </c>
      <c r="Z226">
        <v>11</v>
      </c>
      <c r="AA226" t="s">
        <v>87</v>
      </c>
      <c r="AB226" t="s">
        <v>56</v>
      </c>
      <c r="AC226" t="s">
        <v>56</v>
      </c>
      <c r="AD226">
        <v>0</v>
      </c>
      <c r="AE226" t="s">
        <v>66</v>
      </c>
      <c r="AF226" t="s">
        <v>56</v>
      </c>
      <c r="AG226" t="s">
        <v>56</v>
      </c>
      <c r="AH226" t="s">
        <v>56</v>
      </c>
      <c r="AI226" t="s">
        <v>56</v>
      </c>
      <c r="AJ226" t="s">
        <v>365</v>
      </c>
      <c r="AK226" t="s">
        <v>366</v>
      </c>
      <c r="AL226" t="s">
        <v>215</v>
      </c>
      <c r="AM226" t="s">
        <v>216</v>
      </c>
      <c r="AN226" t="s">
        <v>56</v>
      </c>
      <c r="AO226" t="s">
        <v>56</v>
      </c>
      <c r="AP226" t="s">
        <v>56</v>
      </c>
      <c r="AQ226" t="s">
        <v>71</v>
      </c>
      <c r="AR226" t="s">
        <v>56</v>
      </c>
      <c r="AS226" t="s">
        <v>56</v>
      </c>
      <c r="AT226" t="s">
        <v>56</v>
      </c>
      <c r="AU226" t="s">
        <v>56</v>
      </c>
      <c r="AV226" t="s">
        <v>56</v>
      </c>
      <c r="AW226" t="s">
        <v>56</v>
      </c>
      <c r="AX226">
        <v>4</v>
      </c>
    </row>
    <row r="227" spans="1:50" x14ac:dyDescent="0.25">
      <c r="A227" t="str">
        <f>"20200124197017014547"</f>
        <v>20200124197017014547</v>
      </c>
      <c r="B227" t="s">
        <v>201</v>
      </c>
      <c r="C227" t="s">
        <v>201</v>
      </c>
      <c r="D227" t="s">
        <v>1580</v>
      </c>
      <c r="E227" t="str">
        <f>"760200165701"</f>
        <v>760200165701</v>
      </c>
      <c r="F227" t="s">
        <v>52</v>
      </c>
      <c r="G227">
        <v>891900438</v>
      </c>
      <c r="H227">
        <v>76020</v>
      </c>
      <c r="I227" t="s">
        <v>447</v>
      </c>
      <c r="J227">
        <v>2004120</v>
      </c>
      <c r="K227" t="s">
        <v>54</v>
      </c>
      <c r="L227">
        <v>16777004</v>
      </c>
      <c r="M227" t="s">
        <v>1581</v>
      </c>
      <c r="N227" t="s">
        <v>596</v>
      </c>
      <c r="O227" t="s">
        <v>1582</v>
      </c>
      <c r="P227" t="s">
        <v>298</v>
      </c>
      <c r="Q227">
        <v>192503</v>
      </c>
      <c r="R227" t="s">
        <v>54</v>
      </c>
      <c r="S227">
        <v>1114399226</v>
      </c>
      <c r="T227" t="s">
        <v>1583</v>
      </c>
      <c r="U227" t="s">
        <v>424</v>
      </c>
      <c r="V227" t="s">
        <v>1584</v>
      </c>
      <c r="W227" t="s">
        <v>1585</v>
      </c>
      <c r="X227" t="s">
        <v>453</v>
      </c>
      <c r="Y227" t="s">
        <v>64</v>
      </c>
      <c r="Z227">
        <v>12</v>
      </c>
      <c r="AA227" t="s">
        <v>65</v>
      </c>
      <c r="AB227" t="s">
        <v>56</v>
      </c>
      <c r="AC227" t="s">
        <v>56</v>
      </c>
      <c r="AD227">
        <v>0</v>
      </c>
      <c r="AE227" t="s">
        <v>66</v>
      </c>
      <c r="AF227" t="s">
        <v>56</v>
      </c>
      <c r="AG227" t="s">
        <v>56</v>
      </c>
      <c r="AH227" t="s">
        <v>56</v>
      </c>
      <c r="AI227" t="s">
        <v>56</v>
      </c>
      <c r="AJ227" t="s">
        <v>444</v>
      </c>
      <c r="AK227" t="s">
        <v>445</v>
      </c>
      <c r="AL227" t="s">
        <v>56</v>
      </c>
      <c r="AM227" t="s">
        <v>56</v>
      </c>
      <c r="AN227" t="s">
        <v>56</v>
      </c>
      <c r="AO227" t="s">
        <v>56</v>
      </c>
      <c r="AP227" t="s">
        <v>56</v>
      </c>
      <c r="AQ227" t="s">
        <v>71</v>
      </c>
      <c r="AR227" t="s">
        <v>56</v>
      </c>
      <c r="AS227" t="s">
        <v>56</v>
      </c>
      <c r="AT227" t="s">
        <v>56</v>
      </c>
      <c r="AU227" t="s">
        <v>56</v>
      </c>
      <c r="AV227" t="s">
        <v>56</v>
      </c>
      <c r="AW227" t="s">
        <v>56</v>
      </c>
      <c r="AX227">
        <v>4</v>
      </c>
    </row>
    <row r="228" spans="1:50" x14ac:dyDescent="0.25">
      <c r="A228" t="str">
        <f>"20200127170017057880"</f>
        <v>20200127170017057880</v>
      </c>
      <c r="B228" t="s">
        <v>190</v>
      </c>
      <c r="C228" t="s">
        <v>190</v>
      </c>
      <c r="D228" t="s">
        <v>1586</v>
      </c>
      <c r="E228" t="str">
        <f>"086850011001"</f>
        <v>086850011001</v>
      </c>
      <c r="F228" t="s">
        <v>52</v>
      </c>
      <c r="G228">
        <v>800174123</v>
      </c>
      <c r="H228" t="s">
        <v>433</v>
      </c>
      <c r="I228" t="s">
        <v>434</v>
      </c>
      <c r="J228">
        <v>8790494</v>
      </c>
      <c r="K228" t="s">
        <v>54</v>
      </c>
      <c r="L228">
        <v>1047337973</v>
      </c>
      <c r="M228" t="s">
        <v>485</v>
      </c>
      <c r="N228" t="s">
        <v>94</v>
      </c>
      <c r="O228" t="s">
        <v>99</v>
      </c>
      <c r="P228" t="s">
        <v>99</v>
      </c>
      <c r="Q228">
        <v>13029444</v>
      </c>
      <c r="R228" t="s">
        <v>54</v>
      </c>
      <c r="S228">
        <v>22361326</v>
      </c>
      <c r="T228" t="s">
        <v>1444</v>
      </c>
      <c r="U228" t="s">
        <v>1371</v>
      </c>
      <c r="V228" t="s">
        <v>1587</v>
      </c>
      <c r="W228" t="s">
        <v>62</v>
      </c>
      <c r="X228" t="s">
        <v>443</v>
      </c>
      <c r="Y228" t="s">
        <v>121</v>
      </c>
      <c r="Z228">
        <v>11</v>
      </c>
      <c r="AA228" t="s">
        <v>87</v>
      </c>
      <c r="AB228" t="s">
        <v>56</v>
      </c>
      <c r="AC228" t="s">
        <v>56</v>
      </c>
      <c r="AD228">
        <v>0</v>
      </c>
      <c r="AE228" t="s">
        <v>66</v>
      </c>
      <c r="AF228" t="s">
        <v>56</v>
      </c>
      <c r="AG228" t="s">
        <v>56</v>
      </c>
      <c r="AH228" t="s">
        <v>56</v>
      </c>
      <c r="AI228" t="s">
        <v>56</v>
      </c>
      <c r="AJ228" t="s">
        <v>149</v>
      </c>
      <c r="AK228" t="s">
        <v>150</v>
      </c>
      <c r="AL228" t="s">
        <v>1588</v>
      </c>
      <c r="AM228" t="s">
        <v>1589</v>
      </c>
      <c r="AN228" t="s">
        <v>489</v>
      </c>
      <c r="AO228" t="s">
        <v>490</v>
      </c>
      <c r="AP228" t="s">
        <v>56</v>
      </c>
      <c r="AQ228" t="s">
        <v>71</v>
      </c>
      <c r="AR228" t="s">
        <v>56</v>
      </c>
      <c r="AS228" t="s">
        <v>56</v>
      </c>
      <c r="AT228" t="s">
        <v>56</v>
      </c>
      <c r="AU228" t="s">
        <v>56</v>
      </c>
      <c r="AV228" t="s">
        <v>56</v>
      </c>
      <c r="AW228" t="s">
        <v>56</v>
      </c>
      <c r="AX228">
        <v>4</v>
      </c>
    </row>
    <row r="229" spans="1:50" x14ac:dyDescent="0.25">
      <c r="A229" t="str">
        <f>"20200124157017012484"</f>
        <v>20200124157017012484</v>
      </c>
      <c r="B229" t="s">
        <v>201</v>
      </c>
      <c r="C229" t="s">
        <v>201</v>
      </c>
      <c r="D229" t="s">
        <v>1590</v>
      </c>
      <c r="E229" t="str">
        <f>"080010003601"</f>
        <v>080010003601</v>
      </c>
      <c r="F229" t="s">
        <v>52</v>
      </c>
      <c r="G229">
        <v>802000955</v>
      </c>
      <c r="H229" t="s">
        <v>112</v>
      </c>
      <c r="I229" t="s">
        <v>218</v>
      </c>
      <c r="J229" t="s">
        <v>56</v>
      </c>
      <c r="K229" t="s">
        <v>54</v>
      </c>
      <c r="L229">
        <v>1042266406</v>
      </c>
      <c r="M229" t="s">
        <v>117</v>
      </c>
      <c r="N229" t="s">
        <v>600</v>
      </c>
      <c r="O229" t="s">
        <v>1591</v>
      </c>
      <c r="P229" t="s">
        <v>553</v>
      </c>
      <c r="Q229" t="s">
        <v>1592</v>
      </c>
      <c r="R229" t="s">
        <v>54</v>
      </c>
      <c r="S229">
        <v>1044432032</v>
      </c>
      <c r="T229" t="s">
        <v>76</v>
      </c>
      <c r="U229" t="s">
        <v>132</v>
      </c>
      <c r="V229" t="s">
        <v>406</v>
      </c>
      <c r="W229" t="s">
        <v>1116</v>
      </c>
      <c r="X229" t="s">
        <v>1593</v>
      </c>
      <c r="Y229" t="s">
        <v>121</v>
      </c>
      <c r="Z229">
        <v>12</v>
      </c>
      <c r="AA229" t="s">
        <v>65</v>
      </c>
      <c r="AB229" t="s">
        <v>56</v>
      </c>
      <c r="AC229" t="s">
        <v>56</v>
      </c>
      <c r="AD229">
        <v>0</v>
      </c>
      <c r="AE229" t="s">
        <v>66</v>
      </c>
      <c r="AF229" t="s">
        <v>56</v>
      </c>
      <c r="AG229" t="s">
        <v>56</v>
      </c>
      <c r="AH229" t="s">
        <v>56</v>
      </c>
      <c r="AI229" t="s">
        <v>56</v>
      </c>
      <c r="AJ229" t="s">
        <v>536</v>
      </c>
      <c r="AK229" t="s">
        <v>537</v>
      </c>
      <c r="AL229" t="s">
        <v>1594</v>
      </c>
      <c r="AM229" t="s">
        <v>1595</v>
      </c>
      <c r="AN229" t="s">
        <v>56</v>
      </c>
      <c r="AO229" t="s">
        <v>56</v>
      </c>
      <c r="AP229" t="s">
        <v>56</v>
      </c>
      <c r="AQ229" t="s">
        <v>71</v>
      </c>
      <c r="AR229" t="s">
        <v>56</v>
      </c>
      <c r="AS229" t="s">
        <v>56</v>
      </c>
      <c r="AT229" t="s">
        <v>56</v>
      </c>
      <c r="AU229" t="s">
        <v>56</v>
      </c>
      <c r="AV229" t="s">
        <v>56</v>
      </c>
      <c r="AW229" t="s">
        <v>56</v>
      </c>
      <c r="AX229">
        <v>4</v>
      </c>
    </row>
    <row r="230" spans="1:50" x14ac:dyDescent="0.25">
      <c r="A230" t="str">
        <f>"20200124180017024383"</f>
        <v>20200124180017024383</v>
      </c>
      <c r="B230" t="s">
        <v>201</v>
      </c>
      <c r="C230" t="s">
        <v>201</v>
      </c>
      <c r="D230" t="s">
        <v>1596</v>
      </c>
      <c r="E230" t="str">
        <f>"200010205401"</f>
        <v>200010205401</v>
      </c>
      <c r="F230" t="s">
        <v>52</v>
      </c>
      <c r="G230">
        <v>901058547</v>
      </c>
      <c r="H230">
        <v>20001</v>
      </c>
      <c r="I230" t="s">
        <v>512</v>
      </c>
      <c r="J230" t="s">
        <v>513</v>
      </c>
      <c r="K230" t="s">
        <v>54</v>
      </c>
      <c r="L230">
        <v>91506875</v>
      </c>
      <c r="M230" t="s">
        <v>76</v>
      </c>
      <c r="N230" t="s">
        <v>424</v>
      </c>
      <c r="O230" t="s">
        <v>1054</v>
      </c>
      <c r="P230" t="s">
        <v>324</v>
      </c>
      <c r="Q230">
        <v>5156</v>
      </c>
      <c r="R230" t="s">
        <v>54</v>
      </c>
      <c r="S230">
        <v>23109421</v>
      </c>
      <c r="T230" t="s">
        <v>1321</v>
      </c>
      <c r="U230" t="s">
        <v>62</v>
      </c>
      <c r="V230" t="s">
        <v>169</v>
      </c>
      <c r="W230" t="s">
        <v>1513</v>
      </c>
      <c r="X230" t="s">
        <v>1597</v>
      </c>
      <c r="Y230" t="s">
        <v>86</v>
      </c>
      <c r="Z230">
        <v>12</v>
      </c>
      <c r="AA230" t="s">
        <v>65</v>
      </c>
      <c r="AB230" t="s">
        <v>56</v>
      </c>
      <c r="AC230" t="s">
        <v>56</v>
      </c>
      <c r="AD230">
        <v>0</v>
      </c>
      <c r="AE230" t="s">
        <v>66</v>
      </c>
      <c r="AF230" t="s">
        <v>56</v>
      </c>
      <c r="AG230" t="s">
        <v>56</v>
      </c>
      <c r="AH230" t="s">
        <v>56</v>
      </c>
      <c r="AI230" t="s">
        <v>56</v>
      </c>
      <c r="AJ230" t="s">
        <v>1357</v>
      </c>
      <c r="AK230" t="s">
        <v>1358</v>
      </c>
      <c r="AL230" t="s">
        <v>56</v>
      </c>
      <c r="AM230" t="s">
        <v>56</v>
      </c>
      <c r="AN230" t="s">
        <v>56</v>
      </c>
      <c r="AO230" t="s">
        <v>56</v>
      </c>
      <c r="AP230" t="s">
        <v>56</v>
      </c>
      <c r="AQ230" t="s">
        <v>71</v>
      </c>
      <c r="AR230" t="s">
        <v>56</v>
      </c>
      <c r="AS230" t="s">
        <v>56</v>
      </c>
      <c r="AT230" t="s">
        <v>56</v>
      </c>
      <c r="AU230" t="s">
        <v>56</v>
      </c>
      <c r="AV230" t="s">
        <v>56</v>
      </c>
      <c r="AW230" t="s">
        <v>56</v>
      </c>
      <c r="AX230">
        <v>4</v>
      </c>
    </row>
    <row r="231" spans="1:50" x14ac:dyDescent="0.25">
      <c r="A231" t="str">
        <f>"20200129170017103616"</f>
        <v>20200129170017103616</v>
      </c>
      <c r="B231" t="s">
        <v>72</v>
      </c>
      <c r="C231" t="s">
        <v>72</v>
      </c>
      <c r="D231" t="s">
        <v>1598</v>
      </c>
      <c r="E231" t="str">
        <f>"087580106601"</f>
        <v>087580106601</v>
      </c>
      <c r="F231" t="s">
        <v>52</v>
      </c>
      <c r="G231">
        <v>802009778</v>
      </c>
      <c r="H231" t="s">
        <v>74</v>
      </c>
      <c r="I231" t="s">
        <v>1157</v>
      </c>
      <c r="J231">
        <v>3183766379</v>
      </c>
      <c r="K231" t="s">
        <v>54</v>
      </c>
      <c r="L231">
        <v>1129581577</v>
      </c>
      <c r="M231" t="s">
        <v>1599</v>
      </c>
      <c r="N231" t="s">
        <v>1600</v>
      </c>
      <c r="O231" t="s">
        <v>1601</v>
      </c>
      <c r="P231" t="s">
        <v>109</v>
      </c>
      <c r="Q231" t="s">
        <v>1602</v>
      </c>
      <c r="R231" t="s">
        <v>54</v>
      </c>
      <c r="S231">
        <v>39025811</v>
      </c>
      <c r="T231" t="s">
        <v>296</v>
      </c>
      <c r="U231" t="s">
        <v>117</v>
      </c>
      <c r="V231" t="s">
        <v>324</v>
      </c>
      <c r="W231" t="s">
        <v>1603</v>
      </c>
      <c r="X231" t="s">
        <v>299</v>
      </c>
      <c r="Y231" t="s">
        <v>121</v>
      </c>
      <c r="Z231">
        <v>12</v>
      </c>
      <c r="AA231" t="s">
        <v>65</v>
      </c>
      <c r="AB231" t="s">
        <v>56</v>
      </c>
      <c r="AC231" t="s">
        <v>56</v>
      </c>
      <c r="AD231">
        <v>0</v>
      </c>
      <c r="AE231" t="s">
        <v>66</v>
      </c>
      <c r="AF231" t="s">
        <v>56</v>
      </c>
      <c r="AG231" t="s">
        <v>56</v>
      </c>
      <c r="AH231" t="s">
        <v>56</v>
      </c>
      <c r="AI231" t="s">
        <v>56</v>
      </c>
      <c r="AJ231" t="s">
        <v>255</v>
      </c>
      <c r="AK231" t="s">
        <v>256</v>
      </c>
      <c r="AL231" t="s">
        <v>56</v>
      </c>
      <c r="AM231" t="s">
        <v>56</v>
      </c>
      <c r="AN231" t="s">
        <v>56</v>
      </c>
      <c r="AO231" t="s">
        <v>56</v>
      </c>
      <c r="AP231" t="s">
        <v>56</v>
      </c>
      <c r="AQ231" t="s">
        <v>71</v>
      </c>
      <c r="AR231" t="s">
        <v>56</v>
      </c>
      <c r="AS231" t="s">
        <v>56</v>
      </c>
      <c r="AT231" t="s">
        <v>56</v>
      </c>
      <c r="AU231" t="s">
        <v>56</v>
      </c>
      <c r="AV231" t="s">
        <v>56</v>
      </c>
      <c r="AW231" t="s">
        <v>56</v>
      </c>
      <c r="AX231">
        <v>4</v>
      </c>
    </row>
    <row r="232" spans="1:50" x14ac:dyDescent="0.25">
      <c r="A232" t="str">
        <f>"20200129195017110204"</f>
        <v>20200129195017110204</v>
      </c>
      <c r="B232" t="s">
        <v>72</v>
      </c>
      <c r="C232" t="s">
        <v>72</v>
      </c>
      <c r="D232" t="s">
        <v>1604</v>
      </c>
      <c r="E232" t="str">
        <f>"085730084001"</f>
        <v>085730084001</v>
      </c>
      <c r="F232" t="s">
        <v>52</v>
      </c>
      <c r="G232">
        <v>800161687</v>
      </c>
      <c r="H232" t="s">
        <v>1605</v>
      </c>
      <c r="I232" t="s">
        <v>1606</v>
      </c>
      <c r="J232">
        <v>3850055</v>
      </c>
      <c r="K232" t="s">
        <v>54</v>
      </c>
      <c r="L232">
        <v>3744932</v>
      </c>
      <c r="M232" t="s">
        <v>1607</v>
      </c>
      <c r="N232" t="s">
        <v>76</v>
      </c>
      <c r="O232" t="s">
        <v>376</v>
      </c>
      <c r="P232" t="s">
        <v>117</v>
      </c>
      <c r="Q232">
        <v>6355</v>
      </c>
      <c r="R232" t="s">
        <v>54</v>
      </c>
      <c r="S232">
        <v>92518737</v>
      </c>
      <c r="T232" t="s">
        <v>1608</v>
      </c>
      <c r="U232" t="s">
        <v>1609</v>
      </c>
      <c r="V232" t="s">
        <v>1610</v>
      </c>
      <c r="W232" t="s">
        <v>1611</v>
      </c>
      <c r="X232" t="s">
        <v>605</v>
      </c>
      <c r="Y232" t="s">
        <v>330</v>
      </c>
      <c r="Z232">
        <v>11</v>
      </c>
      <c r="AA232" t="s">
        <v>87</v>
      </c>
      <c r="AB232" t="s">
        <v>56</v>
      </c>
      <c r="AC232" t="s">
        <v>56</v>
      </c>
      <c r="AD232">
        <v>0</v>
      </c>
      <c r="AE232" t="s">
        <v>66</v>
      </c>
      <c r="AF232" t="s">
        <v>56</v>
      </c>
      <c r="AG232" t="s">
        <v>56</v>
      </c>
      <c r="AH232" t="s">
        <v>56</v>
      </c>
      <c r="AI232" t="s">
        <v>56</v>
      </c>
      <c r="AJ232" t="s">
        <v>1612</v>
      </c>
      <c r="AK232" t="s">
        <v>1613</v>
      </c>
      <c r="AL232" t="s">
        <v>1614</v>
      </c>
      <c r="AM232" t="s">
        <v>1615</v>
      </c>
      <c r="AN232" t="s">
        <v>56</v>
      </c>
      <c r="AO232" t="s">
        <v>56</v>
      </c>
      <c r="AP232" t="s">
        <v>56</v>
      </c>
      <c r="AQ232" t="s">
        <v>71</v>
      </c>
      <c r="AR232" t="s">
        <v>56</v>
      </c>
      <c r="AS232" t="s">
        <v>56</v>
      </c>
      <c r="AT232" t="s">
        <v>56</v>
      </c>
      <c r="AU232" t="s">
        <v>56</v>
      </c>
      <c r="AV232" t="s">
        <v>56</v>
      </c>
      <c r="AW232" t="s">
        <v>56</v>
      </c>
      <c r="AX232">
        <v>4</v>
      </c>
    </row>
    <row r="233" spans="1:50" x14ac:dyDescent="0.25">
      <c r="A233" t="str">
        <f>"20200127175017058168"</f>
        <v>20200127175017058168</v>
      </c>
      <c r="B233" t="s">
        <v>190</v>
      </c>
      <c r="C233" t="s">
        <v>190</v>
      </c>
      <c r="D233" t="s">
        <v>1616</v>
      </c>
      <c r="E233" t="str">
        <f>"470580002301"</f>
        <v>470580002301</v>
      </c>
      <c r="F233" t="s">
        <v>52</v>
      </c>
      <c r="G233">
        <v>819001107</v>
      </c>
      <c r="H233">
        <v>47058</v>
      </c>
      <c r="I233" t="s">
        <v>626</v>
      </c>
      <c r="J233">
        <v>4258152</v>
      </c>
      <c r="K233" t="s">
        <v>54</v>
      </c>
      <c r="L233">
        <v>22585117</v>
      </c>
      <c r="M233" t="s">
        <v>577</v>
      </c>
      <c r="N233" t="s">
        <v>627</v>
      </c>
      <c r="O233" t="s">
        <v>194</v>
      </c>
      <c r="P233" t="s">
        <v>517</v>
      </c>
      <c r="Q233">
        <v>472587</v>
      </c>
      <c r="R233" t="s">
        <v>54</v>
      </c>
      <c r="S233">
        <v>39067675</v>
      </c>
      <c r="T233" t="s">
        <v>1617</v>
      </c>
      <c r="U233" t="s">
        <v>1618</v>
      </c>
      <c r="V233" t="s">
        <v>179</v>
      </c>
      <c r="W233" t="s">
        <v>1619</v>
      </c>
      <c r="X233" t="s">
        <v>344</v>
      </c>
      <c r="Y233" t="s">
        <v>345</v>
      </c>
      <c r="Z233">
        <v>11</v>
      </c>
      <c r="AA233" t="s">
        <v>87</v>
      </c>
      <c r="AB233" t="s">
        <v>56</v>
      </c>
      <c r="AC233" t="s">
        <v>56</v>
      </c>
      <c r="AD233">
        <v>0</v>
      </c>
      <c r="AE233" t="s">
        <v>66</v>
      </c>
      <c r="AF233" t="s">
        <v>56</v>
      </c>
      <c r="AG233" t="s">
        <v>56</v>
      </c>
      <c r="AH233" t="s">
        <v>56</v>
      </c>
      <c r="AI233" t="s">
        <v>56</v>
      </c>
      <c r="AJ233" t="s">
        <v>1080</v>
      </c>
      <c r="AK233" t="s">
        <v>1081</v>
      </c>
      <c r="AL233" t="s">
        <v>56</v>
      </c>
      <c r="AM233" t="s">
        <v>56</v>
      </c>
      <c r="AN233" t="s">
        <v>56</v>
      </c>
      <c r="AO233" t="s">
        <v>56</v>
      </c>
      <c r="AP233" t="s">
        <v>56</v>
      </c>
      <c r="AQ233" t="s">
        <v>71</v>
      </c>
      <c r="AR233" t="s">
        <v>56</v>
      </c>
      <c r="AS233" t="s">
        <v>56</v>
      </c>
      <c r="AT233" t="s">
        <v>56</v>
      </c>
      <c r="AU233" t="s">
        <v>56</v>
      </c>
      <c r="AV233" t="s">
        <v>56</v>
      </c>
      <c r="AW233" t="s">
        <v>56</v>
      </c>
      <c r="AX233">
        <v>4</v>
      </c>
    </row>
    <row r="234" spans="1:50" x14ac:dyDescent="0.25">
      <c r="A234" t="str">
        <f>"20200130159017135517"</f>
        <v>20200130159017135517</v>
      </c>
      <c r="B234" t="s">
        <v>124</v>
      </c>
      <c r="C234" t="s">
        <v>124</v>
      </c>
      <c r="D234" t="s">
        <v>1620</v>
      </c>
      <c r="E234" t="str">
        <f>"700010096901"</f>
        <v>700010096901</v>
      </c>
      <c r="F234" t="s">
        <v>52</v>
      </c>
      <c r="G234">
        <v>900118990</v>
      </c>
      <c r="H234">
        <v>70001</v>
      </c>
      <c r="I234" t="s">
        <v>869</v>
      </c>
      <c r="J234">
        <v>2761605</v>
      </c>
      <c r="K234" t="s">
        <v>54</v>
      </c>
      <c r="L234">
        <v>22803718</v>
      </c>
      <c r="M234" t="s">
        <v>1621</v>
      </c>
      <c r="N234" t="s">
        <v>56</v>
      </c>
      <c r="O234" t="s">
        <v>1622</v>
      </c>
      <c r="P234" t="s">
        <v>1623</v>
      </c>
      <c r="Q234" t="s">
        <v>1624</v>
      </c>
      <c r="R234" t="s">
        <v>237</v>
      </c>
      <c r="S234">
        <v>1066174526</v>
      </c>
      <c r="T234" t="s">
        <v>291</v>
      </c>
      <c r="U234" t="s">
        <v>1222</v>
      </c>
      <c r="V234" t="s">
        <v>99</v>
      </c>
      <c r="W234" t="s">
        <v>1625</v>
      </c>
      <c r="X234" t="s">
        <v>1626</v>
      </c>
      <c r="Y234" t="s">
        <v>136</v>
      </c>
      <c r="Z234">
        <v>11</v>
      </c>
      <c r="AA234" t="s">
        <v>87</v>
      </c>
      <c r="AB234" t="s">
        <v>56</v>
      </c>
      <c r="AC234" t="s">
        <v>56</v>
      </c>
      <c r="AD234">
        <v>1</v>
      </c>
      <c r="AE234" t="s">
        <v>1627</v>
      </c>
      <c r="AF234" t="s">
        <v>1628</v>
      </c>
      <c r="AG234" t="s">
        <v>1629</v>
      </c>
      <c r="AH234">
        <v>1</v>
      </c>
      <c r="AI234" t="s">
        <v>1627</v>
      </c>
      <c r="AJ234" t="s">
        <v>56</v>
      </c>
      <c r="AK234" t="s">
        <v>56</v>
      </c>
      <c r="AL234" t="s">
        <v>56</v>
      </c>
      <c r="AM234" t="s">
        <v>56</v>
      </c>
      <c r="AN234" t="s">
        <v>56</v>
      </c>
      <c r="AO234" t="s">
        <v>56</v>
      </c>
      <c r="AP234" t="s">
        <v>56</v>
      </c>
      <c r="AQ234" t="s">
        <v>71</v>
      </c>
      <c r="AR234" t="s">
        <v>56</v>
      </c>
      <c r="AS234" t="s">
        <v>56</v>
      </c>
      <c r="AT234" t="s">
        <v>56</v>
      </c>
      <c r="AU234" t="s">
        <v>56</v>
      </c>
      <c r="AV234" t="s">
        <v>56</v>
      </c>
      <c r="AW234" t="s">
        <v>56</v>
      </c>
      <c r="AX234">
        <v>4</v>
      </c>
    </row>
    <row r="235" spans="1:50" x14ac:dyDescent="0.25">
      <c r="A235" t="str">
        <f>"20200130151017135552"</f>
        <v>20200130151017135552</v>
      </c>
      <c r="B235" t="s">
        <v>124</v>
      </c>
      <c r="C235" t="s">
        <v>124</v>
      </c>
      <c r="D235" t="s">
        <v>1630</v>
      </c>
      <c r="E235" t="str">
        <f>"702150038001"</f>
        <v>702150038001</v>
      </c>
      <c r="F235" t="s">
        <v>52</v>
      </c>
      <c r="G235">
        <v>890480113</v>
      </c>
      <c r="H235">
        <v>70215</v>
      </c>
      <c r="I235" t="s">
        <v>686</v>
      </c>
      <c r="J235">
        <v>2840011</v>
      </c>
      <c r="K235" t="s">
        <v>54</v>
      </c>
      <c r="L235">
        <v>73109295</v>
      </c>
      <c r="M235" t="s">
        <v>233</v>
      </c>
      <c r="N235" t="s">
        <v>155</v>
      </c>
      <c r="O235" t="s">
        <v>1631</v>
      </c>
      <c r="P235" t="s">
        <v>1092</v>
      </c>
      <c r="Q235" t="s">
        <v>1632</v>
      </c>
      <c r="R235" t="s">
        <v>54</v>
      </c>
      <c r="S235">
        <v>42206514</v>
      </c>
      <c r="T235" t="s">
        <v>1633</v>
      </c>
      <c r="U235" t="s">
        <v>117</v>
      </c>
      <c r="V235" t="s">
        <v>99</v>
      </c>
      <c r="W235" t="s">
        <v>1634</v>
      </c>
      <c r="X235" t="s">
        <v>1635</v>
      </c>
      <c r="Y235" t="s">
        <v>330</v>
      </c>
      <c r="Z235">
        <v>11</v>
      </c>
      <c r="AA235" t="s">
        <v>87</v>
      </c>
      <c r="AB235" t="s">
        <v>56</v>
      </c>
      <c r="AC235" t="s">
        <v>56</v>
      </c>
      <c r="AD235">
        <v>0</v>
      </c>
      <c r="AE235" t="s">
        <v>66</v>
      </c>
      <c r="AF235" t="s">
        <v>56</v>
      </c>
      <c r="AG235" t="s">
        <v>56</v>
      </c>
      <c r="AH235" t="s">
        <v>56</v>
      </c>
      <c r="AI235" t="s">
        <v>56</v>
      </c>
      <c r="AJ235" t="s">
        <v>1636</v>
      </c>
      <c r="AK235" t="s">
        <v>1637</v>
      </c>
      <c r="AL235" t="s">
        <v>56</v>
      </c>
      <c r="AM235" t="s">
        <v>56</v>
      </c>
      <c r="AN235" t="s">
        <v>56</v>
      </c>
      <c r="AO235" t="s">
        <v>56</v>
      </c>
      <c r="AP235" t="s">
        <v>56</v>
      </c>
      <c r="AQ235" t="s">
        <v>71</v>
      </c>
      <c r="AR235" t="s">
        <v>56</v>
      </c>
      <c r="AS235" t="s">
        <v>56</v>
      </c>
      <c r="AT235" t="s">
        <v>56</v>
      </c>
      <c r="AU235" t="s">
        <v>56</v>
      </c>
      <c r="AV235" t="s">
        <v>56</v>
      </c>
      <c r="AW235" t="s">
        <v>56</v>
      </c>
      <c r="AX235">
        <v>4</v>
      </c>
    </row>
    <row r="236" spans="1:50" x14ac:dyDescent="0.25">
      <c r="A236" t="str">
        <f>"20200131134017172754"</f>
        <v>20200131134017172754</v>
      </c>
      <c r="B236" t="s">
        <v>110</v>
      </c>
      <c r="C236" t="s">
        <v>110</v>
      </c>
      <c r="D236" t="s">
        <v>1638</v>
      </c>
      <c r="E236" t="str">
        <f>"761470681501"</f>
        <v>761470681501</v>
      </c>
      <c r="F236" t="s">
        <v>52</v>
      </c>
      <c r="G236">
        <v>830515000</v>
      </c>
      <c r="H236">
        <v>76147</v>
      </c>
      <c r="I236" t="s">
        <v>1217</v>
      </c>
      <c r="J236">
        <v>2145150</v>
      </c>
      <c r="K236" t="s">
        <v>54</v>
      </c>
      <c r="L236">
        <v>16231597</v>
      </c>
      <c r="M236" t="s">
        <v>1218</v>
      </c>
      <c r="N236" t="s">
        <v>1219</v>
      </c>
      <c r="O236" t="s">
        <v>1220</v>
      </c>
      <c r="P236" t="s">
        <v>1221</v>
      </c>
      <c r="Q236">
        <v>76257504</v>
      </c>
      <c r="R236" t="s">
        <v>54</v>
      </c>
      <c r="S236">
        <v>31425489</v>
      </c>
      <c r="T236" t="s">
        <v>1639</v>
      </c>
      <c r="U236" t="s">
        <v>62</v>
      </c>
      <c r="V236" t="s">
        <v>707</v>
      </c>
      <c r="W236" t="s">
        <v>560</v>
      </c>
      <c r="X236" t="s">
        <v>277</v>
      </c>
      <c r="Y236" t="s">
        <v>64</v>
      </c>
      <c r="Z236">
        <v>12</v>
      </c>
      <c r="AA236" t="s">
        <v>65</v>
      </c>
      <c r="AB236" t="s">
        <v>56</v>
      </c>
      <c r="AC236" t="s">
        <v>56</v>
      </c>
      <c r="AD236">
        <v>0</v>
      </c>
      <c r="AE236" t="s">
        <v>66</v>
      </c>
      <c r="AF236" t="s">
        <v>56</v>
      </c>
      <c r="AG236" t="s">
        <v>56</v>
      </c>
      <c r="AH236" t="s">
        <v>56</v>
      </c>
      <c r="AI236" t="s">
        <v>56</v>
      </c>
      <c r="AJ236" t="s">
        <v>669</v>
      </c>
      <c r="AK236" t="s">
        <v>670</v>
      </c>
      <c r="AL236" t="s">
        <v>56</v>
      </c>
      <c r="AM236" t="s">
        <v>56</v>
      </c>
      <c r="AN236" t="s">
        <v>56</v>
      </c>
      <c r="AO236" t="s">
        <v>56</v>
      </c>
      <c r="AP236" t="s">
        <v>56</v>
      </c>
      <c r="AQ236" t="s">
        <v>71</v>
      </c>
      <c r="AR236" t="s">
        <v>56</v>
      </c>
      <c r="AS236" t="s">
        <v>56</v>
      </c>
      <c r="AT236" t="s">
        <v>56</v>
      </c>
      <c r="AU236" t="s">
        <v>56</v>
      </c>
      <c r="AV236" t="s">
        <v>56</v>
      </c>
      <c r="AW236" t="s">
        <v>56</v>
      </c>
      <c r="AX236">
        <v>4</v>
      </c>
    </row>
    <row r="237" spans="1:50" x14ac:dyDescent="0.25">
      <c r="A237" t="str">
        <f>"20200124157016999767"</f>
        <v>20200124157016999767</v>
      </c>
      <c r="B237" t="s">
        <v>201</v>
      </c>
      <c r="C237" t="s">
        <v>201</v>
      </c>
      <c r="D237" t="s">
        <v>1640</v>
      </c>
      <c r="E237" t="str">
        <f>"761470728201"</f>
        <v>761470728201</v>
      </c>
      <c r="F237" t="s">
        <v>52</v>
      </c>
      <c r="G237">
        <v>900247710</v>
      </c>
      <c r="H237">
        <v>76147</v>
      </c>
      <c r="I237" t="s">
        <v>526</v>
      </c>
      <c r="J237">
        <v>2108988</v>
      </c>
      <c r="K237" t="s">
        <v>54</v>
      </c>
      <c r="L237">
        <v>18615571</v>
      </c>
      <c r="M237" t="s">
        <v>164</v>
      </c>
      <c r="N237" t="s">
        <v>527</v>
      </c>
      <c r="O237" t="s">
        <v>528</v>
      </c>
      <c r="P237" t="s">
        <v>249</v>
      </c>
      <c r="Q237" t="s">
        <v>529</v>
      </c>
      <c r="R237" t="s">
        <v>54</v>
      </c>
      <c r="S237">
        <v>31412820</v>
      </c>
      <c r="T237" t="s">
        <v>1154</v>
      </c>
      <c r="U237" t="s">
        <v>62</v>
      </c>
      <c r="V237" t="s">
        <v>801</v>
      </c>
      <c r="W237" t="s">
        <v>1334</v>
      </c>
      <c r="X237" t="s">
        <v>277</v>
      </c>
      <c r="Y237" t="s">
        <v>64</v>
      </c>
      <c r="Z237">
        <v>12</v>
      </c>
      <c r="AA237" t="s">
        <v>65</v>
      </c>
      <c r="AB237" t="s">
        <v>56</v>
      </c>
      <c r="AC237" t="s">
        <v>56</v>
      </c>
      <c r="AD237">
        <v>0</v>
      </c>
      <c r="AE237" t="s">
        <v>66</v>
      </c>
      <c r="AF237" t="s">
        <v>56</v>
      </c>
      <c r="AG237" t="s">
        <v>56</v>
      </c>
      <c r="AH237" t="s">
        <v>56</v>
      </c>
      <c r="AI237" t="s">
        <v>56</v>
      </c>
      <c r="AJ237" t="s">
        <v>545</v>
      </c>
      <c r="AK237" t="s">
        <v>546</v>
      </c>
      <c r="AL237" t="s">
        <v>536</v>
      </c>
      <c r="AM237" t="s">
        <v>537</v>
      </c>
      <c r="AN237" t="s">
        <v>56</v>
      </c>
      <c r="AO237" t="s">
        <v>56</v>
      </c>
      <c r="AP237" t="s">
        <v>56</v>
      </c>
      <c r="AQ237" t="s">
        <v>71</v>
      </c>
      <c r="AR237" t="s">
        <v>56</v>
      </c>
      <c r="AS237" t="s">
        <v>56</v>
      </c>
      <c r="AT237" t="s">
        <v>56</v>
      </c>
      <c r="AU237" t="s">
        <v>56</v>
      </c>
      <c r="AV237" t="s">
        <v>56</v>
      </c>
      <c r="AW237" t="s">
        <v>56</v>
      </c>
      <c r="AX237">
        <v>4</v>
      </c>
    </row>
    <row r="238" spans="1:50" x14ac:dyDescent="0.25">
      <c r="A238" t="str">
        <f>"20200126113017037412"</f>
        <v>20200126113017037412</v>
      </c>
      <c r="B238" t="s">
        <v>244</v>
      </c>
      <c r="C238" t="s">
        <v>244</v>
      </c>
      <c r="D238" t="s">
        <v>1641</v>
      </c>
      <c r="E238" t="str">
        <f>"080010349401"</f>
        <v>080010349401</v>
      </c>
      <c r="F238" t="s">
        <v>52</v>
      </c>
      <c r="G238">
        <v>900458308</v>
      </c>
      <c r="H238" t="s">
        <v>112</v>
      </c>
      <c r="I238" t="s">
        <v>370</v>
      </c>
      <c r="J238" t="s">
        <v>371</v>
      </c>
      <c r="K238" t="s">
        <v>54</v>
      </c>
      <c r="L238">
        <v>1143378811</v>
      </c>
      <c r="M238" t="s">
        <v>372</v>
      </c>
      <c r="N238" t="s">
        <v>373</v>
      </c>
      <c r="O238" t="s">
        <v>109</v>
      </c>
      <c r="P238" t="s">
        <v>374</v>
      </c>
      <c r="Q238">
        <v>1143378811</v>
      </c>
      <c r="R238" t="s">
        <v>54</v>
      </c>
      <c r="S238">
        <v>25756432</v>
      </c>
      <c r="T238" t="s">
        <v>1642</v>
      </c>
      <c r="U238" t="s">
        <v>62</v>
      </c>
      <c r="V238" t="s">
        <v>1643</v>
      </c>
      <c r="W238" t="s">
        <v>707</v>
      </c>
      <c r="X238" t="s">
        <v>120</v>
      </c>
      <c r="Y238" t="s">
        <v>121</v>
      </c>
      <c r="Z238">
        <v>12</v>
      </c>
      <c r="AA238" t="s">
        <v>65</v>
      </c>
      <c r="AB238" t="s">
        <v>56</v>
      </c>
      <c r="AC238" t="s">
        <v>56</v>
      </c>
      <c r="AD238">
        <v>0</v>
      </c>
      <c r="AE238" t="s">
        <v>66</v>
      </c>
      <c r="AF238" t="s">
        <v>56</v>
      </c>
      <c r="AG238" t="s">
        <v>56</v>
      </c>
      <c r="AH238" t="s">
        <v>56</v>
      </c>
      <c r="AI238" t="s">
        <v>56</v>
      </c>
      <c r="AJ238" t="s">
        <v>356</v>
      </c>
      <c r="AK238" t="s">
        <v>357</v>
      </c>
      <c r="AL238" t="s">
        <v>255</v>
      </c>
      <c r="AM238" t="s">
        <v>256</v>
      </c>
      <c r="AN238" t="s">
        <v>56</v>
      </c>
      <c r="AO238" t="s">
        <v>56</v>
      </c>
      <c r="AP238" t="s">
        <v>56</v>
      </c>
      <c r="AQ238" t="s">
        <v>71</v>
      </c>
      <c r="AR238" t="s">
        <v>56</v>
      </c>
      <c r="AS238" t="s">
        <v>56</v>
      </c>
      <c r="AT238" t="s">
        <v>56</v>
      </c>
      <c r="AU238" t="s">
        <v>56</v>
      </c>
      <c r="AV238" t="s">
        <v>56</v>
      </c>
      <c r="AW238" t="s">
        <v>56</v>
      </c>
      <c r="AX238">
        <v>4</v>
      </c>
    </row>
    <row r="239" spans="1:50" x14ac:dyDescent="0.25">
      <c r="A239" t="str">
        <f>"20200127191017047446"</f>
        <v>20200127191017047446</v>
      </c>
      <c r="B239" t="s">
        <v>190</v>
      </c>
      <c r="C239" t="s">
        <v>190</v>
      </c>
      <c r="D239" t="s">
        <v>1644</v>
      </c>
      <c r="E239" t="str">
        <f>"130010204801"</f>
        <v>130010204801</v>
      </c>
      <c r="F239" t="s">
        <v>52</v>
      </c>
      <c r="G239">
        <v>900233294</v>
      </c>
      <c r="H239">
        <v>13001</v>
      </c>
      <c r="I239" t="s">
        <v>1256</v>
      </c>
      <c r="J239">
        <v>6810230</v>
      </c>
      <c r="K239" t="s">
        <v>54</v>
      </c>
      <c r="L239">
        <v>91249926</v>
      </c>
      <c r="M239" t="s">
        <v>1645</v>
      </c>
      <c r="N239" t="s">
        <v>219</v>
      </c>
      <c r="O239" t="s">
        <v>1646</v>
      </c>
      <c r="P239" t="s">
        <v>263</v>
      </c>
      <c r="Q239">
        <v>1257</v>
      </c>
      <c r="R239" t="s">
        <v>237</v>
      </c>
      <c r="S239">
        <v>1047500116</v>
      </c>
      <c r="T239" t="s">
        <v>1351</v>
      </c>
      <c r="U239" t="s">
        <v>223</v>
      </c>
      <c r="V239" t="s">
        <v>1647</v>
      </c>
      <c r="W239" t="s">
        <v>568</v>
      </c>
      <c r="X239" t="s">
        <v>427</v>
      </c>
      <c r="Y239" t="s">
        <v>101</v>
      </c>
      <c r="Z239">
        <v>12</v>
      </c>
      <c r="AA239" t="s">
        <v>65</v>
      </c>
      <c r="AB239" t="s">
        <v>56</v>
      </c>
      <c r="AC239" t="s">
        <v>56</v>
      </c>
      <c r="AD239">
        <v>0</v>
      </c>
      <c r="AE239" t="s">
        <v>66</v>
      </c>
      <c r="AF239" t="s">
        <v>56</v>
      </c>
      <c r="AG239" t="s">
        <v>56</v>
      </c>
      <c r="AH239" t="s">
        <v>56</v>
      </c>
      <c r="AI239" t="s">
        <v>56</v>
      </c>
      <c r="AJ239" t="s">
        <v>1648</v>
      </c>
      <c r="AK239" t="s">
        <v>1649</v>
      </c>
      <c r="AL239" t="s">
        <v>56</v>
      </c>
      <c r="AM239" t="s">
        <v>56</v>
      </c>
      <c r="AN239" t="s">
        <v>56</v>
      </c>
      <c r="AO239" t="s">
        <v>56</v>
      </c>
      <c r="AP239" t="s">
        <v>56</v>
      </c>
      <c r="AQ239" t="s">
        <v>71</v>
      </c>
      <c r="AR239" t="s">
        <v>56</v>
      </c>
      <c r="AS239" t="s">
        <v>56</v>
      </c>
      <c r="AT239" t="s">
        <v>56</v>
      </c>
      <c r="AU239" t="s">
        <v>56</v>
      </c>
      <c r="AV239" t="s">
        <v>56</v>
      </c>
      <c r="AW239" t="s">
        <v>56</v>
      </c>
      <c r="AX239">
        <v>4</v>
      </c>
    </row>
    <row r="240" spans="1:50" x14ac:dyDescent="0.25">
      <c r="A240" t="str">
        <f>"20200124130017018406"</f>
        <v>20200124130017018406</v>
      </c>
      <c r="B240" t="s">
        <v>201</v>
      </c>
      <c r="C240" t="s">
        <v>201</v>
      </c>
      <c r="D240" t="s">
        <v>1650</v>
      </c>
      <c r="E240" t="str">
        <f>"080010022301"</f>
        <v>080010022301</v>
      </c>
      <c r="F240" t="s">
        <v>52</v>
      </c>
      <c r="G240">
        <v>72125229</v>
      </c>
      <c r="H240" t="s">
        <v>112</v>
      </c>
      <c r="I240" t="s">
        <v>303</v>
      </c>
      <c r="J240">
        <v>3781924</v>
      </c>
      <c r="K240" t="s">
        <v>54</v>
      </c>
      <c r="L240">
        <v>72125229</v>
      </c>
      <c r="M240" t="s">
        <v>304</v>
      </c>
      <c r="N240" t="s">
        <v>56</v>
      </c>
      <c r="O240" t="s">
        <v>305</v>
      </c>
      <c r="P240" t="s">
        <v>306</v>
      </c>
      <c r="Q240" t="s">
        <v>56</v>
      </c>
      <c r="R240" t="s">
        <v>54</v>
      </c>
      <c r="S240">
        <v>1193559190</v>
      </c>
      <c r="T240" t="s">
        <v>141</v>
      </c>
      <c r="U240" t="s">
        <v>296</v>
      </c>
      <c r="V240" t="s">
        <v>564</v>
      </c>
      <c r="W240" t="s">
        <v>324</v>
      </c>
      <c r="X240" t="s">
        <v>120</v>
      </c>
      <c r="Y240" t="s">
        <v>121</v>
      </c>
      <c r="Z240">
        <v>12</v>
      </c>
      <c r="AA240" t="s">
        <v>65</v>
      </c>
      <c r="AB240" t="s">
        <v>56</v>
      </c>
      <c r="AC240" t="s">
        <v>56</v>
      </c>
      <c r="AD240">
        <v>0</v>
      </c>
      <c r="AE240" t="s">
        <v>66</v>
      </c>
      <c r="AF240" t="s">
        <v>56</v>
      </c>
      <c r="AG240" t="s">
        <v>56</v>
      </c>
      <c r="AH240" t="s">
        <v>56</v>
      </c>
      <c r="AI240" t="s">
        <v>56</v>
      </c>
      <c r="AJ240" t="s">
        <v>310</v>
      </c>
      <c r="AK240" t="s">
        <v>311</v>
      </c>
      <c r="AL240" t="s">
        <v>56</v>
      </c>
      <c r="AM240" t="s">
        <v>56</v>
      </c>
      <c r="AN240" t="s">
        <v>56</v>
      </c>
      <c r="AO240" t="s">
        <v>56</v>
      </c>
      <c r="AP240" t="s">
        <v>56</v>
      </c>
      <c r="AQ240" t="s">
        <v>71</v>
      </c>
      <c r="AR240" t="s">
        <v>56</v>
      </c>
      <c r="AS240" t="s">
        <v>56</v>
      </c>
      <c r="AT240" t="s">
        <v>56</v>
      </c>
      <c r="AU240" t="s">
        <v>56</v>
      </c>
      <c r="AV240" t="s">
        <v>56</v>
      </c>
      <c r="AW240" t="s">
        <v>56</v>
      </c>
      <c r="AX240">
        <v>4</v>
      </c>
    </row>
    <row r="241" spans="1:50" x14ac:dyDescent="0.25">
      <c r="A241" t="str">
        <f>"20200201126017188946"</f>
        <v>20200201126017188946</v>
      </c>
      <c r="B241" t="s">
        <v>50</v>
      </c>
      <c r="C241" t="s">
        <v>50</v>
      </c>
      <c r="D241" t="s">
        <v>1651</v>
      </c>
      <c r="E241" t="str">
        <f>"050010217501"</f>
        <v>050010217501</v>
      </c>
      <c r="F241" t="s">
        <v>52</v>
      </c>
      <c r="G241">
        <v>890900518</v>
      </c>
      <c r="H241" t="s">
        <v>1652</v>
      </c>
      <c r="I241" t="s">
        <v>1653</v>
      </c>
      <c r="J241">
        <v>4441333</v>
      </c>
      <c r="K241" t="s">
        <v>54</v>
      </c>
      <c r="L241">
        <v>1088243037</v>
      </c>
      <c r="M241" t="s">
        <v>1179</v>
      </c>
      <c r="N241" t="s">
        <v>56</v>
      </c>
      <c r="O241" t="s">
        <v>425</v>
      </c>
      <c r="P241" t="s">
        <v>402</v>
      </c>
      <c r="Q241">
        <v>1088243037</v>
      </c>
      <c r="R241" t="s">
        <v>440</v>
      </c>
      <c r="S241">
        <v>1076336801</v>
      </c>
      <c r="T241" t="s">
        <v>1654</v>
      </c>
      <c r="U241" t="s">
        <v>62</v>
      </c>
      <c r="V241" t="s">
        <v>1655</v>
      </c>
      <c r="W241" t="s">
        <v>1656</v>
      </c>
      <c r="X241" t="s">
        <v>1657</v>
      </c>
      <c r="Y241" t="s">
        <v>717</v>
      </c>
      <c r="Z241">
        <v>22</v>
      </c>
      <c r="AA241" t="s">
        <v>102</v>
      </c>
      <c r="AB241">
        <v>0</v>
      </c>
      <c r="AC241" t="s">
        <v>66</v>
      </c>
      <c r="AD241">
        <v>0</v>
      </c>
      <c r="AE241" t="s">
        <v>66</v>
      </c>
      <c r="AF241" t="s">
        <v>56</v>
      </c>
      <c r="AG241" t="s">
        <v>56</v>
      </c>
      <c r="AH241" t="s">
        <v>56</v>
      </c>
      <c r="AI241" t="s">
        <v>56</v>
      </c>
      <c r="AJ241" t="s">
        <v>1658</v>
      </c>
      <c r="AK241" t="s">
        <v>1659</v>
      </c>
      <c r="AL241" t="s">
        <v>56</v>
      </c>
      <c r="AM241" t="s">
        <v>56</v>
      </c>
      <c r="AN241" t="s">
        <v>56</v>
      </c>
      <c r="AO241" t="s">
        <v>56</v>
      </c>
      <c r="AP241" t="s">
        <v>56</v>
      </c>
      <c r="AQ241" t="s">
        <v>71</v>
      </c>
      <c r="AR241" t="s">
        <v>56</v>
      </c>
      <c r="AS241" t="s">
        <v>56</v>
      </c>
      <c r="AT241" t="s">
        <v>56</v>
      </c>
      <c r="AU241" t="s">
        <v>56</v>
      </c>
      <c r="AV241" t="s">
        <v>56</v>
      </c>
      <c r="AW241" t="s">
        <v>56</v>
      </c>
      <c r="AX241">
        <v>4</v>
      </c>
    </row>
    <row r="242" spans="1:50" x14ac:dyDescent="0.25">
      <c r="A242" t="str">
        <f>"20200130155017128521"</f>
        <v>20200130155017128521</v>
      </c>
      <c r="B242" t="s">
        <v>124</v>
      </c>
      <c r="C242" t="s">
        <v>124</v>
      </c>
      <c r="D242" t="s">
        <v>1660</v>
      </c>
      <c r="E242" t="str">
        <f>"050010217501"</f>
        <v>050010217501</v>
      </c>
      <c r="F242" t="s">
        <v>52</v>
      </c>
      <c r="G242">
        <v>890900518</v>
      </c>
      <c r="H242" t="s">
        <v>1652</v>
      </c>
      <c r="I242" t="s">
        <v>1653</v>
      </c>
      <c r="J242">
        <v>4441333</v>
      </c>
      <c r="K242" t="s">
        <v>54</v>
      </c>
      <c r="L242">
        <v>1088254704</v>
      </c>
      <c r="M242" t="s">
        <v>1661</v>
      </c>
      <c r="N242" t="s">
        <v>962</v>
      </c>
      <c r="O242" t="s">
        <v>1662</v>
      </c>
      <c r="P242" t="s">
        <v>560</v>
      </c>
      <c r="Q242" t="s">
        <v>1663</v>
      </c>
      <c r="R242" t="s">
        <v>440</v>
      </c>
      <c r="S242">
        <v>1076336801</v>
      </c>
      <c r="T242" t="s">
        <v>1654</v>
      </c>
      <c r="U242" t="s">
        <v>62</v>
      </c>
      <c r="V242" t="s">
        <v>1655</v>
      </c>
      <c r="W242" t="s">
        <v>1656</v>
      </c>
      <c r="X242" t="s">
        <v>1657</v>
      </c>
      <c r="Y242" t="s">
        <v>717</v>
      </c>
      <c r="Z242">
        <v>22</v>
      </c>
      <c r="AA242" t="s">
        <v>102</v>
      </c>
      <c r="AB242">
        <v>0</v>
      </c>
      <c r="AC242" t="s">
        <v>66</v>
      </c>
      <c r="AD242">
        <v>0</v>
      </c>
      <c r="AE242" t="s">
        <v>66</v>
      </c>
      <c r="AF242" t="s">
        <v>56</v>
      </c>
      <c r="AG242" t="s">
        <v>56</v>
      </c>
      <c r="AH242" t="s">
        <v>56</v>
      </c>
      <c r="AI242" t="s">
        <v>56</v>
      </c>
      <c r="AJ242" t="s">
        <v>828</v>
      </c>
      <c r="AK242" t="s">
        <v>829</v>
      </c>
      <c r="AL242" t="s">
        <v>56</v>
      </c>
      <c r="AM242" t="s">
        <v>56</v>
      </c>
      <c r="AN242" t="s">
        <v>56</v>
      </c>
      <c r="AO242" t="s">
        <v>56</v>
      </c>
      <c r="AP242" t="s">
        <v>56</v>
      </c>
      <c r="AQ242" t="s">
        <v>71</v>
      </c>
      <c r="AR242" t="s">
        <v>56</v>
      </c>
      <c r="AS242" t="s">
        <v>56</v>
      </c>
      <c r="AT242" t="s">
        <v>56</v>
      </c>
      <c r="AU242" t="s">
        <v>56</v>
      </c>
      <c r="AV242" t="s">
        <v>56</v>
      </c>
      <c r="AW242" t="s">
        <v>56</v>
      </c>
      <c r="AX242">
        <v>4</v>
      </c>
    </row>
    <row r="243" spans="1:50" x14ac:dyDescent="0.25">
      <c r="A243" t="str">
        <f>"20200130129017147434"</f>
        <v>20200130129017147434</v>
      </c>
      <c r="B243" t="s">
        <v>124</v>
      </c>
      <c r="C243" t="s">
        <v>124</v>
      </c>
      <c r="D243" t="s">
        <v>1664</v>
      </c>
      <c r="E243" t="str">
        <f>"050010217501"</f>
        <v>050010217501</v>
      </c>
      <c r="F243" t="s">
        <v>52</v>
      </c>
      <c r="G243">
        <v>890900518</v>
      </c>
      <c r="H243" t="s">
        <v>1652</v>
      </c>
      <c r="I243" t="s">
        <v>1653</v>
      </c>
      <c r="J243">
        <v>4441333</v>
      </c>
      <c r="K243" t="s">
        <v>54</v>
      </c>
      <c r="L243">
        <v>1088243037</v>
      </c>
      <c r="M243" t="s">
        <v>1179</v>
      </c>
      <c r="N243" t="s">
        <v>56</v>
      </c>
      <c r="O243" t="s">
        <v>425</v>
      </c>
      <c r="P243" t="s">
        <v>402</v>
      </c>
      <c r="Q243">
        <v>1088243037</v>
      </c>
      <c r="R243" t="s">
        <v>440</v>
      </c>
      <c r="S243">
        <v>1076336801</v>
      </c>
      <c r="T243" t="s">
        <v>1654</v>
      </c>
      <c r="U243" t="s">
        <v>62</v>
      </c>
      <c r="V243" t="s">
        <v>1655</v>
      </c>
      <c r="W243" t="s">
        <v>1656</v>
      </c>
      <c r="X243" t="s">
        <v>1657</v>
      </c>
      <c r="Y243" t="s">
        <v>717</v>
      </c>
      <c r="Z243">
        <v>22</v>
      </c>
      <c r="AA243" t="s">
        <v>102</v>
      </c>
      <c r="AB243">
        <v>0</v>
      </c>
      <c r="AC243" t="s">
        <v>66</v>
      </c>
      <c r="AD243">
        <v>0</v>
      </c>
      <c r="AE243" t="s">
        <v>66</v>
      </c>
      <c r="AF243" t="s">
        <v>56</v>
      </c>
      <c r="AG243" t="s">
        <v>56</v>
      </c>
      <c r="AH243" t="s">
        <v>56</v>
      </c>
      <c r="AI243" t="s">
        <v>56</v>
      </c>
      <c r="AJ243" t="s">
        <v>1665</v>
      </c>
      <c r="AK243" t="s">
        <v>1666</v>
      </c>
      <c r="AL243" t="s">
        <v>56</v>
      </c>
      <c r="AM243" t="s">
        <v>56</v>
      </c>
      <c r="AN243" t="s">
        <v>56</v>
      </c>
      <c r="AO243" t="s">
        <v>56</v>
      </c>
      <c r="AP243" t="s">
        <v>56</v>
      </c>
      <c r="AQ243" t="s">
        <v>71</v>
      </c>
      <c r="AR243" t="s">
        <v>56</v>
      </c>
      <c r="AS243" t="s">
        <v>56</v>
      </c>
      <c r="AT243" t="s">
        <v>56</v>
      </c>
      <c r="AU243" t="s">
        <v>56</v>
      </c>
      <c r="AV243" t="s">
        <v>56</v>
      </c>
      <c r="AW243" t="s">
        <v>56</v>
      </c>
      <c r="AX243">
        <v>4</v>
      </c>
    </row>
    <row r="244" spans="1:50" x14ac:dyDescent="0.25">
      <c r="A244" t="str">
        <f>"20200130184017149233"</f>
        <v>20200130184017149233</v>
      </c>
      <c r="B244" t="s">
        <v>124</v>
      </c>
      <c r="C244" t="s">
        <v>124</v>
      </c>
      <c r="D244" t="s">
        <v>1667</v>
      </c>
      <c r="E244" t="str">
        <f>"200010205401"</f>
        <v>200010205401</v>
      </c>
      <c r="F244" t="s">
        <v>52</v>
      </c>
      <c r="G244">
        <v>901058547</v>
      </c>
      <c r="H244">
        <v>20001</v>
      </c>
      <c r="I244" t="s">
        <v>512</v>
      </c>
      <c r="J244" t="s">
        <v>513</v>
      </c>
      <c r="K244" t="s">
        <v>54</v>
      </c>
      <c r="L244">
        <v>18937856</v>
      </c>
      <c r="M244" t="s">
        <v>81</v>
      </c>
      <c r="N244" t="s">
        <v>164</v>
      </c>
      <c r="O244" t="s">
        <v>816</v>
      </c>
      <c r="P244" t="s">
        <v>425</v>
      </c>
      <c r="Q244" t="s">
        <v>817</v>
      </c>
      <c r="R244" t="s">
        <v>54</v>
      </c>
      <c r="S244">
        <v>40791626</v>
      </c>
      <c r="T244" t="s">
        <v>1668</v>
      </c>
      <c r="U244" t="s">
        <v>117</v>
      </c>
      <c r="V244" t="s">
        <v>79</v>
      </c>
      <c r="W244" t="s">
        <v>194</v>
      </c>
      <c r="X244" t="s">
        <v>462</v>
      </c>
      <c r="Y244" t="s">
        <v>86</v>
      </c>
      <c r="Z244">
        <v>12</v>
      </c>
      <c r="AA244" t="s">
        <v>65</v>
      </c>
      <c r="AB244" t="s">
        <v>56</v>
      </c>
      <c r="AC244" t="s">
        <v>56</v>
      </c>
      <c r="AD244">
        <v>0</v>
      </c>
      <c r="AE244" t="s">
        <v>66</v>
      </c>
      <c r="AF244" t="s">
        <v>56</v>
      </c>
      <c r="AG244" t="s">
        <v>56</v>
      </c>
      <c r="AH244" t="s">
        <v>56</v>
      </c>
      <c r="AI244" t="s">
        <v>56</v>
      </c>
      <c r="AJ244" t="s">
        <v>866</v>
      </c>
      <c r="AK244" t="s">
        <v>867</v>
      </c>
      <c r="AL244" t="s">
        <v>1669</v>
      </c>
      <c r="AM244" t="s">
        <v>1670</v>
      </c>
      <c r="AN244" t="s">
        <v>56</v>
      </c>
      <c r="AO244" t="s">
        <v>56</v>
      </c>
      <c r="AP244" t="s">
        <v>56</v>
      </c>
      <c r="AQ244" t="s">
        <v>71</v>
      </c>
      <c r="AR244" t="s">
        <v>56</v>
      </c>
      <c r="AS244" t="s">
        <v>56</v>
      </c>
      <c r="AT244" t="s">
        <v>56</v>
      </c>
      <c r="AU244" t="s">
        <v>56</v>
      </c>
      <c r="AV244" t="s">
        <v>56</v>
      </c>
      <c r="AW244" t="s">
        <v>56</v>
      </c>
      <c r="AX244">
        <v>4</v>
      </c>
    </row>
    <row r="245" spans="1:50" x14ac:dyDescent="0.25">
      <c r="A245" t="str">
        <f>"20200129111017106850"</f>
        <v>20200129111017106850</v>
      </c>
      <c r="B245" t="s">
        <v>72</v>
      </c>
      <c r="C245" t="s">
        <v>72</v>
      </c>
      <c r="D245" t="s">
        <v>1671</v>
      </c>
      <c r="E245" t="str">
        <f>"134300290801"</f>
        <v>134300290801</v>
      </c>
      <c r="F245" t="s">
        <v>52</v>
      </c>
      <c r="G245">
        <v>800033723</v>
      </c>
      <c r="H245">
        <v>13430</v>
      </c>
      <c r="I245" t="s">
        <v>1672</v>
      </c>
      <c r="J245">
        <v>3187117423</v>
      </c>
      <c r="K245" t="s">
        <v>54</v>
      </c>
      <c r="L245">
        <v>92499913</v>
      </c>
      <c r="M245" t="s">
        <v>164</v>
      </c>
      <c r="N245" t="s">
        <v>234</v>
      </c>
      <c r="O245" t="s">
        <v>726</v>
      </c>
      <c r="P245" t="s">
        <v>1673</v>
      </c>
      <c r="Q245">
        <v>1337</v>
      </c>
      <c r="R245" t="s">
        <v>54</v>
      </c>
      <c r="S245">
        <v>1052984309</v>
      </c>
      <c r="T245" t="s">
        <v>1674</v>
      </c>
      <c r="U245" t="s">
        <v>519</v>
      </c>
      <c r="V245" t="s">
        <v>1675</v>
      </c>
      <c r="W245" t="s">
        <v>1385</v>
      </c>
      <c r="X245" t="s">
        <v>183</v>
      </c>
      <c r="Y245" t="s">
        <v>101</v>
      </c>
      <c r="Z245">
        <v>12</v>
      </c>
      <c r="AA245" t="s">
        <v>65</v>
      </c>
      <c r="AB245" t="s">
        <v>56</v>
      </c>
      <c r="AC245" t="s">
        <v>56</v>
      </c>
      <c r="AD245">
        <v>0</v>
      </c>
      <c r="AE245" t="s">
        <v>66</v>
      </c>
      <c r="AF245" t="s">
        <v>56</v>
      </c>
      <c r="AG245" t="s">
        <v>56</v>
      </c>
      <c r="AH245" t="s">
        <v>56</v>
      </c>
      <c r="AI245" t="s">
        <v>56</v>
      </c>
      <c r="AJ245" t="s">
        <v>1676</v>
      </c>
      <c r="AK245" t="s">
        <v>1677</v>
      </c>
      <c r="AL245" t="s">
        <v>56</v>
      </c>
      <c r="AM245" t="s">
        <v>56</v>
      </c>
      <c r="AN245" t="s">
        <v>56</v>
      </c>
      <c r="AO245" t="s">
        <v>56</v>
      </c>
      <c r="AP245" t="s">
        <v>56</v>
      </c>
      <c r="AQ245" t="s">
        <v>71</v>
      </c>
      <c r="AR245" t="s">
        <v>56</v>
      </c>
      <c r="AS245" t="s">
        <v>56</v>
      </c>
      <c r="AT245" t="s">
        <v>56</v>
      </c>
      <c r="AU245" t="s">
        <v>56</v>
      </c>
      <c r="AV245" t="s">
        <v>56</v>
      </c>
      <c r="AW245" t="s">
        <v>56</v>
      </c>
      <c r="AX245">
        <v>4</v>
      </c>
    </row>
    <row r="246" spans="1:50" x14ac:dyDescent="0.25">
      <c r="A246" t="str">
        <f>"20200127150017042022"</f>
        <v>20200127150017042022</v>
      </c>
      <c r="B246" t="s">
        <v>190</v>
      </c>
      <c r="C246" t="s">
        <v>190</v>
      </c>
      <c r="D246" t="s">
        <v>1678</v>
      </c>
      <c r="E246" t="str">
        <f>"470010060602"</f>
        <v>470010060602</v>
      </c>
      <c r="F246" t="s">
        <v>52</v>
      </c>
      <c r="G246">
        <v>800033723</v>
      </c>
      <c r="H246">
        <v>47001</v>
      </c>
      <c r="I246" t="s">
        <v>379</v>
      </c>
      <c r="J246">
        <v>4347857</v>
      </c>
      <c r="K246" t="s">
        <v>54</v>
      </c>
      <c r="L246">
        <v>12556428</v>
      </c>
      <c r="M246" t="s">
        <v>128</v>
      </c>
      <c r="N246" t="s">
        <v>380</v>
      </c>
      <c r="O246" t="s">
        <v>381</v>
      </c>
      <c r="P246" t="s">
        <v>78</v>
      </c>
      <c r="Q246">
        <v>2112</v>
      </c>
      <c r="R246" t="s">
        <v>54</v>
      </c>
      <c r="S246">
        <v>22358985</v>
      </c>
      <c r="T246" t="s">
        <v>117</v>
      </c>
      <c r="U246" t="s">
        <v>1679</v>
      </c>
      <c r="V246" t="s">
        <v>1168</v>
      </c>
      <c r="W246" t="s">
        <v>1680</v>
      </c>
      <c r="X246" t="s">
        <v>1045</v>
      </c>
      <c r="Y246" t="s">
        <v>345</v>
      </c>
      <c r="Z246">
        <v>12</v>
      </c>
      <c r="AA246" t="s">
        <v>65</v>
      </c>
      <c r="AB246" t="s">
        <v>56</v>
      </c>
      <c r="AC246" t="s">
        <v>56</v>
      </c>
      <c r="AD246">
        <v>0</v>
      </c>
      <c r="AE246" t="s">
        <v>66</v>
      </c>
      <c r="AF246" t="s">
        <v>56</v>
      </c>
      <c r="AG246" t="s">
        <v>56</v>
      </c>
      <c r="AH246" t="s">
        <v>56</v>
      </c>
      <c r="AI246" t="s">
        <v>56</v>
      </c>
      <c r="AJ246" t="s">
        <v>1681</v>
      </c>
      <c r="AK246" t="s">
        <v>1682</v>
      </c>
      <c r="AL246" t="s">
        <v>56</v>
      </c>
      <c r="AM246" t="s">
        <v>56</v>
      </c>
      <c r="AN246" t="s">
        <v>56</v>
      </c>
      <c r="AO246" t="s">
        <v>56</v>
      </c>
      <c r="AP246" t="s">
        <v>56</v>
      </c>
      <c r="AQ246" t="s">
        <v>71</v>
      </c>
      <c r="AR246" t="s">
        <v>56</v>
      </c>
      <c r="AS246" t="s">
        <v>56</v>
      </c>
      <c r="AT246" t="s">
        <v>56</v>
      </c>
      <c r="AU246" t="s">
        <v>56</v>
      </c>
      <c r="AV246" t="s">
        <v>56</v>
      </c>
      <c r="AW246" t="s">
        <v>56</v>
      </c>
      <c r="AX246">
        <v>4</v>
      </c>
    </row>
    <row r="247" spans="1:50" x14ac:dyDescent="0.25">
      <c r="A247" t="str">
        <f>"20200127188017042205"</f>
        <v>20200127188017042205</v>
      </c>
      <c r="B247" t="s">
        <v>190</v>
      </c>
      <c r="C247" t="s">
        <v>190</v>
      </c>
      <c r="D247" t="s">
        <v>1683</v>
      </c>
      <c r="E247" t="str">
        <f>"470010060602"</f>
        <v>470010060602</v>
      </c>
      <c r="F247" t="s">
        <v>52</v>
      </c>
      <c r="G247">
        <v>800033723</v>
      </c>
      <c r="H247">
        <v>47001</v>
      </c>
      <c r="I247" t="s">
        <v>379</v>
      </c>
      <c r="J247">
        <v>4347857</v>
      </c>
      <c r="K247" t="s">
        <v>54</v>
      </c>
      <c r="L247">
        <v>12556428</v>
      </c>
      <c r="M247" t="s">
        <v>128</v>
      </c>
      <c r="N247" t="s">
        <v>380</v>
      </c>
      <c r="O247" t="s">
        <v>381</v>
      </c>
      <c r="P247" t="s">
        <v>78</v>
      </c>
      <c r="Q247">
        <v>2112</v>
      </c>
      <c r="R247" t="s">
        <v>54</v>
      </c>
      <c r="S247">
        <v>22358985</v>
      </c>
      <c r="T247" t="s">
        <v>117</v>
      </c>
      <c r="U247" t="s">
        <v>1679</v>
      </c>
      <c r="V247" t="s">
        <v>1168</v>
      </c>
      <c r="W247" t="s">
        <v>1680</v>
      </c>
      <c r="X247" t="s">
        <v>1045</v>
      </c>
      <c r="Y247" t="s">
        <v>345</v>
      </c>
      <c r="Z247">
        <v>12</v>
      </c>
      <c r="AA247" t="s">
        <v>65</v>
      </c>
      <c r="AB247" t="s">
        <v>56</v>
      </c>
      <c r="AC247" t="s">
        <v>56</v>
      </c>
      <c r="AD247">
        <v>0</v>
      </c>
      <c r="AE247" t="s">
        <v>66</v>
      </c>
      <c r="AF247" t="s">
        <v>56</v>
      </c>
      <c r="AG247" t="s">
        <v>56</v>
      </c>
      <c r="AH247" t="s">
        <v>56</v>
      </c>
      <c r="AI247" t="s">
        <v>56</v>
      </c>
      <c r="AJ247" t="s">
        <v>1681</v>
      </c>
      <c r="AK247" t="s">
        <v>1682</v>
      </c>
      <c r="AL247" t="s">
        <v>56</v>
      </c>
      <c r="AM247" t="s">
        <v>56</v>
      </c>
      <c r="AN247" t="s">
        <v>56</v>
      </c>
      <c r="AO247" t="s">
        <v>56</v>
      </c>
      <c r="AP247" t="s">
        <v>56</v>
      </c>
      <c r="AQ247" t="s">
        <v>71</v>
      </c>
      <c r="AR247" t="s">
        <v>56</v>
      </c>
      <c r="AS247" t="s">
        <v>56</v>
      </c>
      <c r="AT247" t="s">
        <v>56</v>
      </c>
      <c r="AU247" t="s">
        <v>56</v>
      </c>
      <c r="AV247" t="s">
        <v>56</v>
      </c>
      <c r="AW247" t="s">
        <v>56</v>
      </c>
      <c r="AX247">
        <v>4</v>
      </c>
    </row>
    <row r="248" spans="1:50" x14ac:dyDescent="0.25">
      <c r="A248" t="str">
        <f>"20200131166017161104"</f>
        <v>20200131166017161104</v>
      </c>
      <c r="B248" t="s">
        <v>110</v>
      </c>
      <c r="C248" t="s">
        <v>110</v>
      </c>
      <c r="D248" t="s">
        <v>1684</v>
      </c>
      <c r="E248" t="str">
        <f>"080010022301"</f>
        <v>080010022301</v>
      </c>
      <c r="F248" t="s">
        <v>52</v>
      </c>
      <c r="G248">
        <v>72125229</v>
      </c>
      <c r="H248" t="s">
        <v>112</v>
      </c>
      <c r="I248" t="s">
        <v>303</v>
      </c>
      <c r="J248">
        <v>3781924</v>
      </c>
      <c r="K248" t="s">
        <v>54</v>
      </c>
      <c r="L248">
        <v>72125229</v>
      </c>
      <c r="M248" t="s">
        <v>304</v>
      </c>
      <c r="N248" t="s">
        <v>56</v>
      </c>
      <c r="O248" t="s">
        <v>305</v>
      </c>
      <c r="P248" t="s">
        <v>306</v>
      </c>
      <c r="Q248" t="s">
        <v>56</v>
      </c>
      <c r="R248" t="s">
        <v>237</v>
      </c>
      <c r="S248">
        <v>1043127275</v>
      </c>
      <c r="T248" t="s">
        <v>1685</v>
      </c>
      <c r="U248" t="s">
        <v>638</v>
      </c>
      <c r="V248" t="s">
        <v>101</v>
      </c>
      <c r="W248" t="s">
        <v>1686</v>
      </c>
      <c r="X248" t="s">
        <v>299</v>
      </c>
      <c r="Y248" t="s">
        <v>121</v>
      </c>
      <c r="Z248">
        <v>12</v>
      </c>
      <c r="AA248" t="s">
        <v>65</v>
      </c>
      <c r="AB248" t="s">
        <v>56</v>
      </c>
      <c r="AC248" t="s">
        <v>56</v>
      </c>
      <c r="AD248">
        <v>0</v>
      </c>
      <c r="AE248" t="s">
        <v>66</v>
      </c>
      <c r="AF248" t="s">
        <v>56</v>
      </c>
      <c r="AG248" t="s">
        <v>56</v>
      </c>
      <c r="AH248" t="s">
        <v>56</v>
      </c>
      <c r="AI248" t="s">
        <v>56</v>
      </c>
      <c r="AJ248" t="s">
        <v>310</v>
      </c>
      <c r="AK248" t="s">
        <v>311</v>
      </c>
      <c r="AL248" t="s">
        <v>56</v>
      </c>
      <c r="AM248" t="s">
        <v>56</v>
      </c>
      <c r="AN248" t="s">
        <v>56</v>
      </c>
      <c r="AO248" t="s">
        <v>56</v>
      </c>
      <c r="AP248" t="s">
        <v>56</v>
      </c>
      <c r="AQ248" t="s">
        <v>71</v>
      </c>
      <c r="AR248" t="s">
        <v>56</v>
      </c>
      <c r="AS248" t="s">
        <v>56</v>
      </c>
      <c r="AT248" t="s">
        <v>56</v>
      </c>
      <c r="AU248" t="s">
        <v>56</v>
      </c>
      <c r="AV248" t="s">
        <v>56</v>
      </c>
      <c r="AW248" t="s">
        <v>56</v>
      </c>
      <c r="AX248">
        <v>4</v>
      </c>
    </row>
    <row r="249" spans="1:50" x14ac:dyDescent="0.25">
      <c r="A249" t="str">
        <f>"20200128147017077888"</f>
        <v>20200128147017077888</v>
      </c>
      <c r="B249" t="s">
        <v>151</v>
      </c>
      <c r="C249" t="s">
        <v>151</v>
      </c>
      <c r="D249" t="s">
        <v>1687</v>
      </c>
      <c r="E249" t="str">
        <f>"200010067601"</f>
        <v>200010067601</v>
      </c>
      <c r="F249" t="s">
        <v>52</v>
      </c>
      <c r="G249">
        <v>824005694</v>
      </c>
      <c r="H249">
        <v>20001</v>
      </c>
      <c r="I249" t="s">
        <v>153</v>
      </c>
      <c r="J249">
        <v>5885989</v>
      </c>
      <c r="K249" t="s">
        <v>54</v>
      </c>
      <c r="L249">
        <v>40936825</v>
      </c>
      <c r="M249" t="s">
        <v>1688</v>
      </c>
      <c r="N249" t="s">
        <v>275</v>
      </c>
      <c r="O249" t="s">
        <v>425</v>
      </c>
      <c r="P249" t="s">
        <v>1689</v>
      </c>
      <c r="Q249">
        <v>200466</v>
      </c>
      <c r="R249" t="s">
        <v>54</v>
      </c>
      <c r="S249">
        <v>7509346</v>
      </c>
      <c r="T249" t="s">
        <v>1690</v>
      </c>
      <c r="U249" t="s">
        <v>62</v>
      </c>
      <c r="V249" t="s">
        <v>119</v>
      </c>
      <c r="W249" t="s">
        <v>62</v>
      </c>
      <c r="X249" t="s">
        <v>660</v>
      </c>
      <c r="Y249" t="s">
        <v>86</v>
      </c>
      <c r="Z249">
        <v>11</v>
      </c>
      <c r="AA249" t="s">
        <v>87</v>
      </c>
      <c r="AB249" t="s">
        <v>56</v>
      </c>
      <c r="AC249" t="s">
        <v>56</v>
      </c>
      <c r="AD249">
        <v>0</v>
      </c>
      <c r="AE249" t="s">
        <v>66</v>
      </c>
      <c r="AF249" t="s">
        <v>56</v>
      </c>
      <c r="AG249" t="s">
        <v>56</v>
      </c>
      <c r="AH249" t="s">
        <v>56</v>
      </c>
      <c r="AI249" t="s">
        <v>56</v>
      </c>
      <c r="AJ249" t="s">
        <v>1691</v>
      </c>
      <c r="AK249" t="s">
        <v>1692</v>
      </c>
      <c r="AL249" t="s">
        <v>56</v>
      </c>
      <c r="AM249" t="s">
        <v>56</v>
      </c>
      <c r="AN249" t="s">
        <v>56</v>
      </c>
      <c r="AO249" t="s">
        <v>56</v>
      </c>
      <c r="AP249" t="s">
        <v>56</v>
      </c>
      <c r="AQ249" t="s">
        <v>71</v>
      </c>
      <c r="AR249" t="s">
        <v>56</v>
      </c>
      <c r="AS249" t="s">
        <v>56</v>
      </c>
      <c r="AT249" t="s">
        <v>56</v>
      </c>
      <c r="AU249" t="s">
        <v>56</v>
      </c>
      <c r="AV249" t="s">
        <v>56</v>
      </c>
      <c r="AW249" t="s">
        <v>56</v>
      </c>
      <c r="AX249">
        <v>4</v>
      </c>
    </row>
    <row r="250" spans="1:50" x14ac:dyDescent="0.25">
      <c r="A250" t="str">
        <f>"20200128190017095176"</f>
        <v>20200128190017095176</v>
      </c>
      <c r="B250" t="s">
        <v>151</v>
      </c>
      <c r="C250" t="s">
        <v>151</v>
      </c>
      <c r="D250" t="s">
        <v>1693</v>
      </c>
      <c r="E250" t="str">
        <f>"080010409201"</f>
        <v>080010409201</v>
      </c>
      <c r="F250" t="s">
        <v>52</v>
      </c>
      <c r="G250">
        <v>900448414</v>
      </c>
      <c r="H250" t="s">
        <v>112</v>
      </c>
      <c r="I250" t="s">
        <v>785</v>
      </c>
      <c r="J250">
        <v>3545674</v>
      </c>
      <c r="K250" t="s">
        <v>338</v>
      </c>
      <c r="L250">
        <v>386560</v>
      </c>
      <c r="M250" t="s">
        <v>81</v>
      </c>
      <c r="N250" t="s">
        <v>563</v>
      </c>
      <c r="O250" t="s">
        <v>564</v>
      </c>
      <c r="P250" t="s">
        <v>565</v>
      </c>
      <c r="Q250">
        <v>386560</v>
      </c>
      <c r="R250" t="s">
        <v>54</v>
      </c>
      <c r="S250">
        <v>22400400</v>
      </c>
      <c r="T250" t="s">
        <v>600</v>
      </c>
      <c r="U250" t="s">
        <v>117</v>
      </c>
      <c r="V250" t="s">
        <v>1694</v>
      </c>
      <c r="W250" t="s">
        <v>1695</v>
      </c>
      <c r="X250" t="s">
        <v>120</v>
      </c>
      <c r="Y250" t="s">
        <v>121</v>
      </c>
      <c r="Z250">
        <v>12</v>
      </c>
      <c r="AA250" t="s">
        <v>65</v>
      </c>
      <c r="AB250" t="s">
        <v>56</v>
      </c>
      <c r="AC250" t="s">
        <v>56</v>
      </c>
      <c r="AD250">
        <v>0</v>
      </c>
      <c r="AE250" t="s">
        <v>66</v>
      </c>
      <c r="AF250" t="s">
        <v>56</v>
      </c>
      <c r="AG250" t="s">
        <v>56</v>
      </c>
      <c r="AH250" t="s">
        <v>56</v>
      </c>
      <c r="AI250" t="s">
        <v>56</v>
      </c>
      <c r="AJ250" t="s">
        <v>1696</v>
      </c>
      <c r="AK250" t="s">
        <v>1697</v>
      </c>
      <c r="AL250" t="s">
        <v>56</v>
      </c>
      <c r="AM250" t="s">
        <v>56</v>
      </c>
      <c r="AN250" t="s">
        <v>56</v>
      </c>
      <c r="AO250" t="s">
        <v>56</v>
      </c>
      <c r="AP250" t="s">
        <v>56</v>
      </c>
      <c r="AQ250" t="s">
        <v>71</v>
      </c>
      <c r="AR250" t="s">
        <v>56</v>
      </c>
      <c r="AS250" t="s">
        <v>56</v>
      </c>
      <c r="AT250" t="s">
        <v>56</v>
      </c>
      <c r="AU250" t="s">
        <v>56</v>
      </c>
      <c r="AV250" t="s">
        <v>56</v>
      </c>
      <c r="AW250" t="s">
        <v>56</v>
      </c>
      <c r="AX250">
        <v>4</v>
      </c>
    </row>
    <row r="251" spans="1:50" x14ac:dyDescent="0.25">
      <c r="A251" t="str">
        <f>"20200129139017113691"</f>
        <v>20200129139017113691</v>
      </c>
      <c r="B251" t="s">
        <v>72</v>
      </c>
      <c r="C251" t="s">
        <v>72</v>
      </c>
      <c r="D251" t="s">
        <v>1698</v>
      </c>
      <c r="E251" t="str">
        <f>"700010096901"</f>
        <v>700010096901</v>
      </c>
      <c r="F251" t="s">
        <v>52</v>
      </c>
      <c r="G251">
        <v>900118990</v>
      </c>
      <c r="H251">
        <v>70001</v>
      </c>
      <c r="I251" t="s">
        <v>869</v>
      </c>
      <c r="J251">
        <v>2761605</v>
      </c>
      <c r="K251" t="s">
        <v>54</v>
      </c>
      <c r="L251">
        <v>1104864752</v>
      </c>
      <c r="M251" t="s">
        <v>897</v>
      </c>
      <c r="N251" t="s">
        <v>1463</v>
      </c>
      <c r="O251" t="s">
        <v>1464</v>
      </c>
      <c r="P251" t="s">
        <v>1465</v>
      </c>
      <c r="Q251" t="s">
        <v>56</v>
      </c>
      <c r="R251" t="s">
        <v>54</v>
      </c>
      <c r="S251">
        <v>3922082</v>
      </c>
      <c r="T251" t="s">
        <v>219</v>
      </c>
      <c r="U251" t="s">
        <v>62</v>
      </c>
      <c r="V251" t="s">
        <v>119</v>
      </c>
      <c r="W251" t="s">
        <v>57</v>
      </c>
      <c r="X251" t="s">
        <v>394</v>
      </c>
      <c r="Y251" t="s">
        <v>330</v>
      </c>
      <c r="Z251">
        <v>12</v>
      </c>
      <c r="AA251" t="s">
        <v>65</v>
      </c>
      <c r="AB251" t="s">
        <v>56</v>
      </c>
      <c r="AC251" t="s">
        <v>56</v>
      </c>
      <c r="AD251">
        <v>0</v>
      </c>
      <c r="AE251" t="s">
        <v>66</v>
      </c>
      <c r="AF251" t="s">
        <v>56</v>
      </c>
      <c r="AG251" t="s">
        <v>56</v>
      </c>
      <c r="AH251" t="s">
        <v>56</v>
      </c>
      <c r="AI251" t="s">
        <v>56</v>
      </c>
      <c r="AJ251" t="s">
        <v>1467</v>
      </c>
      <c r="AK251" t="s">
        <v>1468</v>
      </c>
      <c r="AL251" t="s">
        <v>56</v>
      </c>
      <c r="AM251" t="s">
        <v>56</v>
      </c>
      <c r="AN251" t="s">
        <v>56</v>
      </c>
      <c r="AO251" t="s">
        <v>56</v>
      </c>
      <c r="AP251" t="s">
        <v>56</v>
      </c>
      <c r="AQ251" t="s">
        <v>71</v>
      </c>
      <c r="AR251" t="s">
        <v>56</v>
      </c>
      <c r="AS251" t="s">
        <v>56</v>
      </c>
      <c r="AT251" t="s">
        <v>56</v>
      </c>
      <c r="AU251" t="s">
        <v>56</v>
      </c>
      <c r="AV251" t="s">
        <v>56</v>
      </c>
      <c r="AW251" t="s">
        <v>56</v>
      </c>
      <c r="AX251">
        <v>4</v>
      </c>
    </row>
    <row r="252" spans="1:50" x14ac:dyDescent="0.25">
      <c r="A252" t="str">
        <f>"20200131157017157758"</f>
        <v>20200131157017157758</v>
      </c>
      <c r="B252" t="s">
        <v>110</v>
      </c>
      <c r="C252" t="s">
        <v>110</v>
      </c>
      <c r="D252" t="s">
        <v>1699</v>
      </c>
      <c r="E252" t="str">
        <f>"080010445433"</f>
        <v>080010445433</v>
      </c>
      <c r="F252" t="s">
        <v>52</v>
      </c>
      <c r="G252">
        <v>901139193</v>
      </c>
      <c r="H252" t="s">
        <v>112</v>
      </c>
      <c r="I252" t="s">
        <v>1700</v>
      </c>
      <c r="J252">
        <v>3781483</v>
      </c>
      <c r="K252" t="s">
        <v>54</v>
      </c>
      <c r="L252">
        <v>1042426704</v>
      </c>
      <c r="M252" t="s">
        <v>142</v>
      </c>
      <c r="N252" t="s">
        <v>205</v>
      </c>
      <c r="O252" t="s">
        <v>1385</v>
      </c>
      <c r="P252" t="s">
        <v>1701</v>
      </c>
      <c r="Q252" t="s">
        <v>1702</v>
      </c>
      <c r="R252" t="s">
        <v>54</v>
      </c>
      <c r="S252">
        <v>22280826</v>
      </c>
      <c r="T252" t="s">
        <v>373</v>
      </c>
      <c r="U252" t="s">
        <v>296</v>
      </c>
      <c r="V252" t="s">
        <v>1703</v>
      </c>
      <c r="W252" t="s">
        <v>181</v>
      </c>
      <c r="X252" t="s">
        <v>120</v>
      </c>
      <c r="Y252" t="s">
        <v>121</v>
      </c>
      <c r="Z252">
        <v>22</v>
      </c>
      <c r="AA252" t="s">
        <v>102</v>
      </c>
      <c r="AB252">
        <v>0</v>
      </c>
      <c r="AC252" t="s">
        <v>66</v>
      </c>
      <c r="AD252">
        <v>0</v>
      </c>
      <c r="AE252" t="s">
        <v>66</v>
      </c>
      <c r="AF252" t="s">
        <v>56</v>
      </c>
      <c r="AG252" t="s">
        <v>56</v>
      </c>
      <c r="AH252" t="s">
        <v>56</v>
      </c>
      <c r="AI252" t="s">
        <v>56</v>
      </c>
      <c r="AJ252" t="s">
        <v>122</v>
      </c>
      <c r="AK252" t="s">
        <v>123</v>
      </c>
      <c r="AL252" t="s">
        <v>482</v>
      </c>
      <c r="AM252" t="s">
        <v>483</v>
      </c>
      <c r="AN252" t="s">
        <v>56</v>
      </c>
      <c r="AO252" t="s">
        <v>56</v>
      </c>
      <c r="AP252" t="s">
        <v>56</v>
      </c>
      <c r="AQ252" t="s">
        <v>71</v>
      </c>
      <c r="AR252" t="s">
        <v>56</v>
      </c>
      <c r="AS252" t="s">
        <v>56</v>
      </c>
      <c r="AT252" t="s">
        <v>56</v>
      </c>
      <c r="AU252" t="s">
        <v>56</v>
      </c>
      <c r="AV252" t="s">
        <v>56</v>
      </c>
      <c r="AW252" t="s">
        <v>56</v>
      </c>
      <c r="AX252">
        <v>4</v>
      </c>
    </row>
    <row r="253" spans="1:50" x14ac:dyDescent="0.25">
      <c r="A253" t="str">
        <f>"20200127117017045212"</f>
        <v>20200127117017045212</v>
      </c>
      <c r="B253" t="s">
        <v>190</v>
      </c>
      <c r="C253" t="s">
        <v>190</v>
      </c>
      <c r="D253" t="s">
        <v>1704</v>
      </c>
      <c r="E253" t="str">
        <f>"700010026001"</f>
        <v>700010026001</v>
      </c>
      <c r="F253" t="s">
        <v>52</v>
      </c>
      <c r="G253">
        <v>892201100</v>
      </c>
      <c r="H253">
        <v>70001</v>
      </c>
      <c r="I253" t="s">
        <v>1705</v>
      </c>
      <c r="J253">
        <v>2743300</v>
      </c>
      <c r="K253" t="s">
        <v>54</v>
      </c>
      <c r="L253">
        <v>92499913</v>
      </c>
      <c r="M253" t="s">
        <v>164</v>
      </c>
      <c r="N253" t="s">
        <v>234</v>
      </c>
      <c r="O253" t="s">
        <v>726</v>
      </c>
      <c r="P253" t="s">
        <v>1673</v>
      </c>
      <c r="Q253">
        <v>1337</v>
      </c>
      <c r="R253" t="s">
        <v>54</v>
      </c>
      <c r="S253">
        <v>45578363</v>
      </c>
      <c r="T253" t="s">
        <v>1706</v>
      </c>
      <c r="U253" t="s">
        <v>62</v>
      </c>
      <c r="V253" t="s">
        <v>1707</v>
      </c>
      <c r="W253" t="s">
        <v>957</v>
      </c>
      <c r="X253" t="s">
        <v>1708</v>
      </c>
      <c r="Y253" t="s">
        <v>330</v>
      </c>
      <c r="Z253">
        <v>12</v>
      </c>
      <c r="AA253" t="s">
        <v>65</v>
      </c>
      <c r="AB253" t="s">
        <v>56</v>
      </c>
      <c r="AC253" t="s">
        <v>56</v>
      </c>
      <c r="AD253">
        <v>0</v>
      </c>
      <c r="AE253" t="s">
        <v>66</v>
      </c>
      <c r="AF253" t="s">
        <v>56</v>
      </c>
      <c r="AG253" t="s">
        <v>56</v>
      </c>
      <c r="AH253" t="s">
        <v>56</v>
      </c>
      <c r="AI253" t="s">
        <v>56</v>
      </c>
      <c r="AJ253" t="s">
        <v>1676</v>
      </c>
      <c r="AK253" t="s">
        <v>1677</v>
      </c>
      <c r="AL253" t="s">
        <v>56</v>
      </c>
      <c r="AM253" t="s">
        <v>56</v>
      </c>
      <c r="AN253" t="s">
        <v>56</v>
      </c>
      <c r="AO253" t="s">
        <v>56</v>
      </c>
      <c r="AP253" t="s">
        <v>56</v>
      </c>
      <c r="AQ253" t="s">
        <v>71</v>
      </c>
      <c r="AR253" t="s">
        <v>56</v>
      </c>
      <c r="AS253" t="s">
        <v>56</v>
      </c>
      <c r="AT253" t="s">
        <v>56</v>
      </c>
      <c r="AU253" t="s">
        <v>56</v>
      </c>
      <c r="AV253" t="s">
        <v>56</v>
      </c>
      <c r="AW253" t="s">
        <v>56</v>
      </c>
      <c r="AX253">
        <v>4</v>
      </c>
    </row>
    <row r="254" spans="1:50" x14ac:dyDescent="0.25">
      <c r="A254" t="str">
        <f>"20200129157017111330"</f>
        <v>20200129157017111330</v>
      </c>
      <c r="B254" t="s">
        <v>72</v>
      </c>
      <c r="C254" t="s">
        <v>72</v>
      </c>
      <c r="D254" t="s">
        <v>1709</v>
      </c>
      <c r="E254" t="str">
        <f>"200010083101"</f>
        <v>200010083101</v>
      </c>
      <c r="F254" t="s">
        <v>52</v>
      </c>
      <c r="G254">
        <v>900066797</v>
      </c>
      <c r="H254">
        <v>20001</v>
      </c>
      <c r="I254" t="s">
        <v>457</v>
      </c>
      <c r="J254" t="s">
        <v>458</v>
      </c>
      <c r="K254" t="s">
        <v>54</v>
      </c>
      <c r="L254">
        <v>49760462</v>
      </c>
      <c r="M254" t="s">
        <v>459</v>
      </c>
      <c r="N254" t="s">
        <v>117</v>
      </c>
      <c r="O254" t="s">
        <v>460</v>
      </c>
      <c r="P254" t="s">
        <v>403</v>
      </c>
      <c r="Q254">
        <v>8550</v>
      </c>
      <c r="R254" t="s">
        <v>54</v>
      </c>
      <c r="S254">
        <v>1062811119</v>
      </c>
      <c r="T254" t="s">
        <v>1710</v>
      </c>
      <c r="U254" t="s">
        <v>519</v>
      </c>
      <c r="V254" t="s">
        <v>1711</v>
      </c>
      <c r="W254" t="s">
        <v>198</v>
      </c>
      <c r="X254" t="s">
        <v>660</v>
      </c>
      <c r="Y254" t="s">
        <v>86</v>
      </c>
      <c r="Z254">
        <v>12</v>
      </c>
      <c r="AA254" t="s">
        <v>65</v>
      </c>
      <c r="AB254" t="s">
        <v>56</v>
      </c>
      <c r="AC254" t="s">
        <v>56</v>
      </c>
      <c r="AD254">
        <v>0</v>
      </c>
      <c r="AE254" t="s">
        <v>66</v>
      </c>
      <c r="AF254" t="s">
        <v>56</v>
      </c>
      <c r="AG254" t="s">
        <v>56</v>
      </c>
      <c r="AH254" t="s">
        <v>56</v>
      </c>
      <c r="AI254" t="s">
        <v>56</v>
      </c>
      <c r="AJ254" t="s">
        <v>463</v>
      </c>
      <c r="AK254" t="s">
        <v>464</v>
      </c>
      <c r="AL254" t="s">
        <v>56</v>
      </c>
      <c r="AM254" t="s">
        <v>56</v>
      </c>
      <c r="AN254" t="s">
        <v>56</v>
      </c>
      <c r="AO254" t="s">
        <v>56</v>
      </c>
      <c r="AP254" t="s">
        <v>56</v>
      </c>
      <c r="AQ254" t="s">
        <v>71</v>
      </c>
      <c r="AR254" t="s">
        <v>56</v>
      </c>
      <c r="AS254" t="s">
        <v>56</v>
      </c>
      <c r="AT254" t="s">
        <v>56</v>
      </c>
      <c r="AU254" t="s">
        <v>56</v>
      </c>
      <c r="AV254" t="s">
        <v>56</v>
      </c>
      <c r="AW254" t="s">
        <v>56</v>
      </c>
      <c r="AX254">
        <v>4</v>
      </c>
    </row>
    <row r="255" spans="1:50" x14ac:dyDescent="0.25">
      <c r="A255" t="str">
        <f>"20200131194017163573"</f>
        <v>20200131194017163573</v>
      </c>
      <c r="B255" t="s">
        <v>110</v>
      </c>
      <c r="C255" t="s">
        <v>110</v>
      </c>
      <c r="D255" t="s">
        <v>1712</v>
      </c>
      <c r="E255" t="str">
        <f>"080010445432"</f>
        <v>080010445432</v>
      </c>
      <c r="F255" t="s">
        <v>52</v>
      </c>
      <c r="G255">
        <v>901139193</v>
      </c>
      <c r="H255" t="s">
        <v>112</v>
      </c>
      <c r="I255" t="s">
        <v>1713</v>
      </c>
      <c r="J255">
        <v>3781483</v>
      </c>
      <c r="K255" t="s">
        <v>54</v>
      </c>
      <c r="L255">
        <v>32705833</v>
      </c>
      <c r="M255" t="s">
        <v>1714</v>
      </c>
      <c r="N255" t="s">
        <v>296</v>
      </c>
      <c r="O255" t="s">
        <v>691</v>
      </c>
      <c r="P255" t="s">
        <v>1715</v>
      </c>
      <c r="Q255" t="s">
        <v>1716</v>
      </c>
      <c r="R255" t="s">
        <v>54</v>
      </c>
      <c r="S255">
        <v>22385212</v>
      </c>
      <c r="T255" t="s">
        <v>934</v>
      </c>
      <c r="U255" t="s">
        <v>296</v>
      </c>
      <c r="V255" t="s">
        <v>1015</v>
      </c>
      <c r="W255" t="s">
        <v>253</v>
      </c>
      <c r="X255" t="s">
        <v>120</v>
      </c>
      <c r="Y255" t="s">
        <v>121</v>
      </c>
      <c r="Z255">
        <v>12</v>
      </c>
      <c r="AA255" t="s">
        <v>65</v>
      </c>
      <c r="AB255" t="s">
        <v>56</v>
      </c>
      <c r="AC255" t="s">
        <v>56</v>
      </c>
      <c r="AD255">
        <v>0</v>
      </c>
      <c r="AE255" t="s">
        <v>66</v>
      </c>
      <c r="AF255" t="s">
        <v>56</v>
      </c>
      <c r="AG255" t="s">
        <v>56</v>
      </c>
      <c r="AH255" t="s">
        <v>56</v>
      </c>
      <c r="AI255" t="s">
        <v>56</v>
      </c>
      <c r="AJ255" t="s">
        <v>828</v>
      </c>
      <c r="AK255" t="s">
        <v>829</v>
      </c>
      <c r="AL255" t="s">
        <v>959</v>
      </c>
      <c r="AM255" t="s">
        <v>960</v>
      </c>
      <c r="AN255" t="s">
        <v>56</v>
      </c>
      <c r="AO255" t="s">
        <v>56</v>
      </c>
      <c r="AP255" t="s">
        <v>56</v>
      </c>
      <c r="AQ255" t="s">
        <v>71</v>
      </c>
      <c r="AR255" t="s">
        <v>56</v>
      </c>
      <c r="AS255" t="s">
        <v>56</v>
      </c>
      <c r="AT255" t="s">
        <v>56</v>
      </c>
      <c r="AU255" t="s">
        <v>56</v>
      </c>
      <c r="AV255" t="s">
        <v>56</v>
      </c>
      <c r="AW255" t="s">
        <v>56</v>
      </c>
      <c r="AX255">
        <v>4</v>
      </c>
    </row>
    <row r="256" spans="1:50" x14ac:dyDescent="0.25">
      <c r="A256" t="str">
        <f>"20200130183017137934"</f>
        <v>20200130183017137934</v>
      </c>
      <c r="B256" t="s">
        <v>124</v>
      </c>
      <c r="C256" t="s">
        <v>124</v>
      </c>
      <c r="D256" t="s">
        <v>1717</v>
      </c>
      <c r="E256" t="str">
        <f>"134300068301"</f>
        <v>134300068301</v>
      </c>
      <c r="F256" t="s">
        <v>52</v>
      </c>
      <c r="G256">
        <v>900827631</v>
      </c>
      <c r="H256">
        <v>13430</v>
      </c>
      <c r="I256" t="s">
        <v>258</v>
      </c>
      <c r="J256">
        <v>3145812515</v>
      </c>
      <c r="K256" t="s">
        <v>54</v>
      </c>
      <c r="L256">
        <v>78733522</v>
      </c>
      <c r="M256" t="s">
        <v>259</v>
      </c>
      <c r="N256" t="s">
        <v>223</v>
      </c>
      <c r="O256" t="s">
        <v>179</v>
      </c>
      <c r="P256" t="s">
        <v>260</v>
      </c>
      <c r="Q256">
        <v>23306</v>
      </c>
      <c r="R256" t="s">
        <v>54</v>
      </c>
      <c r="S256">
        <v>45735041</v>
      </c>
      <c r="T256" t="s">
        <v>373</v>
      </c>
      <c r="U256" t="s">
        <v>600</v>
      </c>
      <c r="V256" t="s">
        <v>1025</v>
      </c>
      <c r="W256" t="s">
        <v>1718</v>
      </c>
      <c r="X256" t="s">
        <v>1719</v>
      </c>
      <c r="Y256" t="s">
        <v>101</v>
      </c>
      <c r="Z256">
        <v>12</v>
      </c>
      <c r="AA256" t="s">
        <v>65</v>
      </c>
      <c r="AB256" t="s">
        <v>56</v>
      </c>
      <c r="AC256" t="s">
        <v>56</v>
      </c>
      <c r="AD256">
        <v>0</v>
      </c>
      <c r="AE256" t="s">
        <v>66</v>
      </c>
      <c r="AF256" t="s">
        <v>56</v>
      </c>
      <c r="AG256" t="s">
        <v>56</v>
      </c>
      <c r="AH256" t="s">
        <v>56</v>
      </c>
      <c r="AI256" t="s">
        <v>56</v>
      </c>
      <c r="AJ256" t="s">
        <v>980</v>
      </c>
      <c r="AK256" t="s">
        <v>981</v>
      </c>
      <c r="AL256" t="s">
        <v>56</v>
      </c>
      <c r="AM256" t="s">
        <v>56</v>
      </c>
      <c r="AN256" t="s">
        <v>56</v>
      </c>
      <c r="AO256" t="s">
        <v>56</v>
      </c>
      <c r="AP256" t="s">
        <v>56</v>
      </c>
      <c r="AQ256" t="s">
        <v>71</v>
      </c>
      <c r="AR256" t="s">
        <v>56</v>
      </c>
      <c r="AS256" t="s">
        <v>56</v>
      </c>
      <c r="AT256" t="s">
        <v>56</v>
      </c>
      <c r="AU256" t="s">
        <v>56</v>
      </c>
      <c r="AV256" t="s">
        <v>56</v>
      </c>
      <c r="AW256" t="s">
        <v>56</v>
      </c>
      <c r="AX256">
        <v>4</v>
      </c>
    </row>
    <row r="257" spans="1:50" x14ac:dyDescent="0.25">
      <c r="A257" t="str">
        <f>"20200129150017108045"</f>
        <v>20200129150017108045</v>
      </c>
      <c r="B257" t="s">
        <v>72</v>
      </c>
      <c r="C257" t="s">
        <v>72</v>
      </c>
      <c r="D257" t="s">
        <v>1720</v>
      </c>
      <c r="E257" t="str">
        <f>"087580016101"</f>
        <v>087580016101</v>
      </c>
      <c r="F257" t="s">
        <v>52</v>
      </c>
      <c r="G257">
        <v>802013023</v>
      </c>
      <c r="H257" t="s">
        <v>74</v>
      </c>
      <c r="I257" t="s">
        <v>953</v>
      </c>
      <c r="J257">
        <v>3759400</v>
      </c>
      <c r="K257" t="s">
        <v>54</v>
      </c>
      <c r="L257">
        <v>22738424</v>
      </c>
      <c r="M257" t="s">
        <v>1721</v>
      </c>
      <c r="N257" t="s">
        <v>1321</v>
      </c>
      <c r="O257" t="s">
        <v>573</v>
      </c>
      <c r="P257" t="s">
        <v>403</v>
      </c>
      <c r="Q257" t="s">
        <v>1722</v>
      </c>
      <c r="R257" t="s">
        <v>54</v>
      </c>
      <c r="S257">
        <v>22319633</v>
      </c>
      <c r="T257" t="s">
        <v>1723</v>
      </c>
      <c r="U257" t="s">
        <v>62</v>
      </c>
      <c r="V257" t="s">
        <v>274</v>
      </c>
      <c r="W257" t="s">
        <v>1724</v>
      </c>
      <c r="X257" t="s">
        <v>299</v>
      </c>
      <c r="Y257" t="s">
        <v>121</v>
      </c>
      <c r="Z257">
        <v>11</v>
      </c>
      <c r="AA257" t="s">
        <v>87</v>
      </c>
      <c r="AB257" t="s">
        <v>56</v>
      </c>
      <c r="AC257" t="s">
        <v>56</v>
      </c>
      <c r="AD257">
        <v>0</v>
      </c>
      <c r="AE257" t="s">
        <v>66</v>
      </c>
      <c r="AF257" t="s">
        <v>56</v>
      </c>
      <c r="AG257" t="s">
        <v>56</v>
      </c>
      <c r="AH257" t="s">
        <v>56</v>
      </c>
      <c r="AI257" t="s">
        <v>56</v>
      </c>
      <c r="AJ257" t="s">
        <v>255</v>
      </c>
      <c r="AK257" t="s">
        <v>256</v>
      </c>
      <c r="AL257" t="s">
        <v>356</v>
      </c>
      <c r="AM257" t="s">
        <v>357</v>
      </c>
      <c r="AN257" t="s">
        <v>56</v>
      </c>
      <c r="AO257" t="s">
        <v>56</v>
      </c>
      <c r="AP257" t="s">
        <v>56</v>
      </c>
      <c r="AQ257" t="s">
        <v>71</v>
      </c>
      <c r="AR257" t="s">
        <v>56</v>
      </c>
      <c r="AS257" t="s">
        <v>56</v>
      </c>
      <c r="AT257" t="s">
        <v>56</v>
      </c>
      <c r="AU257" t="s">
        <v>56</v>
      </c>
      <c r="AV257" t="s">
        <v>56</v>
      </c>
      <c r="AW257" t="s">
        <v>56</v>
      </c>
      <c r="AX257">
        <v>4</v>
      </c>
    </row>
    <row r="258" spans="1:50" x14ac:dyDescent="0.25">
      <c r="A258" t="str">
        <f>"20200124125017016964"</f>
        <v>20200124125017016964</v>
      </c>
      <c r="B258" t="s">
        <v>201</v>
      </c>
      <c r="C258" t="s">
        <v>201</v>
      </c>
      <c r="D258" t="s">
        <v>1725</v>
      </c>
      <c r="E258" t="str">
        <f>"080010003714"</f>
        <v>080010003714</v>
      </c>
      <c r="F258" t="s">
        <v>52</v>
      </c>
      <c r="G258">
        <v>890102768</v>
      </c>
      <c r="H258" t="s">
        <v>112</v>
      </c>
      <c r="I258" t="s">
        <v>1726</v>
      </c>
      <c r="J258" t="s">
        <v>1727</v>
      </c>
      <c r="K258" t="s">
        <v>54</v>
      </c>
      <c r="L258">
        <v>22696964</v>
      </c>
      <c r="M258" t="s">
        <v>1728</v>
      </c>
      <c r="N258" t="s">
        <v>233</v>
      </c>
      <c r="O258" t="s">
        <v>1729</v>
      </c>
      <c r="P258" t="s">
        <v>101</v>
      </c>
      <c r="Q258" t="s">
        <v>1730</v>
      </c>
      <c r="R258" t="s">
        <v>54</v>
      </c>
      <c r="S258">
        <v>72121178</v>
      </c>
      <c r="T258" t="s">
        <v>1608</v>
      </c>
      <c r="U258" t="s">
        <v>234</v>
      </c>
      <c r="V258" t="s">
        <v>376</v>
      </c>
      <c r="W258" t="s">
        <v>376</v>
      </c>
      <c r="X258" t="s">
        <v>1731</v>
      </c>
      <c r="Y258" t="s">
        <v>121</v>
      </c>
      <c r="Z258">
        <v>11</v>
      </c>
      <c r="AA258" t="s">
        <v>87</v>
      </c>
      <c r="AB258" t="s">
        <v>56</v>
      </c>
      <c r="AC258" t="s">
        <v>56</v>
      </c>
      <c r="AD258">
        <v>0</v>
      </c>
      <c r="AE258" t="s">
        <v>66</v>
      </c>
      <c r="AF258" t="s">
        <v>56</v>
      </c>
      <c r="AG258" t="s">
        <v>56</v>
      </c>
      <c r="AH258" t="s">
        <v>56</v>
      </c>
      <c r="AI258" t="s">
        <v>56</v>
      </c>
      <c r="AJ258" t="s">
        <v>1732</v>
      </c>
      <c r="AK258" t="s">
        <v>1733</v>
      </c>
      <c r="AL258" t="s">
        <v>56</v>
      </c>
      <c r="AM258" t="s">
        <v>56</v>
      </c>
      <c r="AN258" t="s">
        <v>56</v>
      </c>
      <c r="AO258" t="s">
        <v>56</v>
      </c>
      <c r="AP258" t="s">
        <v>56</v>
      </c>
      <c r="AQ258" t="s">
        <v>71</v>
      </c>
      <c r="AR258" t="s">
        <v>56</v>
      </c>
      <c r="AS258" t="s">
        <v>56</v>
      </c>
      <c r="AT258" t="s">
        <v>56</v>
      </c>
      <c r="AU258" t="s">
        <v>56</v>
      </c>
      <c r="AV258" t="s">
        <v>56</v>
      </c>
      <c r="AW258" t="s">
        <v>56</v>
      </c>
      <c r="AX258">
        <v>4</v>
      </c>
    </row>
    <row r="259" spans="1:50" x14ac:dyDescent="0.25">
      <c r="A259" t="str">
        <f>"20200128120017086717"</f>
        <v>20200128120017086717</v>
      </c>
      <c r="B259" t="s">
        <v>151</v>
      </c>
      <c r="C259" t="s">
        <v>151</v>
      </c>
      <c r="D259" t="s">
        <v>1734</v>
      </c>
      <c r="E259" t="str">
        <f>"080010003601"</f>
        <v>080010003601</v>
      </c>
      <c r="F259" t="s">
        <v>52</v>
      </c>
      <c r="G259">
        <v>802000955</v>
      </c>
      <c r="H259" t="s">
        <v>112</v>
      </c>
      <c r="I259" t="s">
        <v>218</v>
      </c>
      <c r="J259" t="s">
        <v>56</v>
      </c>
      <c r="K259" t="s">
        <v>54</v>
      </c>
      <c r="L259">
        <v>85472859</v>
      </c>
      <c r="M259" t="s">
        <v>897</v>
      </c>
      <c r="N259" t="s">
        <v>76</v>
      </c>
      <c r="O259" t="s">
        <v>1735</v>
      </c>
      <c r="P259" t="s">
        <v>1736</v>
      </c>
      <c r="Q259" t="s">
        <v>1737</v>
      </c>
      <c r="R259" t="s">
        <v>54</v>
      </c>
      <c r="S259">
        <v>1143146100</v>
      </c>
      <c r="T259" t="s">
        <v>1738</v>
      </c>
      <c r="U259" t="s">
        <v>972</v>
      </c>
      <c r="V259" t="s">
        <v>1739</v>
      </c>
      <c r="W259" t="s">
        <v>355</v>
      </c>
      <c r="X259" t="s">
        <v>299</v>
      </c>
      <c r="Y259" t="s">
        <v>121</v>
      </c>
      <c r="Z259">
        <v>12</v>
      </c>
      <c r="AA259" t="s">
        <v>65</v>
      </c>
      <c r="AB259" t="s">
        <v>56</v>
      </c>
      <c r="AC259" t="s">
        <v>56</v>
      </c>
      <c r="AD259">
        <v>0</v>
      </c>
      <c r="AE259" t="s">
        <v>66</v>
      </c>
      <c r="AF259" t="s">
        <v>56</v>
      </c>
      <c r="AG259" t="s">
        <v>56</v>
      </c>
      <c r="AH259" t="s">
        <v>56</v>
      </c>
      <c r="AI259" t="s">
        <v>56</v>
      </c>
      <c r="AJ259" t="s">
        <v>1740</v>
      </c>
      <c r="AK259" t="s">
        <v>1741</v>
      </c>
      <c r="AL259" t="s">
        <v>56</v>
      </c>
      <c r="AM259" t="s">
        <v>56</v>
      </c>
      <c r="AN259" t="s">
        <v>56</v>
      </c>
      <c r="AO259" t="s">
        <v>56</v>
      </c>
      <c r="AP259" t="s">
        <v>56</v>
      </c>
      <c r="AQ259" t="s">
        <v>71</v>
      </c>
      <c r="AR259" t="s">
        <v>56</v>
      </c>
      <c r="AS259" t="s">
        <v>56</v>
      </c>
      <c r="AT259" t="s">
        <v>56</v>
      </c>
      <c r="AU259" t="s">
        <v>56</v>
      </c>
      <c r="AV259" t="s">
        <v>56</v>
      </c>
      <c r="AW259" t="s">
        <v>56</v>
      </c>
      <c r="AX259">
        <v>4</v>
      </c>
    </row>
    <row r="260" spans="1:50" x14ac:dyDescent="0.25">
      <c r="A260" t="str">
        <f>"20200129190017114361"</f>
        <v>20200129190017114361</v>
      </c>
      <c r="B260" t="s">
        <v>72</v>
      </c>
      <c r="C260" t="s">
        <v>72</v>
      </c>
      <c r="D260" t="s">
        <v>1742</v>
      </c>
      <c r="E260" t="str">
        <f>"134300077501"</f>
        <v>134300077501</v>
      </c>
      <c r="F260" t="s">
        <v>52</v>
      </c>
      <c r="G260">
        <v>823002800</v>
      </c>
      <c r="H260">
        <v>13430</v>
      </c>
      <c r="I260" t="s">
        <v>539</v>
      </c>
      <c r="J260">
        <v>3107315890</v>
      </c>
      <c r="K260" t="s">
        <v>54</v>
      </c>
      <c r="L260">
        <v>33205215</v>
      </c>
      <c r="M260" t="s">
        <v>117</v>
      </c>
      <c r="N260" t="s">
        <v>600</v>
      </c>
      <c r="O260" t="s">
        <v>194</v>
      </c>
      <c r="P260" t="s">
        <v>774</v>
      </c>
      <c r="Q260">
        <v>159196</v>
      </c>
      <c r="R260" t="s">
        <v>54</v>
      </c>
      <c r="S260">
        <v>22931086</v>
      </c>
      <c r="T260" t="s">
        <v>1743</v>
      </c>
      <c r="U260" t="s">
        <v>373</v>
      </c>
      <c r="V260" t="s">
        <v>743</v>
      </c>
      <c r="W260" t="s">
        <v>1215</v>
      </c>
      <c r="X260" t="s">
        <v>183</v>
      </c>
      <c r="Y260" t="s">
        <v>101</v>
      </c>
      <c r="Z260">
        <v>12</v>
      </c>
      <c r="AA260" t="s">
        <v>65</v>
      </c>
      <c r="AB260" t="s">
        <v>56</v>
      </c>
      <c r="AC260" t="s">
        <v>56</v>
      </c>
      <c r="AD260">
        <v>0</v>
      </c>
      <c r="AE260" t="s">
        <v>66</v>
      </c>
      <c r="AF260" t="s">
        <v>56</v>
      </c>
      <c r="AG260" t="s">
        <v>56</v>
      </c>
      <c r="AH260" t="s">
        <v>56</v>
      </c>
      <c r="AI260" t="s">
        <v>56</v>
      </c>
      <c r="AJ260" t="s">
        <v>1744</v>
      </c>
      <c r="AK260" t="s">
        <v>1745</v>
      </c>
      <c r="AL260" t="s">
        <v>56</v>
      </c>
      <c r="AM260" t="s">
        <v>56</v>
      </c>
      <c r="AN260" t="s">
        <v>56</v>
      </c>
      <c r="AO260" t="s">
        <v>56</v>
      </c>
      <c r="AP260" t="s">
        <v>56</v>
      </c>
      <c r="AQ260" t="s">
        <v>71</v>
      </c>
      <c r="AR260" t="s">
        <v>56</v>
      </c>
      <c r="AS260" t="s">
        <v>56</v>
      </c>
      <c r="AT260" t="s">
        <v>56</v>
      </c>
      <c r="AU260" t="s">
        <v>56</v>
      </c>
      <c r="AV260" t="s">
        <v>56</v>
      </c>
      <c r="AW260" t="s">
        <v>56</v>
      </c>
      <c r="AX260">
        <v>4</v>
      </c>
    </row>
    <row r="261" spans="1:50" x14ac:dyDescent="0.25">
      <c r="A261" t="str">
        <f>"20200124163017013352"</f>
        <v>20200124163017013352</v>
      </c>
      <c r="B261" t="s">
        <v>201</v>
      </c>
      <c r="C261" t="s">
        <v>201</v>
      </c>
      <c r="D261" t="s">
        <v>1746</v>
      </c>
      <c r="E261" t="str">
        <f>"760010379901"</f>
        <v>760010379901</v>
      </c>
      <c r="F261" t="s">
        <v>52</v>
      </c>
      <c r="G261">
        <v>890303461</v>
      </c>
      <c r="H261">
        <v>76001</v>
      </c>
      <c r="I261" t="s">
        <v>270</v>
      </c>
      <c r="J261" t="s">
        <v>271</v>
      </c>
      <c r="K261" t="s">
        <v>54</v>
      </c>
      <c r="L261">
        <v>1107095386</v>
      </c>
      <c r="M261" t="s">
        <v>1747</v>
      </c>
      <c r="N261" t="s">
        <v>56</v>
      </c>
      <c r="O261" t="s">
        <v>1748</v>
      </c>
      <c r="P261" t="s">
        <v>425</v>
      </c>
      <c r="Q261">
        <v>1107095386</v>
      </c>
      <c r="R261" t="s">
        <v>54</v>
      </c>
      <c r="S261">
        <v>1112788003</v>
      </c>
      <c r="T261" t="s">
        <v>404</v>
      </c>
      <c r="U261" t="s">
        <v>62</v>
      </c>
      <c r="V261" t="s">
        <v>1749</v>
      </c>
      <c r="W261" t="s">
        <v>62</v>
      </c>
      <c r="X261" t="s">
        <v>277</v>
      </c>
      <c r="Y261" t="s">
        <v>64</v>
      </c>
      <c r="Z261">
        <v>22</v>
      </c>
      <c r="AA261" t="s">
        <v>102</v>
      </c>
      <c r="AB261">
        <v>0</v>
      </c>
      <c r="AC261" t="s">
        <v>66</v>
      </c>
      <c r="AD261">
        <v>0</v>
      </c>
      <c r="AE261" t="s">
        <v>66</v>
      </c>
      <c r="AF261" t="s">
        <v>56</v>
      </c>
      <c r="AG261" t="s">
        <v>56</v>
      </c>
      <c r="AH261" t="s">
        <v>56</v>
      </c>
      <c r="AI261" t="s">
        <v>56</v>
      </c>
      <c r="AJ261" t="s">
        <v>894</v>
      </c>
      <c r="AK261" t="s">
        <v>895</v>
      </c>
      <c r="AL261" t="s">
        <v>56</v>
      </c>
      <c r="AM261" t="s">
        <v>56</v>
      </c>
      <c r="AN261" t="s">
        <v>56</v>
      </c>
      <c r="AO261" t="s">
        <v>56</v>
      </c>
      <c r="AP261" t="s">
        <v>56</v>
      </c>
      <c r="AQ261" t="s">
        <v>71</v>
      </c>
      <c r="AR261" t="s">
        <v>56</v>
      </c>
      <c r="AS261" t="s">
        <v>56</v>
      </c>
      <c r="AT261" t="s">
        <v>56</v>
      </c>
      <c r="AU261" t="s">
        <v>56</v>
      </c>
      <c r="AV261" t="s">
        <v>56</v>
      </c>
      <c r="AW261" t="s">
        <v>56</v>
      </c>
      <c r="AX261">
        <v>4</v>
      </c>
    </row>
    <row r="262" spans="1:50" x14ac:dyDescent="0.25">
      <c r="A262" t="str">
        <f>"20200131193017171127"</f>
        <v>20200131193017171127</v>
      </c>
      <c r="B262" t="s">
        <v>110</v>
      </c>
      <c r="C262" t="s">
        <v>110</v>
      </c>
      <c r="D262" t="s">
        <v>1750</v>
      </c>
      <c r="E262" t="str">
        <f>"760010379901"</f>
        <v>760010379901</v>
      </c>
      <c r="F262" t="s">
        <v>52</v>
      </c>
      <c r="G262">
        <v>890303461</v>
      </c>
      <c r="H262">
        <v>76001</v>
      </c>
      <c r="I262" t="s">
        <v>270</v>
      </c>
      <c r="J262" t="s">
        <v>271</v>
      </c>
      <c r="K262" t="s">
        <v>54</v>
      </c>
      <c r="L262">
        <v>1107095386</v>
      </c>
      <c r="M262" t="s">
        <v>1747</v>
      </c>
      <c r="N262" t="s">
        <v>56</v>
      </c>
      <c r="O262" t="s">
        <v>1748</v>
      </c>
      <c r="P262" t="s">
        <v>425</v>
      </c>
      <c r="Q262">
        <v>1107095386</v>
      </c>
      <c r="R262" t="s">
        <v>54</v>
      </c>
      <c r="S262">
        <v>1112788003</v>
      </c>
      <c r="T262" t="s">
        <v>404</v>
      </c>
      <c r="U262" t="s">
        <v>62</v>
      </c>
      <c r="V262" t="s">
        <v>1749</v>
      </c>
      <c r="W262" t="s">
        <v>62</v>
      </c>
      <c r="X262" t="s">
        <v>277</v>
      </c>
      <c r="Y262" t="s">
        <v>64</v>
      </c>
      <c r="Z262">
        <v>11</v>
      </c>
      <c r="AA262" t="s">
        <v>87</v>
      </c>
      <c r="AB262" t="s">
        <v>56</v>
      </c>
      <c r="AC262" t="s">
        <v>56</v>
      </c>
      <c r="AD262">
        <v>0</v>
      </c>
      <c r="AE262" t="s">
        <v>66</v>
      </c>
      <c r="AF262" t="s">
        <v>56</v>
      </c>
      <c r="AG262" t="s">
        <v>56</v>
      </c>
      <c r="AH262" t="s">
        <v>56</v>
      </c>
      <c r="AI262" t="s">
        <v>56</v>
      </c>
      <c r="AJ262" t="s">
        <v>894</v>
      </c>
      <c r="AK262" t="s">
        <v>895</v>
      </c>
      <c r="AL262" t="s">
        <v>56</v>
      </c>
      <c r="AM262" t="s">
        <v>56</v>
      </c>
      <c r="AN262" t="s">
        <v>56</v>
      </c>
      <c r="AO262" t="s">
        <v>56</v>
      </c>
      <c r="AP262" t="s">
        <v>56</v>
      </c>
      <c r="AQ262" t="s">
        <v>71</v>
      </c>
      <c r="AR262" t="s">
        <v>56</v>
      </c>
      <c r="AS262" t="s">
        <v>56</v>
      </c>
      <c r="AT262" t="s">
        <v>56</v>
      </c>
      <c r="AU262" t="s">
        <v>56</v>
      </c>
      <c r="AV262" t="s">
        <v>56</v>
      </c>
      <c r="AW262" t="s">
        <v>56</v>
      </c>
      <c r="AX262">
        <v>4</v>
      </c>
    </row>
    <row r="263" spans="1:50" x14ac:dyDescent="0.25">
      <c r="A263" t="str">
        <f>"20200131141017171366"</f>
        <v>20200131141017171366</v>
      </c>
      <c r="B263" t="s">
        <v>110</v>
      </c>
      <c r="C263" t="s">
        <v>110</v>
      </c>
      <c r="D263" t="s">
        <v>1751</v>
      </c>
      <c r="E263" t="str">
        <f>"760010379901"</f>
        <v>760010379901</v>
      </c>
      <c r="F263" t="s">
        <v>52</v>
      </c>
      <c r="G263">
        <v>890303461</v>
      </c>
      <c r="H263">
        <v>76001</v>
      </c>
      <c r="I263" t="s">
        <v>270</v>
      </c>
      <c r="J263" t="s">
        <v>271</v>
      </c>
      <c r="K263" t="s">
        <v>54</v>
      </c>
      <c r="L263">
        <v>1107095386</v>
      </c>
      <c r="M263" t="s">
        <v>1747</v>
      </c>
      <c r="N263" t="s">
        <v>56</v>
      </c>
      <c r="O263" t="s">
        <v>1748</v>
      </c>
      <c r="P263" t="s">
        <v>425</v>
      </c>
      <c r="Q263">
        <v>1107095386</v>
      </c>
      <c r="R263" t="s">
        <v>54</v>
      </c>
      <c r="S263">
        <v>1112788003</v>
      </c>
      <c r="T263" t="s">
        <v>404</v>
      </c>
      <c r="U263" t="s">
        <v>62</v>
      </c>
      <c r="V263" t="s">
        <v>1749</v>
      </c>
      <c r="W263" t="s">
        <v>62</v>
      </c>
      <c r="X263" t="s">
        <v>277</v>
      </c>
      <c r="Y263" t="s">
        <v>64</v>
      </c>
      <c r="Z263">
        <v>11</v>
      </c>
      <c r="AA263" t="s">
        <v>87</v>
      </c>
      <c r="AB263" t="s">
        <v>56</v>
      </c>
      <c r="AC263" t="s">
        <v>56</v>
      </c>
      <c r="AD263">
        <v>0</v>
      </c>
      <c r="AE263" t="s">
        <v>66</v>
      </c>
      <c r="AF263" t="s">
        <v>56</v>
      </c>
      <c r="AG263" t="s">
        <v>56</v>
      </c>
      <c r="AH263" t="s">
        <v>56</v>
      </c>
      <c r="AI263" t="s">
        <v>56</v>
      </c>
      <c r="AJ263" t="s">
        <v>894</v>
      </c>
      <c r="AK263" t="s">
        <v>895</v>
      </c>
      <c r="AL263" t="s">
        <v>56</v>
      </c>
      <c r="AM263" t="s">
        <v>56</v>
      </c>
      <c r="AN263" t="s">
        <v>56</v>
      </c>
      <c r="AO263" t="s">
        <v>56</v>
      </c>
      <c r="AP263" t="s">
        <v>56</v>
      </c>
      <c r="AQ263" t="s">
        <v>71</v>
      </c>
      <c r="AR263" t="s">
        <v>56</v>
      </c>
      <c r="AS263" t="s">
        <v>56</v>
      </c>
      <c r="AT263" t="s">
        <v>56</v>
      </c>
      <c r="AU263" t="s">
        <v>56</v>
      </c>
      <c r="AV263" t="s">
        <v>56</v>
      </c>
      <c r="AW263" t="s">
        <v>56</v>
      </c>
      <c r="AX263">
        <v>4</v>
      </c>
    </row>
    <row r="264" spans="1:50" x14ac:dyDescent="0.25">
      <c r="A264" t="str">
        <f>"20200127117017054934"</f>
        <v>20200127117017054934</v>
      </c>
      <c r="B264" t="s">
        <v>190</v>
      </c>
      <c r="C264" t="s">
        <v>190</v>
      </c>
      <c r="D264" t="s">
        <v>1752</v>
      </c>
      <c r="E264" t="str">
        <f>"200010083101"</f>
        <v>200010083101</v>
      </c>
      <c r="F264" t="s">
        <v>52</v>
      </c>
      <c r="G264">
        <v>900066797</v>
      </c>
      <c r="H264">
        <v>20001</v>
      </c>
      <c r="I264" t="s">
        <v>457</v>
      </c>
      <c r="J264" t="s">
        <v>458</v>
      </c>
      <c r="K264" t="s">
        <v>54</v>
      </c>
      <c r="L264">
        <v>49760462</v>
      </c>
      <c r="M264" t="s">
        <v>459</v>
      </c>
      <c r="N264" t="s">
        <v>117</v>
      </c>
      <c r="O264" t="s">
        <v>460</v>
      </c>
      <c r="P264" t="s">
        <v>403</v>
      </c>
      <c r="Q264">
        <v>8550</v>
      </c>
      <c r="R264" t="s">
        <v>54</v>
      </c>
      <c r="S264">
        <v>42494430</v>
      </c>
      <c r="T264" t="s">
        <v>1327</v>
      </c>
      <c r="U264" t="s">
        <v>1307</v>
      </c>
      <c r="V264" t="s">
        <v>1753</v>
      </c>
      <c r="W264" t="s">
        <v>1754</v>
      </c>
      <c r="X264" t="s">
        <v>462</v>
      </c>
      <c r="Y264" t="s">
        <v>86</v>
      </c>
      <c r="Z264">
        <v>12</v>
      </c>
      <c r="AA264" t="s">
        <v>65</v>
      </c>
      <c r="AB264" t="s">
        <v>56</v>
      </c>
      <c r="AC264" t="s">
        <v>56</v>
      </c>
      <c r="AD264">
        <v>0</v>
      </c>
      <c r="AE264" t="s">
        <v>66</v>
      </c>
      <c r="AF264" t="s">
        <v>56</v>
      </c>
      <c r="AG264" t="s">
        <v>56</v>
      </c>
      <c r="AH264" t="s">
        <v>56</v>
      </c>
      <c r="AI264" t="s">
        <v>56</v>
      </c>
      <c r="AJ264" t="s">
        <v>463</v>
      </c>
      <c r="AK264" t="s">
        <v>464</v>
      </c>
      <c r="AL264" t="s">
        <v>56</v>
      </c>
      <c r="AM264" t="s">
        <v>56</v>
      </c>
      <c r="AN264" t="s">
        <v>56</v>
      </c>
      <c r="AO264" t="s">
        <v>56</v>
      </c>
      <c r="AP264" t="s">
        <v>56</v>
      </c>
      <c r="AQ264" t="s">
        <v>71</v>
      </c>
      <c r="AR264" t="s">
        <v>56</v>
      </c>
      <c r="AS264" t="s">
        <v>56</v>
      </c>
      <c r="AT264" t="s">
        <v>56</v>
      </c>
      <c r="AU264" t="s">
        <v>56</v>
      </c>
      <c r="AV264" t="s">
        <v>56</v>
      </c>
      <c r="AW264" t="s">
        <v>56</v>
      </c>
      <c r="AX264">
        <v>4</v>
      </c>
    </row>
    <row r="265" spans="1:50" x14ac:dyDescent="0.25">
      <c r="A265" t="str">
        <f>"20200127136017043206"</f>
        <v>20200127136017043206</v>
      </c>
      <c r="B265" t="s">
        <v>190</v>
      </c>
      <c r="C265" t="s">
        <v>190</v>
      </c>
      <c r="D265" t="s">
        <v>1755</v>
      </c>
      <c r="E265" t="str">
        <f>"700010069001"</f>
        <v>700010069001</v>
      </c>
      <c r="F265" t="s">
        <v>52</v>
      </c>
      <c r="G265">
        <v>823003836</v>
      </c>
      <c r="H265">
        <v>70001</v>
      </c>
      <c r="I265" t="s">
        <v>1756</v>
      </c>
      <c r="J265">
        <v>52746476</v>
      </c>
      <c r="K265" t="s">
        <v>54</v>
      </c>
      <c r="L265">
        <v>23220031</v>
      </c>
      <c r="M265" t="s">
        <v>1757</v>
      </c>
      <c r="N265" t="s">
        <v>1758</v>
      </c>
      <c r="O265" t="s">
        <v>109</v>
      </c>
      <c r="P265" t="s">
        <v>1759</v>
      </c>
      <c r="Q265">
        <v>23361</v>
      </c>
      <c r="R265" t="s">
        <v>54</v>
      </c>
      <c r="S265">
        <v>17849329</v>
      </c>
      <c r="T265" t="s">
        <v>1760</v>
      </c>
      <c r="U265" t="s">
        <v>261</v>
      </c>
      <c r="V265" t="s">
        <v>1761</v>
      </c>
      <c r="W265" t="s">
        <v>109</v>
      </c>
      <c r="X265" t="s">
        <v>1762</v>
      </c>
      <c r="Y265" t="s">
        <v>330</v>
      </c>
      <c r="Z265">
        <v>11</v>
      </c>
      <c r="AA265" t="s">
        <v>87</v>
      </c>
      <c r="AB265" t="s">
        <v>56</v>
      </c>
      <c r="AC265" t="s">
        <v>56</v>
      </c>
      <c r="AD265">
        <v>0</v>
      </c>
      <c r="AE265" t="s">
        <v>66</v>
      </c>
      <c r="AF265" t="s">
        <v>56</v>
      </c>
      <c r="AG265" t="s">
        <v>56</v>
      </c>
      <c r="AH265" t="s">
        <v>56</v>
      </c>
      <c r="AI265" t="s">
        <v>56</v>
      </c>
      <c r="AJ265" t="s">
        <v>1763</v>
      </c>
      <c r="AK265" t="s">
        <v>1764</v>
      </c>
      <c r="AL265" t="s">
        <v>56</v>
      </c>
      <c r="AM265" t="s">
        <v>56</v>
      </c>
      <c r="AN265" t="s">
        <v>56</v>
      </c>
      <c r="AO265" t="s">
        <v>56</v>
      </c>
      <c r="AP265" t="s">
        <v>56</v>
      </c>
      <c r="AQ265" t="s">
        <v>71</v>
      </c>
      <c r="AR265" t="s">
        <v>56</v>
      </c>
      <c r="AS265" t="s">
        <v>56</v>
      </c>
      <c r="AT265" t="s">
        <v>56</v>
      </c>
      <c r="AU265" t="s">
        <v>56</v>
      </c>
      <c r="AV265" t="s">
        <v>56</v>
      </c>
      <c r="AW265" t="s">
        <v>56</v>
      </c>
      <c r="AX265">
        <v>4</v>
      </c>
    </row>
    <row r="266" spans="1:50" x14ac:dyDescent="0.25">
      <c r="A266" t="str">
        <f>"20200124189017007975"</f>
        <v>20200124189017007975</v>
      </c>
      <c r="B266" t="s">
        <v>201</v>
      </c>
      <c r="C266" t="s">
        <v>201</v>
      </c>
      <c r="D266" t="s">
        <v>1765</v>
      </c>
      <c r="E266" t="str">
        <f>"700010111401"</f>
        <v>700010111401</v>
      </c>
      <c r="F266" t="s">
        <v>52</v>
      </c>
      <c r="G266">
        <v>900217343</v>
      </c>
      <c r="H266">
        <v>70001</v>
      </c>
      <c r="I266" t="s">
        <v>885</v>
      </c>
      <c r="J266">
        <v>2714280</v>
      </c>
      <c r="K266" t="s">
        <v>54</v>
      </c>
      <c r="L266">
        <v>22516059</v>
      </c>
      <c r="M266" t="s">
        <v>1766</v>
      </c>
      <c r="N266" t="s">
        <v>1032</v>
      </c>
      <c r="O266" t="s">
        <v>108</v>
      </c>
      <c r="P266" t="s">
        <v>207</v>
      </c>
      <c r="Q266">
        <v>7214</v>
      </c>
      <c r="R266" t="s">
        <v>54</v>
      </c>
      <c r="S266">
        <v>23216731</v>
      </c>
      <c r="T266" t="s">
        <v>114</v>
      </c>
      <c r="U266" t="s">
        <v>196</v>
      </c>
      <c r="V266" t="s">
        <v>854</v>
      </c>
      <c r="W266" t="s">
        <v>1767</v>
      </c>
      <c r="X266" t="s">
        <v>889</v>
      </c>
      <c r="Y266" t="s">
        <v>330</v>
      </c>
      <c r="Z266">
        <v>12</v>
      </c>
      <c r="AA266" t="s">
        <v>65</v>
      </c>
      <c r="AB266" t="s">
        <v>56</v>
      </c>
      <c r="AC266" t="s">
        <v>56</v>
      </c>
      <c r="AD266">
        <v>0</v>
      </c>
      <c r="AE266" t="s">
        <v>66</v>
      </c>
      <c r="AF266" t="s">
        <v>56</v>
      </c>
      <c r="AG266" t="s">
        <v>56</v>
      </c>
      <c r="AH266" t="s">
        <v>56</v>
      </c>
      <c r="AI266" t="s">
        <v>56</v>
      </c>
      <c r="AJ266" t="s">
        <v>1768</v>
      </c>
      <c r="AK266" t="s">
        <v>1769</v>
      </c>
      <c r="AL266" t="s">
        <v>56</v>
      </c>
      <c r="AM266" t="s">
        <v>56</v>
      </c>
      <c r="AN266" t="s">
        <v>56</v>
      </c>
      <c r="AO266" t="s">
        <v>56</v>
      </c>
      <c r="AP266" t="s">
        <v>56</v>
      </c>
      <c r="AQ266" t="s">
        <v>71</v>
      </c>
      <c r="AR266" t="s">
        <v>56</v>
      </c>
      <c r="AS266" t="s">
        <v>56</v>
      </c>
      <c r="AT266" t="s">
        <v>56</v>
      </c>
      <c r="AU266" t="s">
        <v>56</v>
      </c>
      <c r="AV266" t="s">
        <v>56</v>
      </c>
      <c r="AW266" t="s">
        <v>56</v>
      </c>
      <c r="AX266">
        <v>4</v>
      </c>
    </row>
    <row r="267" spans="1:50" x14ac:dyDescent="0.25">
      <c r="A267" t="str">
        <f>"20200129182017121802"</f>
        <v>20200129182017121802</v>
      </c>
      <c r="B267" t="s">
        <v>72</v>
      </c>
      <c r="C267" t="s">
        <v>72</v>
      </c>
      <c r="D267" t="s">
        <v>1770</v>
      </c>
      <c r="E267" t="str">
        <f>"080010445438"</f>
        <v>080010445438</v>
      </c>
      <c r="F267" t="s">
        <v>52</v>
      </c>
      <c r="G267">
        <v>901139193</v>
      </c>
      <c r="H267" t="s">
        <v>112</v>
      </c>
      <c r="I267" t="s">
        <v>1771</v>
      </c>
      <c r="J267">
        <v>3781483</v>
      </c>
      <c r="K267" t="s">
        <v>54</v>
      </c>
      <c r="L267">
        <v>9145947</v>
      </c>
      <c r="M267" t="s">
        <v>128</v>
      </c>
      <c r="N267" t="s">
        <v>76</v>
      </c>
      <c r="O267" t="s">
        <v>309</v>
      </c>
      <c r="P267" t="s">
        <v>1772</v>
      </c>
      <c r="Q267" t="s">
        <v>1773</v>
      </c>
      <c r="R267" t="s">
        <v>237</v>
      </c>
      <c r="S267">
        <v>1041895397</v>
      </c>
      <c r="T267" t="s">
        <v>1747</v>
      </c>
      <c r="U267" t="s">
        <v>962</v>
      </c>
      <c r="V267" t="s">
        <v>343</v>
      </c>
      <c r="W267" t="s">
        <v>1234</v>
      </c>
      <c r="X267" t="s">
        <v>1774</v>
      </c>
      <c r="Y267" t="s">
        <v>121</v>
      </c>
      <c r="Z267">
        <v>22</v>
      </c>
      <c r="AA267" t="s">
        <v>102</v>
      </c>
      <c r="AB267">
        <v>0</v>
      </c>
      <c r="AC267" t="s">
        <v>66</v>
      </c>
      <c r="AD267">
        <v>0</v>
      </c>
      <c r="AE267" t="s">
        <v>66</v>
      </c>
      <c r="AF267" t="s">
        <v>56</v>
      </c>
      <c r="AG267" t="s">
        <v>56</v>
      </c>
      <c r="AH267" t="s">
        <v>56</v>
      </c>
      <c r="AI267" t="s">
        <v>56</v>
      </c>
      <c r="AJ267" t="s">
        <v>1775</v>
      </c>
      <c r="AK267" t="s">
        <v>1776</v>
      </c>
      <c r="AL267" t="s">
        <v>56</v>
      </c>
      <c r="AM267" t="s">
        <v>56</v>
      </c>
      <c r="AN267" t="s">
        <v>56</v>
      </c>
      <c r="AO267" t="s">
        <v>56</v>
      </c>
      <c r="AP267" t="s">
        <v>56</v>
      </c>
      <c r="AQ267" t="s">
        <v>71</v>
      </c>
      <c r="AR267" t="s">
        <v>56</v>
      </c>
      <c r="AS267" t="s">
        <v>56</v>
      </c>
      <c r="AT267" t="s">
        <v>56</v>
      </c>
      <c r="AU267" t="s">
        <v>56</v>
      </c>
      <c r="AV267" t="s">
        <v>56</v>
      </c>
      <c r="AW267" t="s">
        <v>56</v>
      </c>
      <c r="AX267">
        <v>4</v>
      </c>
    </row>
    <row r="268" spans="1:50" x14ac:dyDescent="0.25">
      <c r="A268" t="str">
        <f>"20200130154017149121"</f>
        <v>20200130154017149121</v>
      </c>
      <c r="B268" t="s">
        <v>124</v>
      </c>
      <c r="C268" t="s">
        <v>124</v>
      </c>
      <c r="D268" t="s">
        <v>1777</v>
      </c>
      <c r="E268" t="str">
        <f>"084210063101"</f>
        <v>084210063101</v>
      </c>
      <c r="F268" t="s">
        <v>52</v>
      </c>
      <c r="G268">
        <v>900264327</v>
      </c>
      <c r="H268" t="s">
        <v>1778</v>
      </c>
      <c r="I268" t="s">
        <v>1779</v>
      </c>
      <c r="J268">
        <v>8749340</v>
      </c>
      <c r="K268" t="s">
        <v>54</v>
      </c>
      <c r="L268">
        <v>22697840</v>
      </c>
      <c r="M268" t="s">
        <v>1780</v>
      </c>
      <c r="N268" t="s">
        <v>117</v>
      </c>
      <c r="O268" t="s">
        <v>194</v>
      </c>
      <c r="P268" t="s">
        <v>194</v>
      </c>
      <c r="Q268">
        <v>1479</v>
      </c>
      <c r="R268" t="s">
        <v>54</v>
      </c>
      <c r="S268">
        <v>8527320</v>
      </c>
      <c r="T268" t="s">
        <v>1781</v>
      </c>
      <c r="U268" t="s">
        <v>94</v>
      </c>
      <c r="V268" t="s">
        <v>1782</v>
      </c>
      <c r="W268" t="s">
        <v>765</v>
      </c>
      <c r="X268" t="s">
        <v>1470</v>
      </c>
      <c r="Y268" t="s">
        <v>121</v>
      </c>
      <c r="Z268">
        <v>30</v>
      </c>
      <c r="AA268" t="s">
        <v>661</v>
      </c>
      <c r="AB268">
        <v>0</v>
      </c>
      <c r="AC268" t="s">
        <v>66</v>
      </c>
      <c r="AD268">
        <v>0</v>
      </c>
      <c r="AE268" t="s">
        <v>66</v>
      </c>
      <c r="AF268" t="s">
        <v>56</v>
      </c>
      <c r="AG268" t="s">
        <v>56</v>
      </c>
      <c r="AH268" t="s">
        <v>56</v>
      </c>
      <c r="AI268" t="s">
        <v>56</v>
      </c>
      <c r="AJ268" t="s">
        <v>1783</v>
      </c>
      <c r="AK268" t="s">
        <v>1784</v>
      </c>
      <c r="AL268" t="s">
        <v>1785</v>
      </c>
      <c r="AM268" t="s">
        <v>1786</v>
      </c>
      <c r="AN268" t="s">
        <v>56</v>
      </c>
      <c r="AO268" t="s">
        <v>56</v>
      </c>
      <c r="AP268" t="s">
        <v>56</v>
      </c>
      <c r="AQ268" t="s">
        <v>71</v>
      </c>
      <c r="AR268" t="s">
        <v>56</v>
      </c>
      <c r="AS268" t="s">
        <v>56</v>
      </c>
      <c r="AT268" t="s">
        <v>56</v>
      </c>
      <c r="AU268" t="s">
        <v>56</v>
      </c>
      <c r="AV268" t="s">
        <v>56</v>
      </c>
      <c r="AW268" t="s">
        <v>56</v>
      </c>
      <c r="AX268">
        <v>4</v>
      </c>
    </row>
    <row r="269" spans="1:50" x14ac:dyDescent="0.25">
      <c r="A269" t="str">
        <f>"20200127184017061566"</f>
        <v>20200127184017061566</v>
      </c>
      <c r="B269" t="s">
        <v>190</v>
      </c>
      <c r="C269" t="s">
        <v>190</v>
      </c>
      <c r="D269" t="s">
        <v>1787</v>
      </c>
      <c r="E269" t="str">
        <f>"200010038901"</f>
        <v>200010038901</v>
      </c>
      <c r="F269" t="s">
        <v>52</v>
      </c>
      <c r="G269">
        <v>824004867</v>
      </c>
      <c r="H269">
        <v>20001</v>
      </c>
      <c r="I269" t="s">
        <v>1232</v>
      </c>
      <c r="J269" t="s">
        <v>1233</v>
      </c>
      <c r="K269" t="s">
        <v>54</v>
      </c>
      <c r="L269">
        <v>8711046</v>
      </c>
      <c r="M269" t="s">
        <v>261</v>
      </c>
      <c r="N269" t="s">
        <v>164</v>
      </c>
      <c r="O269" t="s">
        <v>343</v>
      </c>
      <c r="P269" t="s">
        <v>362</v>
      </c>
      <c r="Q269">
        <v>11109</v>
      </c>
      <c r="R269" t="s">
        <v>237</v>
      </c>
      <c r="S269">
        <v>1065837681</v>
      </c>
      <c r="T269" t="s">
        <v>1788</v>
      </c>
      <c r="U269" t="s">
        <v>1307</v>
      </c>
      <c r="V269" t="s">
        <v>1789</v>
      </c>
      <c r="W269" t="s">
        <v>263</v>
      </c>
      <c r="X269" t="s">
        <v>462</v>
      </c>
      <c r="Y269" t="s">
        <v>86</v>
      </c>
      <c r="Z269">
        <v>12</v>
      </c>
      <c r="AA269" t="s">
        <v>65</v>
      </c>
      <c r="AB269" t="s">
        <v>56</v>
      </c>
      <c r="AC269" t="s">
        <v>56</v>
      </c>
      <c r="AD269">
        <v>0</v>
      </c>
      <c r="AE269" t="s">
        <v>66</v>
      </c>
      <c r="AF269" t="s">
        <v>56</v>
      </c>
      <c r="AG269" t="s">
        <v>56</v>
      </c>
      <c r="AH269" t="s">
        <v>56</v>
      </c>
      <c r="AI269" t="s">
        <v>56</v>
      </c>
      <c r="AJ269" t="s">
        <v>1790</v>
      </c>
      <c r="AK269" t="s">
        <v>1791</v>
      </c>
      <c r="AL269" t="s">
        <v>56</v>
      </c>
      <c r="AM269" t="s">
        <v>56</v>
      </c>
      <c r="AN269" t="s">
        <v>56</v>
      </c>
      <c r="AO269" t="s">
        <v>56</v>
      </c>
      <c r="AP269" t="s">
        <v>56</v>
      </c>
      <c r="AQ269" t="s">
        <v>71</v>
      </c>
      <c r="AR269" t="s">
        <v>56</v>
      </c>
      <c r="AS269" t="s">
        <v>56</v>
      </c>
      <c r="AT269" t="s">
        <v>56</v>
      </c>
      <c r="AU269" t="s">
        <v>56</v>
      </c>
      <c r="AV269" t="s">
        <v>56</v>
      </c>
      <c r="AW269" t="s">
        <v>56</v>
      </c>
      <c r="AX269">
        <v>4</v>
      </c>
    </row>
    <row r="270" spans="1:50" x14ac:dyDescent="0.25">
      <c r="A270" t="str">
        <f>"20200127187017063890"</f>
        <v>20200127187017063890</v>
      </c>
      <c r="B270" t="s">
        <v>190</v>
      </c>
      <c r="C270" t="s">
        <v>190</v>
      </c>
      <c r="D270" t="s">
        <v>1792</v>
      </c>
      <c r="E270" t="str">
        <f>"080010003601"</f>
        <v>080010003601</v>
      </c>
      <c r="F270" t="s">
        <v>52</v>
      </c>
      <c r="G270">
        <v>802000955</v>
      </c>
      <c r="H270" t="s">
        <v>112</v>
      </c>
      <c r="I270" t="s">
        <v>218</v>
      </c>
      <c r="J270" t="s">
        <v>56</v>
      </c>
      <c r="K270" t="s">
        <v>54</v>
      </c>
      <c r="L270">
        <v>1045754222</v>
      </c>
      <c r="M270" t="s">
        <v>607</v>
      </c>
      <c r="N270" t="s">
        <v>117</v>
      </c>
      <c r="O270" t="s">
        <v>608</v>
      </c>
      <c r="P270" t="s">
        <v>528</v>
      </c>
      <c r="Q270">
        <v>1045754222</v>
      </c>
      <c r="R270" t="s">
        <v>54</v>
      </c>
      <c r="S270">
        <v>25877336</v>
      </c>
      <c r="T270" t="s">
        <v>345</v>
      </c>
      <c r="U270" t="s">
        <v>196</v>
      </c>
      <c r="V270" t="s">
        <v>1793</v>
      </c>
      <c r="W270" t="s">
        <v>1794</v>
      </c>
      <c r="X270" t="s">
        <v>241</v>
      </c>
      <c r="Y270" t="s">
        <v>121</v>
      </c>
      <c r="Z270">
        <v>12</v>
      </c>
      <c r="AA270" t="s">
        <v>65</v>
      </c>
      <c r="AB270" t="s">
        <v>56</v>
      </c>
      <c r="AC270" t="s">
        <v>56</v>
      </c>
      <c r="AD270">
        <v>0</v>
      </c>
      <c r="AE270" t="s">
        <v>66</v>
      </c>
      <c r="AF270" t="s">
        <v>56</v>
      </c>
      <c r="AG270" t="s">
        <v>56</v>
      </c>
      <c r="AH270" t="s">
        <v>56</v>
      </c>
      <c r="AI270" t="s">
        <v>56</v>
      </c>
      <c r="AJ270" t="s">
        <v>611</v>
      </c>
      <c r="AK270" t="s">
        <v>612</v>
      </c>
      <c r="AL270" t="s">
        <v>228</v>
      </c>
      <c r="AM270" t="s">
        <v>229</v>
      </c>
      <c r="AN270" t="s">
        <v>56</v>
      </c>
      <c r="AO270" t="s">
        <v>56</v>
      </c>
      <c r="AP270" t="s">
        <v>56</v>
      </c>
      <c r="AQ270" t="s">
        <v>71</v>
      </c>
      <c r="AR270" t="s">
        <v>56</v>
      </c>
      <c r="AS270" t="s">
        <v>56</v>
      </c>
      <c r="AT270" t="s">
        <v>56</v>
      </c>
      <c r="AU270" t="s">
        <v>56</v>
      </c>
      <c r="AV270" t="s">
        <v>56</v>
      </c>
      <c r="AW270" t="s">
        <v>56</v>
      </c>
      <c r="AX270">
        <v>4</v>
      </c>
    </row>
    <row r="271" spans="1:50" x14ac:dyDescent="0.25">
      <c r="A271" t="str">
        <f>"20200127110017043750"</f>
        <v>20200127110017043750</v>
      </c>
      <c r="B271" t="s">
        <v>190</v>
      </c>
      <c r="C271" t="s">
        <v>190</v>
      </c>
      <c r="D271" t="s">
        <v>1795</v>
      </c>
      <c r="E271" t="str">
        <f>"080010122201"</f>
        <v>080010122201</v>
      </c>
      <c r="F271" t="s">
        <v>52</v>
      </c>
      <c r="G271">
        <v>890116783</v>
      </c>
      <c r="H271" t="s">
        <v>112</v>
      </c>
      <c r="I271" t="s">
        <v>1796</v>
      </c>
      <c r="J271">
        <v>3781220</v>
      </c>
      <c r="K271" t="s">
        <v>54</v>
      </c>
      <c r="L271">
        <v>1140835805</v>
      </c>
      <c r="M271" t="s">
        <v>1797</v>
      </c>
      <c r="N271" t="s">
        <v>1798</v>
      </c>
      <c r="O271" t="s">
        <v>608</v>
      </c>
      <c r="P271" t="s">
        <v>1799</v>
      </c>
      <c r="Q271" t="s">
        <v>1800</v>
      </c>
      <c r="R271" t="s">
        <v>54</v>
      </c>
      <c r="S271">
        <v>22396648</v>
      </c>
      <c r="T271" t="s">
        <v>1000</v>
      </c>
      <c r="U271" t="s">
        <v>117</v>
      </c>
      <c r="V271" t="s">
        <v>1794</v>
      </c>
      <c r="W271" t="s">
        <v>1385</v>
      </c>
      <c r="X271" t="s">
        <v>241</v>
      </c>
      <c r="Y271" t="s">
        <v>121</v>
      </c>
      <c r="Z271">
        <v>12</v>
      </c>
      <c r="AA271" t="s">
        <v>65</v>
      </c>
      <c r="AB271" t="s">
        <v>56</v>
      </c>
      <c r="AC271" t="s">
        <v>56</v>
      </c>
      <c r="AD271">
        <v>0</v>
      </c>
      <c r="AE271" t="s">
        <v>66</v>
      </c>
      <c r="AF271" t="s">
        <v>56</v>
      </c>
      <c r="AG271" t="s">
        <v>56</v>
      </c>
      <c r="AH271" t="s">
        <v>56</v>
      </c>
      <c r="AI271" t="s">
        <v>56</v>
      </c>
      <c r="AJ271" t="s">
        <v>1801</v>
      </c>
      <c r="AK271" t="s">
        <v>1802</v>
      </c>
      <c r="AL271" t="s">
        <v>56</v>
      </c>
      <c r="AM271" t="s">
        <v>56</v>
      </c>
      <c r="AN271" t="s">
        <v>56</v>
      </c>
      <c r="AO271" t="s">
        <v>56</v>
      </c>
      <c r="AP271" t="s">
        <v>56</v>
      </c>
      <c r="AQ271" t="s">
        <v>71</v>
      </c>
      <c r="AR271" t="s">
        <v>56</v>
      </c>
      <c r="AS271" t="s">
        <v>56</v>
      </c>
      <c r="AT271" t="s">
        <v>56</v>
      </c>
      <c r="AU271" t="s">
        <v>56</v>
      </c>
      <c r="AV271" t="s">
        <v>56</v>
      </c>
      <c r="AW271" t="s">
        <v>56</v>
      </c>
      <c r="AX271">
        <v>4</v>
      </c>
    </row>
    <row r="272" spans="1:50" x14ac:dyDescent="0.25">
      <c r="A272" t="str">
        <f>"20200131124017163625"</f>
        <v>20200131124017163625</v>
      </c>
      <c r="B272" t="s">
        <v>110</v>
      </c>
      <c r="C272" t="s">
        <v>110</v>
      </c>
      <c r="D272" t="s">
        <v>1803</v>
      </c>
      <c r="E272" t="str">
        <f>"134300077501"</f>
        <v>134300077501</v>
      </c>
      <c r="F272" t="s">
        <v>52</v>
      </c>
      <c r="G272">
        <v>823002800</v>
      </c>
      <c r="H272">
        <v>13430</v>
      </c>
      <c r="I272" t="s">
        <v>539</v>
      </c>
      <c r="J272">
        <v>3107315890</v>
      </c>
      <c r="K272" t="s">
        <v>54</v>
      </c>
      <c r="L272">
        <v>92520392</v>
      </c>
      <c r="M272" t="s">
        <v>540</v>
      </c>
      <c r="N272" t="s">
        <v>164</v>
      </c>
      <c r="O272" t="s">
        <v>376</v>
      </c>
      <c r="P272" t="s">
        <v>109</v>
      </c>
      <c r="Q272">
        <v>282</v>
      </c>
      <c r="R272" t="s">
        <v>54</v>
      </c>
      <c r="S272">
        <v>9127918</v>
      </c>
      <c r="T272" t="s">
        <v>164</v>
      </c>
      <c r="U272" t="s">
        <v>128</v>
      </c>
      <c r="V272" t="s">
        <v>57</v>
      </c>
      <c r="W272" t="s">
        <v>109</v>
      </c>
      <c r="X272" t="s">
        <v>135</v>
      </c>
      <c r="Y272" t="s">
        <v>330</v>
      </c>
      <c r="Z272">
        <v>12</v>
      </c>
      <c r="AA272" t="s">
        <v>65</v>
      </c>
      <c r="AB272" t="s">
        <v>56</v>
      </c>
      <c r="AC272" t="s">
        <v>56</v>
      </c>
      <c r="AD272">
        <v>0</v>
      </c>
      <c r="AE272" t="s">
        <v>66</v>
      </c>
      <c r="AF272" t="s">
        <v>56</v>
      </c>
      <c r="AG272" t="s">
        <v>56</v>
      </c>
      <c r="AH272" t="s">
        <v>56</v>
      </c>
      <c r="AI272" t="s">
        <v>56</v>
      </c>
      <c r="AJ272" t="s">
        <v>545</v>
      </c>
      <c r="AK272" t="s">
        <v>546</v>
      </c>
      <c r="AL272" t="s">
        <v>56</v>
      </c>
      <c r="AM272" t="s">
        <v>56</v>
      </c>
      <c r="AN272" t="s">
        <v>56</v>
      </c>
      <c r="AO272" t="s">
        <v>56</v>
      </c>
      <c r="AP272" t="s">
        <v>56</v>
      </c>
      <c r="AQ272" t="s">
        <v>71</v>
      </c>
      <c r="AR272" t="s">
        <v>56</v>
      </c>
      <c r="AS272" t="s">
        <v>56</v>
      </c>
      <c r="AT272" t="s">
        <v>56</v>
      </c>
      <c r="AU272" t="s">
        <v>56</v>
      </c>
      <c r="AV272" t="s">
        <v>56</v>
      </c>
      <c r="AW272" t="s">
        <v>56</v>
      </c>
      <c r="AX272">
        <v>4</v>
      </c>
    </row>
    <row r="273" spans="1:50" x14ac:dyDescent="0.25">
      <c r="A273" t="str">
        <f>"20200127199017062951"</f>
        <v>20200127199017062951</v>
      </c>
      <c r="B273" t="s">
        <v>190</v>
      </c>
      <c r="C273" t="s">
        <v>190</v>
      </c>
      <c r="D273" t="s">
        <v>1804</v>
      </c>
      <c r="E273" t="str">
        <f>"760010379901"</f>
        <v>760010379901</v>
      </c>
      <c r="F273" t="s">
        <v>52</v>
      </c>
      <c r="G273">
        <v>890303461</v>
      </c>
      <c r="H273">
        <v>76001</v>
      </c>
      <c r="I273" t="s">
        <v>270</v>
      </c>
      <c r="J273" t="s">
        <v>271</v>
      </c>
      <c r="K273" t="s">
        <v>54</v>
      </c>
      <c r="L273">
        <v>31481950</v>
      </c>
      <c r="M273" t="s">
        <v>59</v>
      </c>
      <c r="N273" t="s">
        <v>60</v>
      </c>
      <c r="O273" t="s">
        <v>263</v>
      </c>
      <c r="P273" t="s">
        <v>1361</v>
      </c>
      <c r="Q273">
        <v>520508</v>
      </c>
      <c r="R273" t="s">
        <v>54</v>
      </c>
      <c r="S273">
        <v>16348084</v>
      </c>
      <c r="T273" t="s">
        <v>164</v>
      </c>
      <c r="U273" t="s">
        <v>492</v>
      </c>
      <c r="V273" t="s">
        <v>560</v>
      </c>
      <c r="W273" t="s">
        <v>1805</v>
      </c>
      <c r="X273" t="s">
        <v>101</v>
      </c>
      <c r="Y273" t="s">
        <v>64</v>
      </c>
      <c r="Z273">
        <v>22</v>
      </c>
      <c r="AA273" t="s">
        <v>102</v>
      </c>
      <c r="AB273">
        <v>0</v>
      </c>
      <c r="AC273" t="s">
        <v>66</v>
      </c>
      <c r="AD273">
        <v>0</v>
      </c>
      <c r="AE273" t="s">
        <v>66</v>
      </c>
      <c r="AF273" t="s">
        <v>56</v>
      </c>
      <c r="AG273" t="s">
        <v>56</v>
      </c>
      <c r="AH273" t="s">
        <v>56</v>
      </c>
      <c r="AI273" t="s">
        <v>56</v>
      </c>
      <c r="AJ273" t="s">
        <v>1806</v>
      </c>
      <c r="AK273" t="s">
        <v>1807</v>
      </c>
      <c r="AL273" t="s">
        <v>56</v>
      </c>
      <c r="AM273" t="s">
        <v>56</v>
      </c>
      <c r="AN273" t="s">
        <v>56</v>
      </c>
      <c r="AO273" t="s">
        <v>56</v>
      </c>
      <c r="AP273" t="s">
        <v>56</v>
      </c>
      <c r="AQ273" t="s">
        <v>71</v>
      </c>
      <c r="AR273" t="s">
        <v>56</v>
      </c>
      <c r="AS273" t="s">
        <v>56</v>
      </c>
      <c r="AT273" t="s">
        <v>56</v>
      </c>
      <c r="AU273" t="s">
        <v>56</v>
      </c>
      <c r="AV273" t="s">
        <v>56</v>
      </c>
      <c r="AW273" t="s">
        <v>56</v>
      </c>
      <c r="AX273">
        <v>4</v>
      </c>
    </row>
    <row r="274" spans="1:50" x14ac:dyDescent="0.25">
      <c r="A274" t="str">
        <f>"20200124121016997609"</f>
        <v>20200124121016997609</v>
      </c>
      <c r="B274" t="s">
        <v>201</v>
      </c>
      <c r="C274" t="s">
        <v>201</v>
      </c>
      <c r="D274" t="s">
        <v>1808</v>
      </c>
      <c r="E274" t="str">
        <f>"080010349401"</f>
        <v>080010349401</v>
      </c>
      <c r="F274" t="s">
        <v>52</v>
      </c>
      <c r="G274">
        <v>900458308</v>
      </c>
      <c r="H274" t="s">
        <v>112</v>
      </c>
      <c r="I274" t="s">
        <v>370</v>
      </c>
      <c r="J274" t="s">
        <v>371</v>
      </c>
      <c r="K274" t="s">
        <v>54</v>
      </c>
      <c r="L274">
        <v>1143378811</v>
      </c>
      <c r="M274" t="s">
        <v>372</v>
      </c>
      <c r="N274" t="s">
        <v>373</v>
      </c>
      <c r="O274" t="s">
        <v>109</v>
      </c>
      <c r="P274" t="s">
        <v>374</v>
      </c>
      <c r="Q274">
        <v>1143378811</v>
      </c>
      <c r="R274" t="s">
        <v>54</v>
      </c>
      <c r="S274">
        <v>22670599</v>
      </c>
      <c r="T274" t="s">
        <v>1668</v>
      </c>
      <c r="U274" t="s">
        <v>117</v>
      </c>
      <c r="V274" t="s">
        <v>364</v>
      </c>
      <c r="W274" t="s">
        <v>1809</v>
      </c>
      <c r="X274" t="s">
        <v>443</v>
      </c>
      <c r="Y274" t="s">
        <v>121</v>
      </c>
      <c r="Z274">
        <v>12</v>
      </c>
      <c r="AA274" t="s">
        <v>65</v>
      </c>
      <c r="AB274" t="s">
        <v>56</v>
      </c>
      <c r="AC274" t="s">
        <v>56</v>
      </c>
      <c r="AD274">
        <v>0</v>
      </c>
      <c r="AE274" t="s">
        <v>66</v>
      </c>
      <c r="AF274" t="s">
        <v>56</v>
      </c>
      <c r="AG274" t="s">
        <v>56</v>
      </c>
      <c r="AH274" t="s">
        <v>56</v>
      </c>
      <c r="AI274" t="s">
        <v>56</v>
      </c>
      <c r="AJ274" t="s">
        <v>356</v>
      </c>
      <c r="AK274" t="s">
        <v>357</v>
      </c>
      <c r="AL274" t="s">
        <v>255</v>
      </c>
      <c r="AM274" t="s">
        <v>256</v>
      </c>
      <c r="AN274" t="s">
        <v>56</v>
      </c>
      <c r="AO274" t="s">
        <v>56</v>
      </c>
      <c r="AP274" t="s">
        <v>56</v>
      </c>
      <c r="AQ274" t="s">
        <v>71</v>
      </c>
      <c r="AR274" t="s">
        <v>56</v>
      </c>
      <c r="AS274" t="s">
        <v>56</v>
      </c>
      <c r="AT274" t="s">
        <v>56</v>
      </c>
      <c r="AU274" t="s">
        <v>56</v>
      </c>
      <c r="AV274" t="s">
        <v>56</v>
      </c>
      <c r="AW274" t="s">
        <v>56</v>
      </c>
      <c r="AX274">
        <v>4</v>
      </c>
    </row>
    <row r="275" spans="1:50" x14ac:dyDescent="0.25">
      <c r="A275" t="str">
        <f>"20200124186016997619"</f>
        <v>20200124186016997619</v>
      </c>
      <c r="B275" t="s">
        <v>201</v>
      </c>
      <c r="C275" t="s">
        <v>201</v>
      </c>
      <c r="D275" t="s">
        <v>1810</v>
      </c>
      <c r="E275" t="str">
        <f>"080010349401"</f>
        <v>080010349401</v>
      </c>
      <c r="F275" t="s">
        <v>52</v>
      </c>
      <c r="G275">
        <v>900458308</v>
      </c>
      <c r="H275" t="s">
        <v>112</v>
      </c>
      <c r="I275" t="s">
        <v>370</v>
      </c>
      <c r="J275" t="s">
        <v>371</v>
      </c>
      <c r="K275" t="s">
        <v>54</v>
      </c>
      <c r="L275">
        <v>1143378811</v>
      </c>
      <c r="M275" t="s">
        <v>372</v>
      </c>
      <c r="N275" t="s">
        <v>373</v>
      </c>
      <c r="O275" t="s">
        <v>109</v>
      </c>
      <c r="P275" t="s">
        <v>374</v>
      </c>
      <c r="Q275">
        <v>1143378811</v>
      </c>
      <c r="R275" t="s">
        <v>54</v>
      </c>
      <c r="S275">
        <v>22670599</v>
      </c>
      <c r="T275" t="s">
        <v>1668</v>
      </c>
      <c r="U275" t="s">
        <v>117</v>
      </c>
      <c r="V275" t="s">
        <v>364</v>
      </c>
      <c r="W275" t="s">
        <v>1809</v>
      </c>
      <c r="X275" t="s">
        <v>443</v>
      </c>
      <c r="Y275" t="s">
        <v>121</v>
      </c>
      <c r="Z275">
        <v>12</v>
      </c>
      <c r="AA275" t="s">
        <v>65</v>
      </c>
      <c r="AB275" t="s">
        <v>56</v>
      </c>
      <c r="AC275" t="s">
        <v>56</v>
      </c>
      <c r="AD275">
        <v>0</v>
      </c>
      <c r="AE275" t="s">
        <v>66</v>
      </c>
      <c r="AF275" t="s">
        <v>56</v>
      </c>
      <c r="AG275" t="s">
        <v>56</v>
      </c>
      <c r="AH275" t="s">
        <v>56</v>
      </c>
      <c r="AI275" t="s">
        <v>56</v>
      </c>
      <c r="AJ275" t="s">
        <v>828</v>
      </c>
      <c r="AK275" t="s">
        <v>829</v>
      </c>
      <c r="AL275" t="s">
        <v>56</v>
      </c>
      <c r="AM275" t="s">
        <v>56</v>
      </c>
      <c r="AN275" t="s">
        <v>56</v>
      </c>
      <c r="AO275" t="s">
        <v>56</v>
      </c>
      <c r="AP275" t="s">
        <v>56</v>
      </c>
      <c r="AQ275" t="s">
        <v>71</v>
      </c>
      <c r="AR275" t="s">
        <v>56</v>
      </c>
      <c r="AS275" t="s">
        <v>56</v>
      </c>
      <c r="AT275" t="s">
        <v>56</v>
      </c>
      <c r="AU275" t="s">
        <v>56</v>
      </c>
      <c r="AV275" t="s">
        <v>56</v>
      </c>
      <c r="AW275" t="s">
        <v>56</v>
      </c>
      <c r="AX275">
        <v>4</v>
      </c>
    </row>
    <row r="276" spans="1:50" x14ac:dyDescent="0.25">
      <c r="A276" t="str">
        <f>"20200128156017075318"</f>
        <v>20200128156017075318</v>
      </c>
      <c r="B276" t="s">
        <v>151</v>
      </c>
      <c r="C276" t="s">
        <v>151</v>
      </c>
      <c r="D276" t="s">
        <v>1811</v>
      </c>
      <c r="E276" t="str">
        <f>"760200165701"</f>
        <v>760200165701</v>
      </c>
      <c r="F276" t="s">
        <v>52</v>
      </c>
      <c r="G276">
        <v>891900438</v>
      </c>
      <c r="H276">
        <v>76020</v>
      </c>
      <c r="I276" t="s">
        <v>447</v>
      </c>
      <c r="J276">
        <v>2004120</v>
      </c>
      <c r="K276" t="s">
        <v>54</v>
      </c>
      <c r="L276">
        <v>10123191</v>
      </c>
      <c r="M276" t="s">
        <v>291</v>
      </c>
      <c r="N276" t="s">
        <v>838</v>
      </c>
      <c r="O276" t="s">
        <v>839</v>
      </c>
      <c r="P276" t="s">
        <v>425</v>
      </c>
      <c r="Q276">
        <v>762392</v>
      </c>
      <c r="R276" t="s">
        <v>54</v>
      </c>
      <c r="S276">
        <v>29137659</v>
      </c>
      <c r="T276" t="s">
        <v>1812</v>
      </c>
      <c r="U276" t="s">
        <v>62</v>
      </c>
      <c r="V276" t="s">
        <v>1813</v>
      </c>
      <c r="W276" t="s">
        <v>1186</v>
      </c>
      <c r="X276" t="s">
        <v>453</v>
      </c>
      <c r="Y276" t="s">
        <v>64</v>
      </c>
      <c r="Z276">
        <v>11</v>
      </c>
      <c r="AA276" t="s">
        <v>87</v>
      </c>
      <c r="AB276" t="s">
        <v>56</v>
      </c>
      <c r="AC276" t="s">
        <v>56</v>
      </c>
      <c r="AD276">
        <v>0</v>
      </c>
      <c r="AE276" t="s">
        <v>66</v>
      </c>
      <c r="AF276" t="s">
        <v>56</v>
      </c>
      <c r="AG276" t="s">
        <v>56</v>
      </c>
      <c r="AH276" t="s">
        <v>56</v>
      </c>
      <c r="AI276" t="s">
        <v>56</v>
      </c>
      <c r="AJ276" t="s">
        <v>454</v>
      </c>
      <c r="AK276" t="s">
        <v>455</v>
      </c>
      <c r="AL276" t="s">
        <v>56</v>
      </c>
      <c r="AM276" t="s">
        <v>56</v>
      </c>
      <c r="AN276" t="s">
        <v>56</v>
      </c>
      <c r="AO276" t="s">
        <v>56</v>
      </c>
      <c r="AP276" t="s">
        <v>56</v>
      </c>
      <c r="AQ276" t="s">
        <v>71</v>
      </c>
      <c r="AR276" t="s">
        <v>56</v>
      </c>
      <c r="AS276" t="s">
        <v>56</v>
      </c>
      <c r="AT276" t="s">
        <v>56</v>
      </c>
      <c r="AU276" t="s">
        <v>56</v>
      </c>
      <c r="AV276" t="s">
        <v>56</v>
      </c>
      <c r="AW276" t="s">
        <v>56</v>
      </c>
      <c r="AX276">
        <v>4</v>
      </c>
    </row>
    <row r="277" spans="1:50" x14ac:dyDescent="0.25">
      <c r="A277" t="str">
        <f>"20200129169017122707"</f>
        <v>20200129169017122707</v>
      </c>
      <c r="B277" t="s">
        <v>72</v>
      </c>
      <c r="C277" t="s">
        <v>72</v>
      </c>
      <c r="D277" t="s">
        <v>1814</v>
      </c>
      <c r="E277" t="str">
        <f>"200010162601"</f>
        <v>200010162601</v>
      </c>
      <c r="F277" t="s">
        <v>52</v>
      </c>
      <c r="G277">
        <v>900552539</v>
      </c>
      <c r="H277">
        <v>20001</v>
      </c>
      <c r="I277" t="s">
        <v>140</v>
      </c>
      <c r="J277">
        <v>3003009498</v>
      </c>
      <c r="K277" t="s">
        <v>54</v>
      </c>
      <c r="L277">
        <v>1129572448</v>
      </c>
      <c r="M277" t="s">
        <v>141</v>
      </c>
      <c r="N277" t="s">
        <v>142</v>
      </c>
      <c r="O277" t="s">
        <v>143</v>
      </c>
      <c r="P277" t="s">
        <v>144</v>
      </c>
      <c r="Q277">
        <v>86169</v>
      </c>
      <c r="R277" t="s">
        <v>237</v>
      </c>
      <c r="S277">
        <v>1065134897</v>
      </c>
      <c r="T277" t="s">
        <v>1815</v>
      </c>
      <c r="U277" t="s">
        <v>995</v>
      </c>
      <c r="V277" t="s">
        <v>811</v>
      </c>
      <c r="W277" t="s">
        <v>108</v>
      </c>
      <c r="X277" t="s">
        <v>506</v>
      </c>
      <c r="Y277" t="s">
        <v>86</v>
      </c>
      <c r="Z277">
        <v>12</v>
      </c>
      <c r="AA277" t="s">
        <v>65</v>
      </c>
      <c r="AB277" t="s">
        <v>56</v>
      </c>
      <c r="AC277" t="s">
        <v>56</v>
      </c>
      <c r="AD277">
        <v>0</v>
      </c>
      <c r="AE277" t="s">
        <v>66</v>
      </c>
      <c r="AF277" t="s">
        <v>56</v>
      </c>
      <c r="AG277" t="s">
        <v>56</v>
      </c>
      <c r="AH277" t="s">
        <v>56</v>
      </c>
      <c r="AI277" t="s">
        <v>56</v>
      </c>
      <c r="AJ277" t="s">
        <v>1816</v>
      </c>
      <c r="AK277" t="s">
        <v>1817</v>
      </c>
      <c r="AL277" t="s">
        <v>56</v>
      </c>
      <c r="AM277" t="s">
        <v>56</v>
      </c>
      <c r="AN277" t="s">
        <v>56</v>
      </c>
      <c r="AO277" t="s">
        <v>56</v>
      </c>
      <c r="AP277" t="s">
        <v>56</v>
      </c>
      <c r="AQ277" t="s">
        <v>71</v>
      </c>
      <c r="AR277" t="s">
        <v>56</v>
      </c>
      <c r="AS277" t="s">
        <v>56</v>
      </c>
      <c r="AT277" t="s">
        <v>56</v>
      </c>
      <c r="AU277" t="s">
        <v>56</v>
      </c>
      <c r="AV277" t="s">
        <v>56</v>
      </c>
      <c r="AW277" t="s">
        <v>56</v>
      </c>
      <c r="AX277">
        <v>4</v>
      </c>
    </row>
    <row r="278" spans="1:50" x14ac:dyDescent="0.25">
      <c r="A278" t="str">
        <f>"20200131192017160928"</f>
        <v>20200131192017160928</v>
      </c>
      <c r="B278" t="s">
        <v>110</v>
      </c>
      <c r="C278" t="s">
        <v>110</v>
      </c>
      <c r="D278" t="s">
        <v>1818</v>
      </c>
      <c r="E278" t="str">
        <f>"700010096901"</f>
        <v>700010096901</v>
      </c>
      <c r="F278" t="s">
        <v>52</v>
      </c>
      <c r="G278">
        <v>900118990</v>
      </c>
      <c r="H278">
        <v>70001</v>
      </c>
      <c r="I278" t="s">
        <v>869</v>
      </c>
      <c r="J278">
        <v>2761605</v>
      </c>
      <c r="K278" t="s">
        <v>54</v>
      </c>
      <c r="L278">
        <v>22803718</v>
      </c>
      <c r="M278" t="s">
        <v>1621</v>
      </c>
      <c r="N278" t="s">
        <v>56</v>
      </c>
      <c r="O278" t="s">
        <v>1622</v>
      </c>
      <c r="P278" t="s">
        <v>1623</v>
      </c>
      <c r="Q278" t="s">
        <v>1624</v>
      </c>
      <c r="R278" t="s">
        <v>237</v>
      </c>
      <c r="S278">
        <v>1101814137</v>
      </c>
      <c r="T278" t="s">
        <v>81</v>
      </c>
      <c r="U278" t="s">
        <v>259</v>
      </c>
      <c r="V278" t="s">
        <v>315</v>
      </c>
      <c r="W278" t="s">
        <v>324</v>
      </c>
      <c r="X278" t="s">
        <v>605</v>
      </c>
      <c r="Y278" t="s">
        <v>330</v>
      </c>
      <c r="Z278">
        <v>11</v>
      </c>
      <c r="AA278" t="s">
        <v>87</v>
      </c>
      <c r="AB278" t="s">
        <v>56</v>
      </c>
      <c r="AC278" t="s">
        <v>56</v>
      </c>
      <c r="AD278">
        <v>0</v>
      </c>
      <c r="AE278" t="s">
        <v>66</v>
      </c>
      <c r="AF278" t="s">
        <v>56</v>
      </c>
      <c r="AG278" t="s">
        <v>56</v>
      </c>
      <c r="AH278" t="s">
        <v>56</v>
      </c>
      <c r="AI278" t="s">
        <v>56</v>
      </c>
      <c r="AJ278" t="s">
        <v>1819</v>
      </c>
      <c r="AK278" t="s">
        <v>1820</v>
      </c>
      <c r="AL278" t="s">
        <v>56</v>
      </c>
      <c r="AM278" t="s">
        <v>56</v>
      </c>
      <c r="AN278" t="s">
        <v>56</v>
      </c>
      <c r="AO278" t="s">
        <v>56</v>
      </c>
      <c r="AP278" t="s">
        <v>56</v>
      </c>
      <c r="AQ278" t="s">
        <v>71</v>
      </c>
      <c r="AR278" t="s">
        <v>56</v>
      </c>
      <c r="AS278" t="s">
        <v>56</v>
      </c>
      <c r="AT278" t="s">
        <v>56</v>
      </c>
      <c r="AU278" t="s">
        <v>56</v>
      </c>
      <c r="AV278" t="s">
        <v>56</v>
      </c>
      <c r="AW278" t="s">
        <v>56</v>
      </c>
      <c r="AX278">
        <v>4</v>
      </c>
    </row>
    <row r="279" spans="1:50" x14ac:dyDescent="0.25">
      <c r="A279" t="str">
        <f>"20200131157017167304"</f>
        <v>20200131157017167304</v>
      </c>
      <c r="B279" t="s">
        <v>110</v>
      </c>
      <c r="C279" t="s">
        <v>110</v>
      </c>
      <c r="D279" t="s">
        <v>538</v>
      </c>
      <c r="E279" t="str">
        <f>"700010096901"</f>
        <v>700010096901</v>
      </c>
      <c r="F279" t="s">
        <v>52</v>
      </c>
      <c r="G279">
        <v>900118990</v>
      </c>
      <c r="H279">
        <v>70001</v>
      </c>
      <c r="I279" t="s">
        <v>869</v>
      </c>
      <c r="J279">
        <v>2761605</v>
      </c>
      <c r="K279" t="s">
        <v>54</v>
      </c>
      <c r="L279">
        <v>22803718</v>
      </c>
      <c r="M279" t="s">
        <v>1621</v>
      </c>
      <c r="N279" t="s">
        <v>56</v>
      </c>
      <c r="O279" t="s">
        <v>1622</v>
      </c>
      <c r="P279" t="s">
        <v>1623</v>
      </c>
      <c r="Q279" t="s">
        <v>1624</v>
      </c>
      <c r="R279" t="s">
        <v>237</v>
      </c>
      <c r="S279">
        <v>1101814137</v>
      </c>
      <c r="T279" t="s">
        <v>81</v>
      </c>
      <c r="U279" t="s">
        <v>259</v>
      </c>
      <c r="V279" t="s">
        <v>315</v>
      </c>
      <c r="W279" t="s">
        <v>324</v>
      </c>
      <c r="X279" t="s">
        <v>605</v>
      </c>
      <c r="Y279" t="s">
        <v>330</v>
      </c>
      <c r="Z279">
        <v>11</v>
      </c>
      <c r="AA279" t="s">
        <v>87</v>
      </c>
      <c r="AB279" t="s">
        <v>56</v>
      </c>
      <c r="AC279" t="s">
        <v>56</v>
      </c>
      <c r="AD279">
        <v>0</v>
      </c>
      <c r="AE279" t="s">
        <v>66</v>
      </c>
      <c r="AF279" t="s">
        <v>56</v>
      </c>
      <c r="AG279" t="s">
        <v>56</v>
      </c>
      <c r="AH279" t="s">
        <v>56</v>
      </c>
      <c r="AI279" t="s">
        <v>56</v>
      </c>
      <c r="AJ279" t="s">
        <v>1819</v>
      </c>
      <c r="AK279" t="s">
        <v>1820</v>
      </c>
      <c r="AL279" t="s">
        <v>56</v>
      </c>
      <c r="AM279" t="s">
        <v>56</v>
      </c>
      <c r="AN279" t="s">
        <v>56</v>
      </c>
      <c r="AO279" t="s">
        <v>56</v>
      </c>
      <c r="AP279" t="s">
        <v>56</v>
      </c>
      <c r="AQ279" t="s">
        <v>71</v>
      </c>
      <c r="AR279" t="s">
        <v>56</v>
      </c>
      <c r="AS279" t="s">
        <v>56</v>
      </c>
      <c r="AT279" t="s">
        <v>56</v>
      </c>
      <c r="AU279" t="s">
        <v>56</v>
      </c>
      <c r="AV279" t="s">
        <v>56</v>
      </c>
      <c r="AW279" t="s">
        <v>56</v>
      </c>
      <c r="AX279">
        <v>4</v>
      </c>
    </row>
    <row r="280" spans="1:50" x14ac:dyDescent="0.25">
      <c r="A280" t="str">
        <f>"20200201173017184094"</f>
        <v>20200201173017184094</v>
      </c>
      <c r="B280" t="s">
        <v>50</v>
      </c>
      <c r="C280" t="s">
        <v>50</v>
      </c>
      <c r="D280" t="s">
        <v>1821</v>
      </c>
      <c r="E280" t="str">
        <f>"132440049301"</f>
        <v>132440049301</v>
      </c>
      <c r="F280" t="s">
        <v>52</v>
      </c>
      <c r="G280">
        <v>900196346</v>
      </c>
      <c r="H280">
        <v>13244</v>
      </c>
      <c r="I280" t="s">
        <v>1822</v>
      </c>
      <c r="J280">
        <v>6861950</v>
      </c>
      <c r="K280" t="s">
        <v>54</v>
      </c>
      <c r="L280">
        <v>45580032</v>
      </c>
      <c r="M280" t="s">
        <v>1823</v>
      </c>
      <c r="N280" t="s">
        <v>117</v>
      </c>
      <c r="O280" t="s">
        <v>691</v>
      </c>
      <c r="P280" t="s">
        <v>1361</v>
      </c>
      <c r="Q280" t="s">
        <v>1824</v>
      </c>
      <c r="R280" t="s">
        <v>54</v>
      </c>
      <c r="S280">
        <v>45583287</v>
      </c>
      <c r="T280" t="s">
        <v>1825</v>
      </c>
      <c r="U280" t="s">
        <v>1826</v>
      </c>
      <c r="V280" t="s">
        <v>472</v>
      </c>
      <c r="W280" t="s">
        <v>1352</v>
      </c>
      <c r="X280" t="s">
        <v>1277</v>
      </c>
      <c r="Y280" t="s">
        <v>101</v>
      </c>
      <c r="Z280">
        <v>11</v>
      </c>
      <c r="AA280" t="s">
        <v>87</v>
      </c>
      <c r="AB280" t="s">
        <v>56</v>
      </c>
      <c r="AC280" t="s">
        <v>56</v>
      </c>
      <c r="AD280">
        <v>0</v>
      </c>
      <c r="AE280" t="s">
        <v>66</v>
      </c>
      <c r="AF280" t="s">
        <v>56</v>
      </c>
      <c r="AG280" t="s">
        <v>56</v>
      </c>
      <c r="AH280" t="s">
        <v>56</v>
      </c>
      <c r="AI280" t="s">
        <v>56</v>
      </c>
      <c r="AJ280" t="s">
        <v>718</v>
      </c>
      <c r="AK280" t="s">
        <v>719</v>
      </c>
      <c r="AL280" t="s">
        <v>591</v>
      </c>
      <c r="AM280" t="s">
        <v>592</v>
      </c>
      <c r="AN280" t="s">
        <v>1827</v>
      </c>
      <c r="AO280" t="s">
        <v>1828</v>
      </c>
      <c r="AP280" t="s">
        <v>56</v>
      </c>
      <c r="AQ280" t="s">
        <v>71</v>
      </c>
      <c r="AR280" t="s">
        <v>56</v>
      </c>
      <c r="AS280" t="s">
        <v>56</v>
      </c>
      <c r="AT280" t="s">
        <v>56</v>
      </c>
      <c r="AU280" t="s">
        <v>56</v>
      </c>
      <c r="AV280" t="s">
        <v>56</v>
      </c>
      <c r="AW280" t="s">
        <v>56</v>
      </c>
      <c r="AX280">
        <v>4</v>
      </c>
    </row>
    <row r="281" spans="1:50" x14ac:dyDescent="0.25">
      <c r="A281" t="str">
        <f>"20200131163017168357"</f>
        <v>20200131163017168357</v>
      </c>
      <c r="B281" t="s">
        <v>110</v>
      </c>
      <c r="C281" t="s">
        <v>110</v>
      </c>
      <c r="D281" t="s">
        <v>1829</v>
      </c>
      <c r="E281" t="str">
        <f>"761470371502"</f>
        <v>761470371502</v>
      </c>
      <c r="F281" t="s">
        <v>52</v>
      </c>
      <c r="G281">
        <v>890303841</v>
      </c>
      <c r="H281">
        <v>76147</v>
      </c>
      <c r="I281" t="s">
        <v>359</v>
      </c>
      <c r="J281">
        <v>2132425</v>
      </c>
      <c r="K281" t="s">
        <v>54</v>
      </c>
      <c r="L281">
        <v>16830715</v>
      </c>
      <c r="M281" t="s">
        <v>127</v>
      </c>
      <c r="N281" t="s">
        <v>360</v>
      </c>
      <c r="O281" t="s">
        <v>361</v>
      </c>
      <c r="P281" t="s">
        <v>362</v>
      </c>
      <c r="Q281">
        <v>1913</v>
      </c>
      <c r="R281" t="s">
        <v>54</v>
      </c>
      <c r="S281">
        <v>29140950</v>
      </c>
      <c r="T281" t="s">
        <v>1327</v>
      </c>
      <c r="U281" t="s">
        <v>1830</v>
      </c>
      <c r="V281" t="s">
        <v>1831</v>
      </c>
      <c r="W281" t="s">
        <v>532</v>
      </c>
      <c r="X281" t="s">
        <v>277</v>
      </c>
      <c r="Y281" t="s">
        <v>64</v>
      </c>
      <c r="Z281">
        <v>11</v>
      </c>
      <c r="AA281" t="s">
        <v>87</v>
      </c>
      <c r="AB281" t="s">
        <v>56</v>
      </c>
      <c r="AC281" t="s">
        <v>56</v>
      </c>
      <c r="AD281">
        <v>0</v>
      </c>
      <c r="AE281" t="s">
        <v>66</v>
      </c>
      <c r="AF281" t="s">
        <v>56</v>
      </c>
      <c r="AG281" t="s">
        <v>56</v>
      </c>
      <c r="AH281" t="s">
        <v>56</v>
      </c>
      <c r="AI281" t="s">
        <v>56</v>
      </c>
      <c r="AJ281" t="s">
        <v>365</v>
      </c>
      <c r="AK281" t="s">
        <v>366</v>
      </c>
      <c r="AL281" t="s">
        <v>1832</v>
      </c>
      <c r="AM281" t="s">
        <v>1833</v>
      </c>
      <c r="AN281" t="s">
        <v>215</v>
      </c>
      <c r="AO281" t="s">
        <v>216</v>
      </c>
      <c r="AP281" t="s">
        <v>56</v>
      </c>
      <c r="AQ281" t="s">
        <v>71</v>
      </c>
      <c r="AR281" t="s">
        <v>56</v>
      </c>
      <c r="AS281" t="s">
        <v>56</v>
      </c>
      <c r="AT281" t="s">
        <v>56</v>
      </c>
      <c r="AU281" t="s">
        <v>56</v>
      </c>
      <c r="AV281" t="s">
        <v>56</v>
      </c>
      <c r="AW281" t="s">
        <v>56</v>
      </c>
      <c r="AX281">
        <v>4</v>
      </c>
    </row>
    <row r="282" spans="1:50" x14ac:dyDescent="0.25">
      <c r="A282" t="str">
        <f>"20200131144017173741"</f>
        <v>20200131144017173741</v>
      </c>
      <c r="B282" t="s">
        <v>110</v>
      </c>
      <c r="C282" t="s">
        <v>110</v>
      </c>
      <c r="D282" t="s">
        <v>1834</v>
      </c>
      <c r="E282" t="str">
        <f>"080010445409"</f>
        <v>080010445409</v>
      </c>
      <c r="F282" t="s">
        <v>52</v>
      </c>
      <c r="G282">
        <v>901139193</v>
      </c>
      <c r="H282" t="s">
        <v>112</v>
      </c>
      <c r="I282" t="s">
        <v>203</v>
      </c>
      <c r="J282">
        <v>3781483</v>
      </c>
      <c r="K282" t="s">
        <v>54</v>
      </c>
      <c r="L282">
        <v>1045668608</v>
      </c>
      <c r="M282" t="s">
        <v>204</v>
      </c>
      <c r="N282" t="s">
        <v>205</v>
      </c>
      <c r="O282" t="s">
        <v>206</v>
      </c>
      <c r="P282" t="s">
        <v>207</v>
      </c>
      <c r="Q282" t="s">
        <v>208</v>
      </c>
      <c r="R282" t="s">
        <v>237</v>
      </c>
      <c r="S282">
        <v>1143237712</v>
      </c>
      <c r="T282" t="s">
        <v>1835</v>
      </c>
      <c r="U282" t="s">
        <v>59</v>
      </c>
      <c r="V282" t="s">
        <v>1361</v>
      </c>
      <c r="W282" t="s">
        <v>956</v>
      </c>
      <c r="X282" t="s">
        <v>120</v>
      </c>
      <c r="Y282" t="s">
        <v>121</v>
      </c>
      <c r="Z282">
        <v>12</v>
      </c>
      <c r="AA282" t="s">
        <v>65</v>
      </c>
      <c r="AB282" t="s">
        <v>56</v>
      </c>
      <c r="AC282" t="s">
        <v>56</v>
      </c>
      <c r="AD282">
        <v>0</v>
      </c>
      <c r="AE282" t="s">
        <v>66</v>
      </c>
      <c r="AF282" t="s">
        <v>56</v>
      </c>
      <c r="AG282" t="s">
        <v>56</v>
      </c>
      <c r="AH282" t="s">
        <v>56</v>
      </c>
      <c r="AI282" t="s">
        <v>56</v>
      </c>
      <c r="AJ282" t="s">
        <v>122</v>
      </c>
      <c r="AK282" t="s">
        <v>123</v>
      </c>
      <c r="AL282" t="s">
        <v>56</v>
      </c>
      <c r="AM282" t="s">
        <v>56</v>
      </c>
      <c r="AN282" t="s">
        <v>56</v>
      </c>
      <c r="AO282" t="s">
        <v>56</v>
      </c>
      <c r="AP282" t="s">
        <v>56</v>
      </c>
      <c r="AQ282" t="s">
        <v>71</v>
      </c>
      <c r="AR282" t="s">
        <v>56</v>
      </c>
      <c r="AS282" t="s">
        <v>56</v>
      </c>
      <c r="AT282" t="s">
        <v>56</v>
      </c>
      <c r="AU282" t="s">
        <v>56</v>
      </c>
      <c r="AV282" t="s">
        <v>56</v>
      </c>
      <c r="AW282" t="s">
        <v>56</v>
      </c>
      <c r="AX282">
        <v>4</v>
      </c>
    </row>
    <row r="283" spans="1:50" x14ac:dyDescent="0.25">
      <c r="A283" t="str">
        <f>"20200129180017111006"</f>
        <v>20200129180017111006</v>
      </c>
      <c r="B283" t="s">
        <v>72</v>
      </c>
      <c r="C283" t="s">
        <v>72</v>
      </c>
      <c r="D283" t="s">
        <v>1836</v>
      </c>
      <c r="E283" t="str">
        <f>"702650064501"</f>
        <v>702650064501</v>
      </c>
      <c r="F283" t="s">
        <v>52</v>
      </c>
      <c r="G283">
        <v>823004881</v>
      </c>
      <c r="H283">
        <v>70265</v>
      </c>
      <c r="I283" t="s">
        <v>1837</v>
      </c>
      <c r="J283" t="s">
        <v>1838</v>
      </c>
      <c r="K283" t="s">
        <v>54</v>
      </c>
      <c r="L283">
        <v>1084735292</v>
      </c>
      <c r="M283" t="s">
        <v>1839</v>
      </c>
      <c r="N283" t="s">
        <v>1840</v>
      </c>
      <c r="O283" t="s">
        <v>629</v>
      </c>
      <c r="P283" t="s">
        <v>324</v>
      </c>
      <c r="Q283">
        <v>811045</v>
      </c>
      <c r="R283" t="s">
        <v>54</v>
      </c>
      <c r="S283">
        <v>2801736</v>
      </c>
      <c r="T283" t="s">
        <v>1841</v>
      </c>
      <c r="U283" t="s">
        <v>94</v>
      </c>
      <c r="V283" t="s">
        <v>564</v>
      </c>
      <c r="W283" t="s">
        <v>1842</v>
      </c>
      <c r="X283" t="s">
        <v>1843</v>
      </c>
      <c r="Y283" t="s">
        <v>101</v>
      </c>
      <c r="Z283">
        <v>11</v>
      </c>
      <c r="AA283" t="s">
        <v>87</v>
      </c>
      <c r="AB283" t="s">
        <v>56</v>
      </c>
      <c r="AC283" t="s">
        <v>56</v>
      </c>
      <c r="AD283">
        <v>0</v>
      </c>
      <c r="AE283" t="s">
        <v>66</v>
      </c>
      <c r="AF283" t="s">
        <v>56</v>
      </c>
      <c r="AG283" t="s">
        <v>56</v>
      </c>
      <c r="AH283" t="s">
        <v>56</v>
      </c>
      <c r="AI283" t="s">
        <v>56</v>
      </c>
      <c r="AJ283" t="s">
        <v>570</v>
      </c>
      <c r="AK283" t="s">
        <v>571</v>
      </c>
      <c r="AL283" t="s">
        <v>88</v>
      </c>
      <c r="AM283" t="s">
        <v>89</v>
      </c>
      <c r="AN283" t="s">
        <v>56</v>
      </c>
      <c r="AO283" t="s">
        <v>56</v>
      </c>
      <c r="AP283" t="s">
        <v>56</v>
      </c>
      <c r="AQ283" t="s">
        <v>71</v>
      </c>
      <c r="AR283" t="s">
        <v>56</v>
      </c>
      <c r="AS283" t="s">
        <v>56</v>
      </c>
      <c r="AT283" t="s">
        <v>56</v>
      </c>
      <c r="AU283" t="s">
        <v>56</v>
      </c>
      <c r="AV283" t="s">
        <v>56</v>
      </c>
      <c r="AW283" t="s">
        <v>56</v>
      </c>
      <c r="AX283">
        <v>4</v>
      </c>
    </row>
    <row r="284" spans="1:50" x14ac:dyDescent="0.25">
      <c r="A284" t="str">
        <f>"20200127127017043205"</f>
        <v>20200127127017043205</v>
      </c>
      <c r="B284" t="s">
        <v>190</v>
      </c>
      <c r="C284" t="s">
        <v>190</v>
      </c>
      <c r="D284" t="s">
        <v>1755</v>
      </c>
      <c r="E284" t="str">
        <f>"080010139103"</f>
        <v>080010139103</v>
      </c>
      <c r="F284" t="s">
        <v>52</v>
      </c>
      <c r="G284">
        <v>830007355</v>
      </c>
      <c r="H284" t="s">
        <v>112</v>
      </c>
      <c r="I284" t="s">
        <v>1474</v>
      </c>
      <c r="J284">
        <v>3783674</v>
      </c>
      <c r="K284" t="s">
        <v>54</v>
      </c>
      <c r="L284">
        <v>73073016</v>
      </c>
      <c r="M284" t="s">
        <v>492</v>
      </c>
      <c r="N284" t="s">
        <v>128</v>
      </c>
      <c r="O284" t="s">
        <v>1475</v>
      </c>
      <c r="P284" t="s">
        <v>1476</v>
      </c>
      <c r="Q284">
        <v>1151</v>
      </c>
      <c r="R284" t="s">
        <v>54</v>
      </c>
      <c r="S284">
        <v>3718397</v>
      </c>
      <c r="T284" t="s">
        <v>164</v>
      </c>
      <c r="U284" t="s">
        <v>261</v>
      </c>
      <c r="V284" t="s">
        <v>1735</v>
      </c>
      <c r="W284" t="s">
        <v>405</v>
      </c>
      <c r="X284" t="s">
        <v>120</v>
      </c>
      <c r="Y284" t="s">
        <v>121</v>
      </c>
      <c r="Z284">
        <v>11</v>
      </c>
      <c r="AA284" t="s">
        <v>87</v>
      </c>
      <c r="AB284" t="s">
        <v>56</v>
      </c>
      <c r="AC284" t="s">
        <v>56</v>
      </c>
      <c r="AD284">
        <v>0</v>
      </c>
      <c r="AE284" t="s">
        <v>66</v>
      </c>
      <c r="AF284" t="s">
        <v>56</v>
      </c>
      <c r="AG284" t="s">
        <v>56</v>
      </c>
      <c r="AH284" t="s">
        <v>56</v>
      </c>
      <c r="AI284" t="s">
        <v>56</v>
      </c>
      <c r="AJ284" t="s">
        <v>215</v>
      </c>
      <c r="AK284" t="s">
        <v>216</v>
      </c>
      <c r="AL284" t="s">
        <v>1844</v>
      </c>
      <c r="AM284" t="s">
        <v>1845</v>
      </c>
      <c r="AN284" t="s">
        <v>333</v>
      </c>
      <c r="AO284" t="s">
        <v>334</v>
      </c>
      <c r="AP284" t="s">
        <v>56</v>
      </c>
      <c r="AQ284" t="s">
        <v>71</v>
      </c>
      <c r="AR284" t="s">
        <v>56</v>
      </c>
      <c r="AS284" t="s">
        <v>56</v>
      </c>
      <c r="AT284" t="s">
        <v>56</v>
      </c>
      <c r="AU284" t="s">
        <v>56</v>
      </c>
      <c r="AV284" t="s">
        <v>56</v>
      </c>
      <c r="AW284" t="s">
        <v>56</v>
      </c>
      <c r="AX284">
        <v>4</v>
      </c>
    </row>
    <row r="285" spans="1:50" x14ac:dyDescent="0.25">
      <c r="A285" t="str">
        <f>"20200124124017015382"</f>
        <v>20200124124017015382</v>
      </c>
      <c r="B285" t="s">
        <v>201</v>
      </c>
      <c r="C285" t="s">
        <v>201</v>
      </c>
      <c r="D285" t="s">
        <v>1846</v>
      </c>
      <c r="E285" t="str">
        <f>"050010214401"</f>
        <v>050010214401</v>
      </c>
      <c r="F285" t="s">
        <v>52</v>
      </c>
      <c r="G285">
        <v>890904646</v>
      </c>
      <c r="H285" t="s">
        <v>1652</v>
      </c>
      <c r="I285" t="s">
        <v>1847</v>
      </c>
      <c r="J285">
        <v>3847302</v>
      </c>
      <c r="K285" t="s">
        <v>54</v>
      </c>
      <c r="L285">
        <v>1020400693</v>
      </c>
      <c r="M285" t="s">
        <v>281</v>
      </c>
      <c r="N285" t="s">
        <v>164</v>
      </c>
      <c r="O285" t="s">
        <v>759</v>
      </c>
      <c r="P285" t="s">
        <v>1848</v>
      </c>
      <c r="Q285">
        <v>5599912</v>
      </c>
      <c r="R285" t="s">
        <v>54</v>
      </c>
      <c r="S285">
        <v>1599293</v>
      </c>
      <c r="T285" t="s">
        <v>1849</v>
      </c>
      <c r="U285" t="s">
        <v>62</v>
      </c>
      <c r="V285" t="s">
        <v>1850</v>
      </c>
      <c r="W285" t="s">
        <v>487</v>
      </c>
      <c r="X285" t="s">
        <v>860</v>
      </c>
      <c r="Y285" t="s">
        <v>717</v>
      </c>
      <c r="Z285">
        <v>12</v>
      </c>
      <c r="AA285" t="s">
        <v>65</v>
      </c>
      <c r="AB285" t="s">
        <v>56</v>
      </c>
      <c r="AC285" t="s">
        <v>56</v>
      </c>
      <c r="AD285">
        <v>0</v>
      </c>
      <c r="AE285" t="s">
        <v>66</v>
      </c>
      <c r="AF285" t="s">
        <v>56</v>
      </c>
      <c r="AG285" t="s">
        <v>56</v>
      </c>
      <c r="AH285" t="s">
        <v>56</v>
      </c>
      <c r="AI285" t="s">
        <v>56</v>
      </c>
      <c r="AJ285" t="s">
        <v>1851</v>
      </c>
      <c r="AK285" t="s">
        <v>1852</v>
      </c>
      <c r="AL285" t="s">
        <v>56</v>
      </c>
      <c r="AM285" t="s">
        <v>56</v>
      </c>
      <c r="AN285" t="s">
        <v>56</v>
      </c>
      <c r="AO285" t="s">
        <v>56</v>
      </c>
      <c r="AP285" t="s">
        <v>56</v>
      </c>
      <c r="AQ285" t="s">
        <v>71</v>
      </c>
      <c r="AR285" t="s">
        <v>56</v>
      </c>
      <c r="AS285" t="s">
        <v>56</v>
      </c>
      <c r="AT285" t="s">
        <v>56</v>
      </c>
      <c r="AU285" t="s">
        <v>56</v>
      </c>
      <c r="AV285" t="s">
        <v>56</v>
      </c>
      <c r="AW285" t="s">
        <v>56</v>
      </c>
      <c r="AX285">
        <v>4</v>
      </c>
    </row>
    <row r="286" spans="1:50" x14ac:dyDescent="0.25">
      <c r="A286" t="str">
        <f>"20200124167016999576"</f>
        <v>20200124167016999576</v>
      </c>
      <c r="B286" t="s">
        <v>201</v>
      </c>
      <c r="C286" t="s">
        <v>201</v>
      </c>
      <c r="D286" t="s">
        <v>1853</v>
      </c>
      <c r="E286" t="str">
        <f>"270010070801"</f>
        <v>270010070801</v>
      </c>
      <c r="F286" t="s">
        <v>52</v>
      </c>
      <c r="G286">
        <v>900488067</v>
      </c>
      <c r="H286">
        <v>27001</v>
      </c>
      <c r="I286" t="s">
        <v>1854</v>
      </c>
      <c r="J286">
        <v>6708703</v>
      </c>
      <c r="K286" t="s">
        <v>54</v>
      </c>
      <c r="L286">
        <v>1151937502</v>
      </c>
      <c r="M286" t="s">
        <v>600</v>
      </c>
      <c r="N286" t="s">
        <v>97</v>
      </c>
      <c r="O286" t="s">
        <v>1855</v>
      </c>
      <c r="P286" t="s">
        <v>801</v>
      </c>
      <c r="Q286" t="s">
        <v>1856</v>
      </c>
      <c r="R286" t="s">
        <v>54</v>
      </c>
      <c r="S286">
        <v>35604031</v>
      </c>
      <c r="T286" t="s">
        <v>117</v>
      </c>
      <c r="U286" t="s">
        <v>1857</v>
      </c>
      <c r="V286" t="s">
        <v>376</v>
      </c>
      <c r="W286" t="s">
        <v>1623</v>
      </c>
      <c r="X286" t="s">
        <v>1858</v>
      </c>
      <c r="Y286" t="s">
        <v>717</v>
      </c>
      <c r="Z286">
        <v>11</v>
      </c>
      <c r="AA286" t="s">
        <v>87</v>
      </c>
      <c r="AB286" t="s">
        <v>56</v>
      </c>
      <c r="AC286" t="s">
        <v>56</v>
      </c>
      <c r="AD286">
        <v>0</v>
      </c>
      <c r="AE286" t="s">
        <v>66</v>
      </c>
      <c r="AF286" t="s">
        <v>56</v>
      </c>
      <c r="AG286" t="s">
        <v>56</v>
      </c>
      <c r="AH286" t="s">
        <v>56</v>
      </c>
      <c r="AI286" t="s">
        <v>56</v>
      </c>
      <c r="AJ286" t="s">
        <v>1859</v>
      </c>
      <c r="AK286" t="s">
        <v>1860</v>
      </c>
      <c r="AL286" t="s">
        <v>1861</v>
      </c>
      <c r="AM286" t="s">
        <v>1862</v>
      </c>
      <c r="AN286" t="s">
        <v>56</v>
      </c>
      <c r="AO286" t="s">
        <v>56</v>
      </c>
      <c r="AP286" t="s">
        <v>56</v>
      </c>
      <c r="AQ286" t="s">
        <v>71</v>
      </c>
      <c r="AR286" t="s">
        <v>56</v>
      </c>
      <c r="AS286" t="s">
        <v>56</v>
      </c>
      <c r="AT286" t="s">
        <v>56</v>
      </c>
      <c r="AU286" t="s">
        <v>56</v>
      </c>
      <c r="AV286" t="s">
        <v>56</v>
      </c>
      <c r="AW286" t="s">
        <v>56</v>
      </c>
      <c r="AX286">
        <v>4</v>
      </c>
    </row>
    <row r="287" spans="1:50" x14ac:dyDescent="0.25">
      <c r="A287" t="str">
        <f>"20200131123017178250"</f>
        <v>20200131123017178250</v>
      </c>
      <c r="B287" t="s">
        <v>110</v>
      </c>
      <c r="C287" t="s">
        <v>110</v>
      </c>
      <c r="D287" t="s">
        <v>1863</v>
      </c>
      <c r="E287" t="str">
        <f>"130010178101"</f>
        <v>130010178101</v>
      </c>
      <c r="F287" t="s">
        <v>52</v>
      </c>
      <c r="G287">
        <v>900042103</v>
      </c>
      <c r="H287">
        <v>13001</v>
      </c>
      <c r="I287" t="s">
        <v>92</v>
      </c>
      <c r="J287">
        <v>6726017</v>
      </c>
      <c r="K287" t="s">
        <v>54</v>
      </c>
      <c r="L287">
        <v>73098805</v>
      </c>
      <c r="M287" t="s">
        <v>1864</v>
      </c>
      <c r="N287" t="s">
        <v>128</v>
      </c>
      <c r="O287" t="s">
        <v>1865</v>
      </c>
      <c r="P287" t="s">
        <v>374</v>
      </c>
      <c r="Q287">
        <v>2173</v>
      </c>
      <c r="R287" t="s">
        <v>54</v>
      </c>
      <c r="S287">
        <v>45481334</v>
      </c>
      <c r="T287" t="s">
        <v>1243</v>
      </c>
      <c r="U287" t="s">
        <v>196</v>
      </c>
      <c r="V287" t="s">
        <v>472</v>
      </c>
      <c r="W287" t="s">
        <v>1478</v>
      </c>
      <c r="X287" t="s">
        <v>427</v>
      </c>
      <c r="Y287" t="s">
        <v>101</v>
      </c>
      <c r="Z287">
        <v>12</v>
      </c>
      <c r="AA287" t="s">
        <v>65</v>
      </c>
      <c r="AB287" t="s">
        <v>56</v>
      </c>
      <c r="AC287" t="s">
        <v>56</v>
      </c>
      <c r="AD287">
        <v>0</v>
      </c>
      <c r="AE287" t="s">
        <v>66</v>
      </c>
      <c r="AF287" t="s">
        <v>56</v>
      </c>
      <c r="AG287" t="s">
        <v>56</v>
      </c>
      <c r="AH287" t="s">
        <v>56</v>
      </c>
      <c r="AI287" t="s">
        <v>56</v>
      </c>
      <c r="AJ287" t="s">
        <v>1866</v>
      </c>
      <c r="AK287" t="s">
        <v>1867</v>
      </c>
      <c r="AL287" t="s">
        <v>56</v>
      </c>
      <c r="AM287" t="s">
        <v>56</v>
      </c>
      <c r="AN287" t="s">
        <v>56</v>
      </c>
      <c r="AO287" t="s">
        <v>56</v>
      </c>
      <c r="AP287" t="s">
        <v>56</v>
      </c>
      <c r="AQ287" t="s">
        <v>71</v>
      </c>
      <c r="AR287" t="s">
        <v>56</v>
      </c>
      <c r="AS287" t="s">
        <v>56</v>
      </c>
      <c r="AT287" t="s">
        <v>56</v>
      </c>
      <c r="AU287" t="s">
        <v>56</v>
      </c>
      <c r="AV287" t="s">
        <v>56</v>
      </c>
      <c r="AW287" t="s">
        <v>56</v>
      </c>
      <c r="AX287">
        <v>4</v>
      </c>
    </row>
    <row r="288" spans="1:50" x14ac:dyDescent="0.25">
      <c r="A288" t="str">
        <f>"20200124112017021331"</f>
        <v>20200124112017021331</v>
      </c>
      <c r="B288" t="s">
        <v>201</v>
      </c>
      <c r="C288" t="s">
        <v>201</v>
      </c>
      <c r="D288" t="s">
        <v>1868</v>
      </c>
      <c r="E288" t="str">
        <f>"080010054401"</f>
        <v>080010054401</v>
      </c>
      <c r="F288" t="s">
        <v>52</v>
      </c>
      <c r="G288">
        <v>800194798</v>
      </c>
      <c r="H288" t="s">
        <v>112</v>
      </c>
      <c r="I288" t="s">
        <v>616</v>
      </c>
      <c r="J288" t="s">
        <v>56</v>
      </c>
      <c r="K288" t="s">
        <v>54</v>
      </c>
      <c r="L288">
        <v>72008149</v>
      </c>
      <c r="M288" t="s">
        <v>1869</v>
      </c>
      <c r="N288" t="s">
        <v>56</v>
      </c>
      <c r="O288" t="s">
        <v>1870</v>
      </c>
      <c r="P288" t="s">
        <v>586</v>
      </c>
      <c r="Q288">
        <v>4323008</v>
      </c>
      <c r="R288" t="s">
        <v>54</v>
      </c>
      <c r="S288">
        <v>72010729</v>
      </c>
      <c r="T288" t="s">
        <v>1871</v>
      </c>
      <c r="U288" t="s">
        <v>155</v>
      </c>
      <c r="V288" t="s">
        <v>1872</v>
      </c>
      <c r="W288" t="s">
        <v>1873</v>
      </c>
      <c r="X288" t="s">
        <v>120</v>
      </c>
      <c r="Y288" t="s">
        <v>121</v>
      </c>
      <c r="Z288">
        <v>12</v>
      </c>
      <c r="AA288" t="s">
        <v>65</v>
      </c>
      <c r="AB288" t="s">
        <v>56</v>
      </c>
      <c r="AC288" t="s">
        <v>56</v>
      </c>
      <c r="AD288">
        <v>0</v>
      </c>
      <c r="AE288" t="s">
        <v>66</v>
      </c>
      <c r="AF288" t="s">
        <v>56</v>
      </c>
      <c r="AG288" t="s">
        <v>56</v>
      </c>
      <c r="AH288" t="s">
        <v>56</v>
      </c>
      <c r="AI288" t="s">
        <v>56</v>
      </c>
      <c r="AJ288" t="s">
        <v>1874</v>
      </c>
      <c r="AK288" t="s">
        <v>1875</v>
      </c>
      <c r="AL288" t="s">
        <v>56</v>
      </c>
      <c r="AM288" t="s">
        <v>56</v>
      </c>
      <c r="AN288" t="s">
        <v>56</v>
      </c>
      <c r="AO288" t="s">
        <v>56</v>
      </c>
      <c r="AP288" t="s">
        <v>56</v>
      </c>
      <c r="AQ288" t="s">
        <v>71</v>
      </c>
      <c r="AR288" t="s">
        <v>56</v>
      </c>
      <c r="AS288" t="s">
        <v>56</v>
      </c>
      <c r="AT288" t="s">
        <v>56</v>
      </c>
      <c r="AU288" t="s">
        <v>56</v>
      </c>
      <c r="AV288" t="s">
        <v>56</v>
      </c>
      <c r="AW288" t="s">
        <v>56</v>
      </c>
      <c r="AX288">
        <v>4</v>
      </c>
    </row>
    <row r="289" spans="1:50" x14ac:dyDescent="0.25">
      <c r="A289" t="str">
        <f>"20200125119017034461"</f>
        <v>20200125119017034461</v>
      </c>
      <c r="B289" t="s">
        <v>752</v>
      </c>
      <c r="C289" t="s">
        <v>752</v>
      </c>
      <c r="D289" t="s">
        <v>1876</v>
      </c>
      <c r="E289" t="str">
        <f>"132440049301"</f>
        <v>132440049301</v>
      </c>
      <c r="F289" t="s">
        <v>52</v>
      </c>
      <c r="G289">
        <v>900196346</v>
      </c>
      <c r="H289">
        <v>13244</v>
      </c>
      <c r="I289" t="s">
        <v>1822</v>
      </c>
      <c r="J289">
        <v>6861950</v>
      </c>
      <c r="K289" t="s">
        <v>54</v>
      </c>
      <c r="L289">
        <v>45580032</v>
      </c>
      <c r="M289" t="s">
        <v>1823</v>
      </c>
      <c r="N289" t="s">
        <v>117</v>
      </c>
      <c r="O289" t="s">
        <v>691</v>
      </c>
      <c r="P289" t="s">
        <v>1361</v>
      </c>
      <c r="Q289" t="s">
        <v>1824</v>
      </c>
      <c r="R289" t="s">
        <v>440</v>
      </c>
      <c r="S289">
        <v>1050285334</v>
      </c>
      <c r="T289" t="s">
        <v>1218</v>
      </c>
      <c r="U289" t="s">
        <v>1877</v>
      </c>
      <c r="V289" t="s">
        <v>1878</v>
      </c>
      <c r="W289" t="s">
        <v>225</v>
      </c>
      <c r="X289" t="s">
        <v>1277</v>
      </c>
      <c r="Y289" t="s">
        <v>101</v>
      </c>
      <c r="Z289">
        <v>12</v>
      </c>
      <c r="AA289" t="s">
        <v>65</v>
      </c>
      <c r="AB289" t="s">
        <v>56</v>
      </c>
      <c r="AC289" t="s">
        <v>56</v>
      </c>
      <c r="AD289">
        <v>0</v>
      </c>
      <c r="AE289" t="s">
        <v>66</v>
      </c>
      <c r="AF289" t="s">
        <v>56</v>
      </c>
      <c r="AG289" t="s">
        <v>56</v>
      </c>
      <c r="AH289" t="s">
        <v>56</v>
      </c>
      <c r="AI289" t="s">
        <v>56</v>
      </c>
      <c r="AJ289" t="s">
        <v>122</v>
      </c>
      <c r="AK289" t="s">
        <v>123</v>
      </c>
      <c r="AL289" t="s">
        <v>1879</v>
      </c>
      <c r="AM289" t="s">
        <v>1880</v>
      </c>
      <c r="AN289" t="s">
        <v>1881</v>
      </c>
      <c r="AO289" t="s">
        <v>1882</v>
      </c>
      <c r="AP289" t="s">
        <v>56</v>
      </c>
      <c r="AQ289" t="s">
        <v>71</v>
      </c>
      <c r="AR289" t="s">
        <v>56</v>
      </c>
      <c r="AS289" t="s">
        <v>56</v>
      </c>
      <c r="AT289" t="s">
        <v>56</v>
      </c>
      <c r="AU289" t="s">
        <v>56</v>
      </c>
      <c r="AV289" t="s">
        <v>56</v>
      </c>
      <c r="AW289" t="s">
        <v>56</v>
      </c>
      <c r="AX289">
        <v>4</v>
      </c>
    </row>
    <row r="290" spans="1:50" x14ac:dyDescent="0.25">
      <c r="A290" t="str">
        <f>"20200129130017122658"</f>
        <v>20200129130017122658</v>
      </c>
      <c r="B290" t="s">
        <v>72</v>
      </c>
      <c r="C290" t="s">
        <v>72</v>
      </c>
      <c r="D290" t="s">
        <v>1883</v>
      </c>
      <c r="E290" t="str">
        <f>"134300049201"</f>
        <v>134300049201</v>
      </c>
      <c r="F290" t="s">
        <v>52</v>
      </c>
      <c r="G290">
        <v>900196347</v>
      </c>
      <c r="H290">
        <v>13430</v>
      </c>
      <c r="I290" t="s">
        <v>174</v>
      </c>
      <c r="J290" t="s">
        <v>175</v>
      </c>
      <c r="K290" t="s">
        <v>54</v>
      </c>
      <c r="L290">
        <v>17973610</v>
      </c>
      <c r="M290" t="s">
        <v>380</v>
      </c>
      <c r="N290" t="s">
        <v>128</v>
      </c>
      <c r="O290" t="s">
        <v>560</v>
      </c>
      <c r="P290" t="s">
        <v>703</v>
      </c>
      <c r="Q290">
        <v>440012</v>
      </c>
      <c r="R290" t="s">
        <v>237</v>
      </c>
      <c r="S290">
        <v>1102577912</v>
      </c>
      <c r="T290" t="s">
        <v>128</v>
      </c>
      <c r="U290" t="s">
        <v>107</v>
      </c>
      <c r="V290" t="s">
        <v>99</v>
      </c>
      <c r="W290" t="s">
        <v>364</v>
      </c>
      <c r="X290" t="s">
        <v>330</v>
      </c>
      <c r="Y290" t="s">
        <v>330</v>
      </c>
      <c r="Z290">
        <v>22</v>
      </c>
      <c r="AA290" t="s">
        <v>102</v>
      </c>
      <c r="AB290">
        <v>0</v>
      </c>
      <c r="AC290" t="s">
        <v>66</v>
      </c>
      <c r="AD290">
        <v>0</v>
      </c>
      <c r="AE290" t="s">
        <v>66</v>
      </c>
      <c r="AF290" t="s">
        <v>56</v>
      </c>
      <c r="AG290" t="s">
        <v>56</v>
      </c>
      <c r="AH290" t="s">
        <v>56</v>
      </c>
      <c r="AI290" t="s">
        <v>56</v>
      </c>
      <c r="AJ290" t="s">
        <v>1884</v>
      </c>
      <c r="AK290" t="s">
        <v>1885</v>
      </c>
      <c r="AL290" t="s">
        <v>56</v>
      </c>
      <c r="AM290" t="s">
        <v>56</v>
      </c>
      <c r="AN290" t="s">
        <v>56</v>
      </c>
      <c r="AO290" t="s">
        <v>56</v>
      </c>
      <c r="AP290" t="s">
        <v>56</v>
      </c>
      <c r="AQ290" t="s">
        <v>71</v>
      </c>
      <c r="AR290" t="s">
        <v>56</v>
      </c>
      <c r="AS290" t="s">
        <v>56</v>
      </c>
      <c r="AT290" t="s">
        <v>56</v>
      </c>
      <c r="AU290" t="s">
        <v>56</v>
      </c>
      <c r="AV290" t="s">
        <v>56</v>
      </c>
      <c r="AW290" t="s">
        <v>56</v>
      </c>
      <c r="AX290">
        <v>4</v>
      </c>
    </row>
    <row r="291" spans="1:50" x14ac:dyDescent="0.25">
      <c r="A291" t="str">
        <f>"20200128115017096905"</f>
        <v>20200128115017096905</v>
      </c>
      <c r="B291" t="s">
        <v>151</v>
      </c>
      <c r="C291" t="s">
        <v>151</v>
      </c>
      <c r="D291" t="s">
        <v>1886</v>
      </c>
      <c r="E291" t="str">
        <f>"270010103801"</f>
        <v>270010103801</v>
      </c>
      <c r="F291" t="s">
        <v>52</v>
      </c>
      <c r="G291">
        <v>900771065</v>
      </c>
      <c r="H291">
        <v>27001</v>
      </c>
      <c r="I291" t="s">
        <v>1122</v>
      </c>
      <c r="J291">
        <v>3122303518</v>
      </c>
      <c r="K291" t="s">
        <v>54</v>
      </c>
      <c r="L291">
        <v>11814040</v>
      </c>
      <c r="M291" t="s">
        <v>1123</v>
      </c>
      <c r="N291" t="s">
        <v>86</v>
      </c>
      <c r="O291" t="s">
        <v>1124</v>
      </c>
      <c r="P291" t="s">
        <v>108</v>
      </c>
      <c r="Q291">
        <v>271126</v>
      </c>
      <c r="R291" t="s">
        <v>54</v>
      </c>
      <c r="S291">
        <v>26328722</v>
      </c>
      <c r="T291" t="s">
        <v>59</v>
      </c>
      <c r="U291" t="s">
        <v>1887</v>
      </c>
      <c r="V291" t="s">
        <v>1254</v>
      </c>
      <c r="W291" t="s">
        <v>715</v>
      </c>
      <c r="X291" t="s">
        <v>860</v>
      </c>
      <c r="Y291" t="s">
        <v>717</v>
      </c>
      <c r="Z291">
        <v>11</v>
      </c>
      <c r="AA291" t="s">
        <v>87</v>
      </c>
      <c r="AB291" t="s">
        <v>56</v>
      </c>
      <c r="AC291" t="s">
        <v>56</v>
      </c>
      <c r="AD291">
        <v>0</v>
      </c>
      <c r="AE291" t="s">
        <v>66</v>
      </c>
      <c r="AF291" t="s">
        <v>56</v>
      </c>
      <c r="AG291" t="s">
        <v>56</v>
      </c>
      <c r="AH291" t="s">
        <v>56</v>
      </c>
      <c r="AI291" t="s">
        <v>56</v>
      </c>
      <c r="AJ291" t="s">
        <v>1866</v>
      </c>
      <c r="AK291" t="s">
        <v>1867</v>
      </c>
      <c r="AL291" t="s">
        <v>215</v>
      </c>
      <c r="AM291" t="s">
        <v>216</v>
      </c>
      <c r="AN291" t="s">
        <v>1888</v>
      </c>
      <c r="AO291" t="s">
        <v>1889</v>
      </c>
      <c r="AP291" t="s">
        <v>56</v>
      </c>
      <c r="AQ291" t="s">
        <v>71</v>
      </c>
      <c r="AR291" t="s">
        <v>56</v>
      </c>
      <c r="AS291" t="s">
        <v>56</v>
      </c>
      <c r="AT291" t="s">
        <v>56</v>
      </c>
      <c r="AU291" t="s">
        <v>56</v>
      </c>
      <c r="AV291" t="s">
        <v>56</v>
      </c>
      <c r="AW291" t="s">
        <v>56</v>
      </c>
      <c r="AX291">
        <v>4</v>
      </c>
    </row>
    <row r="292" spans="1:50" x14ac:dyDescent="0.25">
      <c r="A292" t="str">
        <f>"20200126110017037321"</f>
        <v>20200126110017037321</v>
      </c>
      <c r="B292" t="s">
        <v>244</v>
      </c>
      <c r="C292" t="s">
        <v>244</v>
      </c>
      <c r="D292" t="s">
        <v>1890</v>
      </c>
      <c r="E292" t="str">
        <f>"080010349401"</f>
        <v>080010349401</v>
      </c>
      <c r="F292" t="s">
        <v>52</v>
      </c>
      <c r="G292">
        <v>900458308</v>
      </c>
      <c r="H292" t="s">
        <v>112</v>
      </c>
      <c r="I292" t="s">
        <v>370</v>
      </c>
      <c r="J292" t="s">
        <v>371</v>
      </c>
      <c r="K292" t="s">
        <v>54</v>
      </c>
      <c r="L292">
        <v>1143378811</v>
      </c>
      <c r="M292" t="s">
        <v>372</v>
      </c>
      <c r="N292" t="s">
        <v>373</v>
      </c>
      <c r="O292" t="s">
        <v>109</v>
      </c>
      <c r="P292" t="s">
        <v>374</v>
      </c>
      <c r="Q292">
        <v>1143378811</v>
      </c>
      <c r="R292" t="s">
        <v>54</v>
      </c>
      <c r="S292">
        <v>22270384</v>
      </c>
      <c r="T292" t="s">
        <v>1891</v>
      </c>
      <c r="U292" t="s">
        <v>1892</v>
      </c>
      <c r="V292" t="s">
        <v>1428</v>
      </c>
      <c r="W292" t="s">
        <v>1893</v>
      </c>
      <c r="X292" t="s">
        <v>120</v>
      </c>
      <c r="Y292" t="s">
        <v>121</v>
      </c>
      <c r="Z292">
        <v>12</v>
      </c>
      <c r="AA292" t="s">
        <v>65</v>
      </c>
      <c r="AB292" t="s">
        <v>56</v>
      </c>
      <c r="AC292" t="s">
        <v>56</v>
      </c>
      <c r="AD292">
        <v>0</v>
      </c>
      <c r="AE292" t="s">
        <v>66</v>
      </c>
      <c r="AF292" t="s">
        <v>56</v>
      </c>
      <c r="AG292" t="s">
        <v>56</v>
      </c>
      <c r="AH292" t="s">
        <v>56</v>
      </c>
      <c r="AI292" t="s">
        <v>56</v>
      </c>
      <c r="AJ292" t="s">
        <v>356</v>
      </c>
      <c r="AK292" t="s">
        <v>357</v>
      </c>
      <c r="AL292" t="s">
        <v>255</v>
      </c>
      <c r="AM292" t="s">
        <v>256</v>
      </c>
      <c r="AN292" t="s">
        <v>56</v>
      </c>
      <c r="AO292" t="s">
        <v>56</v>
      </c>
      <c r="AP292" t="s">
        <v>56</v>
      </c>
      <c r="AQ292" t="s">
        <v>71</v>
      </c>
      <c r="AR292" t="s">
        <v>56</v>
      </c>
      <c r="AS292" t="s">
        <v>56</v>
      </c>
      <c r="AT292" t="s">
        <v>56</v>
      </c>
      <c r="AU292" t="s">
        <v>56</v>
      </c>
      <c r="AV292" t="s">
        <v>56</v>
      </c>
      <c r="AW292" t="s">
        <v>56</v>
      </c>
      <c r="AX292">
        <v>4</v>
      </c>
    </row>
    <row r="293" spans="1:50" x14ac:dyDescent="0.25">
      <c r="A293" t="str">
        <f>"20200126126017037335"</f>
        <v>20200126126017037335</v>
      </c>
      <c r="B293" t="s">
        <v>244</v>
      </c>
      <c r="C293" t="s">
        <v>244</v>
      </c>
      <c r="D293" t="s">
        <v>1894</v>
      </c>
      <c r="E293" t="str">
        <f>"080010349401"</f>
        <v>080010349401</v>
      </c>
      <c r="F293" t="s">
        <v>52</v>
      </c>
      <c r="G293">
        <v>900458308</v>
      </c>
      <c r="H293" t="s">
        <v>112</v>
      </c>
      <c r="I293" t="s">
        <v>370</v>
      </c>
      <c r="J293" t="s">
        <v>371</v>
      </c>
      <c r="K293" t="s">
        <v>54</v>
      </c>
      <c r="L293">
        <v>1143378811</v>
      </c>
      <c r="M293" t="s">
        <v>372</v>
      </c>
      <c r="N293" t="s">
        <v>373</v>
      </c>
      <c r="O293" t="s">
        <v>109</v>
      </c>
      <c r="P293" t="s">
        <v>374</v>
      </c>
      <c r="Q293">
        <v>1143378811</v>
      </c>
      <c r="R293" t="s">
        <v>54</v>
      </c>
      <c r="S293">
        <v>22270384</v>
      </c>
      <c r="T293" t="s">
        <v>1891</v>
      </c>
      <c r="U293" t="s">
        <v>1892</v>
      </c>
      <c r="V293" t="s">
        <v>1428</v>
      </c>
      <c r="W293" t="s">
        <v>1893</v>
      </c>
      <c r="X293" t="s">
        <v>120</v>
      </c>
      <c r="Y293" t="s">
        <v>121</v>
      </c>
      <c r="Z293">
        <v>12</v>
      </c>
      <c r="AA293" t="s">
        <v>65</v>
      </c>
      <c r="AB293" t="s">
        <v>56</v>
      </c>
      <c r="AC293" t="s">
        <v>56</v>
      </c>
      <c r="AD293">
        <v>0</v>
      </c>
      <c r="AE293" t="s">
        <v>66</v>
      </c>
      <c r="AF293" t="s">
        <v>56</v>
      </c>
      <c r="AG293" t="s">
        <v>56</v>
      </c>
      <c r="AH293" t="s">
        <v>56</v>
      </c>
      <c r="AI293" t="s">
        <v>56</v>
      </c>
      <c r="AJ293" t="s">
        <v>1895</v>
      </c>
      <c r="AK293" t="s">
        <v>1896</v>
      </c>
      <c r="AL293" t="s">
        <v>56</v>
      </c>
      <c r="AM293" t="s">
        <v>56</v>
      </c>
      <c r="AN293" t="s">
        <v>56</v>
      </c>
      <c r="AO293" t="s">
        <v>56</v>
      </c>
      <c r="AP293" t="s">
        <v>56</v>
      </c>
      <c r="AQ293" t="s">
        <v>71</v>
      </c>
      <c r="AR293" t="s">
        <v>56</v>
      </c>
      <c r="AS293" t="s">
        <v>56</v>
      </c>
      <c r="AT293" t="s">
        <v>56</v>
      </c>
      <c r="AU293" t="s">
        <v>56</v>
      </c>
      <c r="AV293" t="s">
        <v>56</v>
      </c>
      <c r="AW293" t="s">
        <v>56</v>
      </c>
      <c r="AX293">
        <v>4</v>
      </c>
    </row>
    <row r="294" spans="1:50" x14ac:dyDescent="0.25">
      <c r="A294" t="str">
        <f>"20200126174017037330"</f>
        <v>20200126174017037330</v>
      </c>
      <c r="B294" t="s">
        <v>244</v>
      </c>
      <c r="C294" t="s">
        <v>244</v>
      </c>
      <c r="D294" t="s">
        <v>1897</v>
      </c>
      <c r="E294" t="str">
        <f>"080010349401"</f>
        <v>080010349401</v>
      </c>
      <c r="F294" t="s">
        <v>52</v>
      </c>
      <c r="G294">
        <v>900458308</v>
      </c>
      <c r="H294" t="s">
        <v>112</v>
      </c>
      <c r="I294" t="s">
        <v>370</v>
      </c>
      <c r="J294" t="s">
        <v>371</v>
      </c>
      <c r="K294" t="s">
        <v>54</v>
      </c>
      <c r="L294">
        <v>1143378811</v>
      </c>
      <c r="M294" t="s">
        <v>372</v>
      </c>
      <c r="N294" t="s">
        <v>373</v>
      </c>
      <c r="O294" t="s">
        <v>109</v>
      </c>
      <c r="P294" t="s">
        <v>374</v>
      </c>
      <c r="Q294">
        <v>1143378811</v>
      </c>
      <c r="R294" t="s">
        <v>54</v>
      </c>
      <c r="S294">
        <v>22270384</v>
      </c>
      <c r="T294" t="s">
        <v>1891</v>
      </c>
      <c r="U294" t="s">
        <v>1892</v>
      </c>
      <c r="V294" t="s">
        <v>1428</v>
      </c>
      <c r="W294" t="s">
        <v>1893</v>
      </c>
      <c r="X294" t="s">
        <v>120</v>
      </c>
      <c r="Y294" t="s">
        <v>121</v>
      </c>
      <c r="Z294">
        <v>12</v>
      </c>
      <c r="AA294" t="s">
        <v>65</v>
      </c>
      <c r="AB294" t="s">
        <v>56</v>
      </c>
      <c r="AC294" t="s">
        <v>56</v>
      </c>
      <c r="AD294">
        <v>0</v>
      </c>
      <c r="AE294" t="s">
        <v>66</v>
      </c>
      <c r="AF294" t="s">
        <v>56</v>
      </c>
      <c r="AG294" t="s">
        <v>56</v>
      </c>
      <c r="AH294" t="s">
        <v>56</v>
      </c>
      <c r="AI294" t="s">
        <v>56</v>
      </c>
      <c r="AJ294" t="s">
        <v>1898</v>
      </c>
      <c r="AK294" t="s">
        <v>1899</v>
      </c>
      <c r="AL294" t="s">
        <v>56</v>
      </c>
      <c r="AM294" t="s">
        <v>56</v>
      </c>
      <c r="AN294" t="s">
        <v>56</v>
      </c>
      <c r="AO294" t="s">
        <v>56</v>
      </c>
      <c r="AP294" t="s">
        <v>56</v>
      </c>
      <c r="AQ294" t="s">
        <v>71</v>
      </c>
      <c r="AR294" t="s">
        <v>56</v>
      </c>
      <c r="AS294" t="s">
        <v>56</v>
      </c>
      <c r="AT294" t="s">
        <v>56</v>
      </c>
      <c r="AU294" t="s">
        <v>56</v>
      </c>
      <c r="AV294" t="s">
        <v>56</v>
      </c>
      <c r="AW294" t="s">
        <v>56</v>
      </c>
      <c r="AX294">
        <v>4</v>
      </c>
    </row>
    <row r="295" spans="1:50" x14ac:dyDescent="0.25">
      <c r="A295" t="str">
        <f>"20200129195017105178"</f>
        <v>20200129195017105178</v>
      </c>
      <c r="B295" t="s">
        <v>72</v>
      </c>
      <c r="C295" t="s">
        <v>72</v>
      </c>
      <c r="D295" t="s">
        <v>1900</v>
      </c>
      <c r="E295" t="str">
        <f>"080010133001"</f>
        <v>080010133001</v>
      </c>
      <c r="F295" t="s">
        <v>52</v>
      </c>
      <c r="G295">
        <v>802006728</v>
      </c>
      <c r="H295" t="s">
        <v>112</v>
      </c>
      <c r="I295" t="s">
        <v>231</v>
      </c>
      <c r="J295" t="s">
        <v>232</v>
      </c>
      <c r="K295" t="s">
        <v>54</v>
      </c>
      <c r="L295">
        <v>1140819038</v>
      </c>
      <c r="M295" t="s">
        <v>1901</v>
      </c>
      <c r="N295" t="s">
        <v>56</v>
      </c>
      <c r="O295" t="s">
        <v>134</v>
      </c>
      <c r="P295" t="s">
        <v>99</v>
      </c>
      <c r="Q295">
        <v>1140819038</v>
      </c>
      <c r="R295" t="s">
        <v>440</v>
      </c>
      <c r="S295">
        <v>1043490662</v>
      </c>
      <c r="T295" t="s">
        <v>1902</v>
      </c>
      <c r="U295" t="s">
        <v>128</v>
      </c>
      <c r="V295" t="s">
        <v>194</v>
      </c>
      <c r="W295" t="s">
        <v>353</v>
      </c>
      <c r="X295" t="s">
        <v>241</v>
      </c>
      <c r="Y295" t="s">
        <v>121</v>
      </c>
      <c r="Z295">
        <v>11</v>
      </c>
      <c r="AA295" t="s">
        <v>87</v>
      </c>
      <c r="AB295" t="s">
        <v>56</v>
      </c>
      <c r="AC295" t="s">
        <v>56</v>
      </c>
      <c r="AD295">
        <v>0</v>
      </c>
      <c r="AE295" t="s">
        <v>66</v>
      </c>
      <c r="AF295" t="s">
        <v>56</v>
      </c>
      <c r="AG295" t="s">
        <v>56</v>
      </c>
      <c r="AH295" t="s">
        <v>56</v>
      </c>
      <c r="AI295" t="s">
        <v>56</v>
      </c>
      <c r="AJ295" t="s">
        <v>523</v>
      </c>
      <c r="AK295" t="s">
        <v>524</v>
      </c>
      <c r="AL295" t="s">
        <v>56</v>
      </c>
      <c r="AM295" t="s">
        <v>56</v>
      </c>
      <c r="AN295" t="s">
        <v>56</v>
      </c>
      <c r="AO295" t="s">
        <v>56</v>
      </c>
      <c r="AP295" t="s">
        <v>56</v>
      </c>
      <c r="AQ295" t="s">
        <v>71</v>
      </c>
      <c r="AR295" t="s">
        <v>56</v>
      </c>
      <c r="AS295" t="s">
        <v>56</v>
      </c>
      <c r="AT295" t="s">
        <v>56</v>
      </c>
      <c r="AU295" t="s">
        <v>56</v>
      </c>
      <c r="AV295" t="s">
        <v>56</v>
      </c>
      <c r="AW295" t="s">
        <v>56</v>
      </c>
      <c r="AX295">
        <v>4</v>
      </c>
    </row>
    <row r="296" spans="1:50" x14ac:dyDescent="0.25">
      <c r="A296" t="str">
        <f>"20200129136017116184"</f>
        <v>20200129136017116184</v>
      </c>
      <c r="B296" t="s">
        <v>72</v>
      </c>
      <c r="C296" t="s">
        <v>72</v>
      </c>
      <c r="D296" t="s">
        <v>1903</v>
      </c>
      <c r="E296" t="str">
        <f>"087580016101"</f>
        <v>087580016101</v>
      </c>
      <c r="F296" t="s">
        <v>52</v>
      </c>
      <c r="G296">
        <v>802013023</v>
      </c>
      <c r="H296" t="s">
        <v>74</v>
      </c>
      <c r="I296" t="s">
        <v>953</v>
      </c>
      <c r="J296">
        <v>3759400</v>
      </c>
      <c r="K296" t="s">
        <v>54</v>
      </c>
      <c r="L296">
        <v>1042442558</v>
      </c>
      <c r="M296" t="s">
        <v>1904</v>
      </c>
      <c r="N296" t="s">
        <v>519</v>
      </c>
      <c r="O296" t="s">
        <v>194</v>
      </c>
      <c r="P296" t="s">
        <v>1905</v>
      </c>
      <c r="Q296" t="s">
        <v>1906</v>
      </c>
      <c r="R296" t="s">
        <v>54</v>
      </c>
      <c r="S296">
        <v>13838131</v>
      </c>
      <c r="T296" t="s">
        <v>1781</v>
      </c>
      <c r="U296" t="s">
        <v>76</v>
      </c>
      <c r="V296" t="s">
        <v>1907</v>
      </c>
      <c r="W296" t="s">
        <v>1908</v>
      </c>
      <c r="X296" t="s">
        <v>299</v>
      </c>
      <c r="Y296" t="s">
        <v>121</v>
      </c>
      <c r="Z296">
        <v>11</v>
      </c>
      <c r="AA296" t="s">
        <v>87</v>
      </c>
      <c r="AB296" t="s">
        <v>56</v>
      </c>
      <c r="AC296" t="s">
        <v>56</v>
      </c>
      <c r="AD296">
        <v>0</v>
      </c>
      <c r="AE296" t="s">
        <v>66</v>
      </c>
      <c r="AF296" t="s">
        <v>56</v>
      </c>
      <c r="AG296" t="s">
        <v>56</v>
      </c>
      <c r="AH296" t="s">
        <v>56</v>
      </c>
      <c r="AI296" t="s">
        <v>56</v>
      </c>
      <c r="AJ296" t="s">
        <v>122</v>
      </c>
      <c r="AK296" t="s">
        <v>123</v>
      </c>
      <c r="AL296" t="s">
        <v>56</v>
      </c>
      <c r="AM296" t="s">
        <v>56</v>
      </c>
      <c r="AN296" t="s">
        <v>56</v>
      </c>
      <c r="AO296" t="s">
        <v>56</v>
      </c>
      <c r="AP296" t="s">
        <v>56</v>
      </c>
      <c r="AQ296" t="s">
        <v>71</v>
      </c>
      <c r="AR296" t="s">
        <v>56</v>
      </c>
      <c r="AS296" t="s">
        <v>56</v>
      </c>
      <c r="AT296" t="s">
        <v>56</v>
      </c>
      <c r="AU296" t="s">
        <v>56</v>
      </c>
      <c r="AV296" t="s">
        <v>56</v>
      </c>
      <c r="AW296" t="s">
        <v>56</v>
      </c>
      <c r="AX296">
        <v>4</v>
      </c>
    </row>
    <row r="297" spans="1:50" x14ac:dyDescent="0.25">
      <c r="A297" t="str">
        <f>"20200131130017161362"</f>
        <v>20200131130017161362</v>
      </c>
      <c r="B297" t="s">
        <v>110</v>
      </c>
      <c r="C297" t="s">
        <v>110</v>
      </c>
      <c r="D297" t="s">
        <v>1909</v>
      </c>
      <c r="E297" t="str">
        <f>"761090784301"</f>
        <v>761090784301</v>
      </c>
      <c r="F297" t="s">
        <v>52</v>
      </c>
      <c r="G297">
        <v>900228989</v>
      </c>
      <c r="H297">
        <v>76109</v>
      </c>
      <c r="I297" t="s">
        <v>1910</v>
      </c>
      <c r="J297">
        <v>2421880</v>
      </c>
      <c r="K297" t="s">
        <v>54</v>
      </c>
      <c r="L297">
        <v>39463487</v>
      </c>
      <c r="M297" t="s">
        <v>972</v>
      </c>
      <c r="N297" t="s">
        <v>600</v>
      </c>
      <c r="O297" t="s">
        <v>99</v>
      </c>
      <c r="P297" t="s">
        <v>1911</v>
      </c>
      <c r="Q297">
        <v>65889</v>
      </c>
      <c r="R297" t="s">
        <v>54</v>
      </c>
      <c r="S297">
        <v>11890010</v>
      </c>
      <c r="T297" t="s">
        <v>854</v>
      </c>
      <c r="U297" t="s">
        <v>1912</v>
      </c>
      <c r="V297" t="s">
        <v>166</v>
      </c>
      <c r="W297" t="s">
        <v>62</v>
      </c>
      <c r="X297" t="s">
        <v>1913</v>
      </c>
      <c r="Y297" t="s">
        <v>717</v>
      </c>
      <c r="Z297">
        <v>30</v>
      </c>
      <c r="AA297" t="s">
        <v>661</v>
      </c>
      <c r="AB297">
        <v>0</v>
      </c>
      <c r="AC297" t="s">
        <v>66</v>
      </c>
      <c r="AD297">
        <v>0</v>
      </c>
      <c r="AE297" t="s">
        <v>66</v>
      </c>
      <c r="AF297" t="s">
        <v>56</v>
      </c>
      <c r="AG297" t="s">
        <v>56</v>
      </c>
      <c r="AH297" t="s">
        <v>56</v>
      </c>
      <c r="AI297" t="s">
        <v>56</v>
      </c>
      <c r="AJ297" t="s">
        <v>1914</v>
      </c>
      <c r="AK297" t="s">
        <v>1915</v>
      </c>
      <c r="AL297" t="s">
        <v>56</v>
      </c>
      <c r="AM297" t="s">
        <v>56</v>
      </c>
      <c r="AN297" t="s">
        <v>56</v>
      </c>
      <c r="AO297" t="s">
        <v>56</v>
      </c>
      <c r="AP297" t="s">
        <v>56</v>
      </c>
      <c r="AQ297" t="s">
        <v>71</v>
      </c>
      <c r="AR297" t="s">
        <v>56</v>
      </c>
      <c r="AS297" t="s">
        <v>56</v>
      </c>
      <c r="AT297" t="s">
        <v>56</v>
      </c>
      <c r="AU297" t="s">
        <v>56</v>
      </c>
      <c r="AV297" t="s">
        <v>56</v>
      </c>
      <c r="AW297" t="s">
        <v>56</v>
      </c>
      <c r="AX297">
        <v>4</v>
      </c>
    </row>
    <row r="298" spans="1:50" x14ac:dyDescent="0.25">
      <c r="A298" t="str">
        <f>"20200127159017045236"</f>
        <v>20200127159017045236</v>
      </c>
      <c r="B298" t="s">
        <v>190</v>
      </c>
      <c r="C298" t="s">
        <v>190</v>
      </c>
      <c r="D298" t="s">
        <v>1916</v>
      </c>
      <c r="E298" t="str">
        <f>"080010430501"</f>
        <v>080010430501</v>
      </c>
      <c r="F298" t="s">
        <v>52</v>
      </c>
      <c r="G298">
        <v>900206215</v>
      </c>
      <c r="H298" t="s">
        <v>112</v>
      </c>
      <c r="I298" t="s">
        <v>1084</v>
      </c>
      <c r="J298">
        <v>3174342880</v>
      </c>
      <c r="K298" t="s">
        <v>54</v>
      </c>
      <c r="L298">
        <v>1129574053</v>
      </c>
      <c r="M298" t="s">
        <v>504</v>
      </c>
      <c r="N298" t="s">
        <v>97</v>
      </c>
      <c r="O298" t="s">
        <v>639</v>
      </c>
      <c r="P298" t="s">
        <v>109</v>
      </c>
      <c r="Q298">
        <v>17838</v>
      </c>
      <c r="R298" t="s">
        <v>54</v>
      </c>
      <c r="S298">
        <v>72253908</v>
      </c>
      <c r="T298" t="s">
        <v>1917</v>
      </c>
      <c r="U298" t="s">
        <v>62</v>
      </c>
      <c r="V298" t="s">
        <v>1918</v>
      </c>
      <c r="W298" t="s">
        <v>1789</v>
      </c>
      <c r="X298" t="s">
        <v>383</v>
      </c>
      <c r="Y298" t="s">
        <v>121</v>
      </c>
      <c r="Z298">
        <v>12</v>
      </c>
      <c r="AA298" t="s">
        <v>65</v>
      </c>
      <c r="AB298" t="s">
        <v>56</v>
      </c>
      <c r="AC298" t="s">
        <v>56</v>
      </c>
      <c r="AD298">
        <v>0</v>
      </c>
      <c r="AE298" t="s">
        <v>66</v>
      </c>
      <c r="AF298" t="s">
        <v>56</v>
      </c>
      <c r="AG298" t="s">
        <v>56</v>
      </c>
      <c r="AH298" t="s">
        <v>56</v>
      </c>
      <c r="AI298" t="s">
        <v>56</v>
      </c>
      <c r="AJ298" t="s">
        <v>1919</v>
      </c>
      <c r="AK298" t="s">
        <v>1920</v>
      </c>
      <c r="AL298" t="s">
        <v>894</v>
      </c>
      <c r="AM298" t="s">
        <v>895</v>
      </c>
      <c r="AN298" t="s">
        <v>56</v>
      </c>
      <c r="AO298" t="s">
        <v>56</v>
      </c>
      <c r="AP298" t="s">
        <v>56</v>
      </c>
      <c r="AQ298" t="s">
        <v>71</v>
      </c>
      <c r="AR298" t="s">
        <v>56</v>
      </c>
      <c r="AS298" t="s">
        <v>56</v>
      </c>
      <c r="AT298" t="s">
        <v>56</v>
      </c>
      <c r="AU298" t="s">
        <v>56</v>
      </c>
      <c r="AV298" t="s">
        <v>56</v>
      </c>
      <c r="AW298" t="s">
        <v>56</v>
      </c>
      <c r="AX298">
        <v>4</v>
      </c>
    </row>
    <row r="299" spans="1:50" x14ac:dyDescent="0.25">
      <c r="A299" t="str">
        <f>"20200127116017062032"</f>
        <v>20200127116017062032</v>
      </c>
      <c r="B299" t="s">
        <v>190</v>
      </c>
      <c r="C299" t="s">
        <v>190</v>
      </c>
      <c r="D299" t="s">
        <v>1921</v>
      </c>
      <c r="E299" t="str">
        <f>"080010003601"</f>
        <v>080010003601</v>
      </c>
      <c r="F299" t="s">
        <v>52</v>
      </c>
      <c r="G299">
        <v>802000955</v>
      </c>
      <c r="H299" t="s">
        <v>112</v>
      </c>
      <c r="I299" t="s">
        <v>218</v>
      </c>
      <c r="J299" t="s">
        <v>56</v>
      </c>
      <c r="K299" t="s">
        <v>54</v>
      </c>
      <c r="L299">
        <v>1045754222</v>
      </c>
      <c r="M299" t="s">
        <v>607</v>
      </c>
      <c r="N299" t="s">
        <v>117</v>
      </c>
      <c r="O299" t="s">
        <v>608</v>
      </c>
      <c r="P299" t="s">
        <v>528</v>
      </c>
      <c r="Q299">
        <v>1045754222</v>
      </c>
      <c r="R299" t="s">
        <v>54</v>
      </c>
      <c r="S299">
        <v>22405690</v>
      </c>
      <c r="T299" t="s">
        <v>413</v>
      </c>
      <c r="U299" t="s">
        <v>62</v>
      </c>
      <c r="V299" t="s">
        <v>1922</v>
      </c>
      <c r="W299" t="s">
        <v>1923</v>
      </c>
      <c r="X299" t="s">
        <v>120</v>
      </c>
      <c r="Y299" t="s">
        <v>121</v>
      </c>
      <c r="Z299">
        <v>12</v>
      </c>
      <c r="AA299" t="s">
        <v>65</v>
      </c>
      <c r="AB299" t="s">
        <v>56</v>
      </c>
      <c r="AC299" t="s">
        <v>56</v>
      </c>
      <c r="AD299">
        <v>0</v>
      </c>
      <c r="AE299" t="s">
        <v>66</v>
      </c>
      <c r="AF299" t="s">
        <v>56</v>
      </c>
      <c r="AG299" t="s">
        <v>56</v>
      </c>
      <c r="AH299" t="s">
        <v>56</v>
      </c>
      <c r="AI299" t="s">
        <v>56</v>
      </c>
      <c r="AJ299" t="s">
        <v>228</v>
      </c>
      <c r="AK299" t="s">
        <v>229</v>
      </c>
      <c r="AL299" t="s">
        <v>56</v>
      </c>
      <c r="AM299" t="s">
        <v>56</v>
      </c>
      <c r="AN299" t="s">
        <v>56</v>
      </c>
      <c r="AO299" t="s">
        <v>56</v>
      </c>
      <c r="AP299" t="s">
        <v>56</v>
      </c>
      <c r="AQ299" t="s">
        <v>71</v>
      </c>
      <c r="AR299" t="s">
        <v>56</v>
      </c>
      <c r="AS299" t="s">
        <v>56</v>
      </c>
      <c r="AT299" t="s">
        <v>56</v>
      </c>
      <c r="AU299" t="s">
        <v>56</v>
      </c>
      <c r="AV299" t="s">
        <v>56</v>
      </c>
      <c r="AW299" t="s">
        <v>56</v>
      </c>
      <c r="AX299">
        <v>4</v>
      </c>
    </row>
    <row r="300" spans="1:50" x14ac:dyDescent="0.25">
      <c r="A300" t="str">
        <f>"20200124193017013723"</f>
        <v>20200124193017013723</v>
      </c>
      <c r="B300" t="s">
        <v>201</v>
      </c>
      <c r="C300" t="s">
        <v>201</v>
      </c>
      <c r="D300" t="s">
        <v>1924</v>
      </c>
      <c r="E300" t="str">
        <f>"087580001301"</f>
        <v>087580001301</v>
      </c>
      <c r="F300" t="s">
        <v>52</v>
      </c>
      <c r="G300">
        <v>890112801</v>
      </c>
      <c r="H300" t="s">
        <v>74</v>
      </c>
      <c r="I300" t="s">
        <v>75</v>
      </c>
      <c r="J300">
        <v>3715562</v>
      </c>
      <c r="K300" t="s">
        <v>54</v>
      </c>
      <c r="L300">
        <v>84103258</v>
      </c>
      <c r="M300" t="s">
        <v>897</v>
      </c>
      <c r="N300" t="s">
        <v>272</v>
      </c>
      <c r="O300" t="s">
        <v>1925</v>
      </c>
      <c r="P300" t="s">
        <v>1926</v>
      </c>
      <c r="Q300" t="s">
        <v>1927</v>
      </c>
      <c r="R300" t="s">
        <v>54</v>
      </c>
      <c r="S300">
        <v>72144052</v>
      </c>
      <c r="T300" t="s">
        <v>1928</v>
      </c>
      <c r="U300" t="s">
        <v>62</v>
      </c>
      <c r="V300" t="s">
        <v>1873</v>
      </c>
      <c r="W300" t="s">
        <v>487</v>
      </c>
      <c r="X300" t="s">
        <v>299</v>
      </c>
      <c r="Y300" t="s">
        <v>121</v>
      </c>
      <c r="Z300">
        <v>12</v>
      </c>
      <c r="AA300" t="s">
        <v>65</v>
      </c>
      <c r="AB300" t="s">
        <v>56</v>
      </c>
      <c r="AC300" t="s">
        <v>56</v>
      </c>
      <c r="AD300">
        <v>0</v>
      </c>
      <c r="AE300" t="s">
        <v>66</v>
      </c>
      <c r="AF300" t="s">
        <v>56</v>
      </c>
      <c r="AG300" t="s">
        <v>56</v>
      </c>
      <c r="AH300" t="s">
        <v>56</v>
      </c>
      <c r="AI300" t="s">
        <v>56</v>
      </c>
      <c r="AJ300" t="s">
        <v>1929</v>
      </c>
      <c r="AK300" t="s">
        <v>1930</v>
      </c>
      <c r="AL300" t="s">
        <v>56</v>
      </c>
      <c r="AM300" t="s">
        <v>56</v>
      </c>
      <c r="AN300" t="s">
        <v>56</v>
      </c>
      <c r="AO300" t="s">
        <v>56</v>
      </c>
      <c r="AP300" t="s">
        <v>56</v>
      </c>
      <c r="AQ300" t="s">
        <v>71</v>
      </c>
      <c r="AR300" t="s">
        <v>56</v>
      </c>
      <c r="AS300" t="s">
        <v>56</v>
      </c>
      <c r="AT300" t="s">
        <v>56</v>
      </c>
      <c r="AU300" t="s">
        <v>56</v>
      </c>
      <c r="AV300" t="s">
        <v>56</v>
      </c>
      <c r="AW300" t="s">
        <v>56</v>
      </c>
      <c r="AX300">
        <v>4</v>
      </c>
    </row>
    <row r="301" spans="1:50" x14ac:dyDescent="0.25">
      <c r="A301" t="str">
        <f>"20200129157017112575"</f>
        <v>20200129157017112575</v>
      </c>
      <c r="B301" t="s">
        <v>72</v>
      </c>
      <c r="C301" t="s">
        <v>72</v>
      </c>
      <c r="D301" t="s">
        <v>1931</v>
      </c>
      <c r="E301" t="str">
        <f>"700010018501"</f>
        <v>700010018501</v>
      </c>
      <c r="F301" t="s">
        <v>52</v>
      </c>
      <c r="G301">
        <v>823002342</v>
      </c>
      <c r="H301">
        <v>70001</v>
      </c>
      <c r="I301" t="s">
        <v>1932</v>
      </c>
      <c r="J301">
        <v>2820285</v>
      </c>
      <c r="K301" t="s">
        <v>54</v>
      </c>
      <c r="L301">
        <v>92502319</v>
      </c>
      <c r="M301" t="s">
        <v>76</v>
      </c>
      <c r="N301" t="s">
        <v>1933</v>
      </c>
      <c r="O301" t="s">
        <v>691</v>
      </c>
      <c r="P301" t="s">
        <v>373</v>
      </c>
      <c r="Q301">
        <v>15694</v>
      </c>
      <c r="R301" t="s">
        <v>54</v>
      </c>
      <c r="S301">
        <v>25933129</v>
      </c>
      <c r="T301" t="s">
        <v>1934</v>
      </c>
      <c r="U301" t="s">
        <v>196</v>
      </c>
      <c r="V301" t="s">
        <v>1935</v>
      </c>
      <c r="W301" t="s">
        <v>1936</v>
      </c>
      <c r="X301" t="s">
        <v>1626</v>
      </c>
      <c r="Y301" t="s">
        <v>136</v>
      </c>
      <c r="Z301">
        <v>12</v>
      </c>
      <c r="AA301" t="s">
        <v>65</v>
      </c>
      <c r="AB301" t="s">
        <v>56</v>
      </c>
      <c r="AC301" t="s">
        <v>56</v>
      </c>
      <c r="AD301">
        <v>0</v>
      </c>
      <c r="AE301" t="s">
        <v>66</v>
      </c>
      <c r="AF301" t="s">
        <v>56</v>
      </c>
      <c r="AG301" t="s">
        <v>56</v>
      </c>
      <c r="AH301" t="s">
        <v>56</v>
      </c>
      <c r="AI301" t="s">
        <v>56</v>
      </c>
      <c r="AJ301" t="s">
        <v>171</v>
      </c>
      <c r="AK301" t="s">
        <v>172</v>
      </c>
      <c r="AL301" t="s">
        <v>56</v>
      </c>
      <c r="AM301" t="s">
        <v>56</v>
      </c>
      <c r="AN301" t="s">
        <v>56</v>
      </c>
      <c r="AO301" t="s">
        <v>56</v>
      </c>
      <c r="AP301" t="s">
        <v>56</v>
      </c>
      <c r="AQ301" t="s">
        <v>71</v>
      </c>
      <c r="AR301" t="s">
        <v>56</v>
      </c>
      <c r="AS301" t="s">
        <v>56</v>
      </c>
      <c r="AT301" t="s">
        <v>56</v>
      </c>
      <c r="AU301" t="s">
        <v>56</v>
      </c>
      <c r="AV301" t="s">
        <v>56</v>
      </c>
      <c r="AW301" t="s">
        <v>56</v>
      </c>
      <c r="AX301">
        <v>4</v>
      </c>
    </row>
    <row r="302" spans="1:50" x14ac:dyDescent="0.25">
      <c r="A302" t="str">
        <f>"20200130151017140187"</f>
        <v>20200130151017140187</v>
      </c>
      <c r="B302" t="s">
        <v>124</v>
      </c>
      <c r="C302" t="s">
        <v>124</v>
      </c>
      <c r="D302" t="s">
        <v>1937</v>
      </c>
      <c r="E302" t="str">
        <f>"130010256801"</f>
        <v>130010256801</v>
      </c>
      <c r="F302" t="s">
        <v>52</v>
      </c>
      <c r="G302">
        <v>900602320</v>
      </c>
      <c r="H302">
        <v>13001</v>
      </c>
      <c r="I302" t="s">
        <v>418</v>
      </c>
      <c r="J302">
        <v>3145960813</v>
      </c>
      <c r="K302" t="s">
        <v>54</v>
      </c>
      <c r="L302">
        <v>55228304</v>
      </c>
      <c r="M302" t="s">
        <v>1392</v>
      </c>
      <c r="N302" t="s">
        <v>519</v>
      </c>
      <c r="O302" t="s">
        <v>848</v>
      </c>
      <c r="P302" t="s">
        <v>1393</v>
      </c>
      <c r="Q302" t="s">
        <v>56</v>
      </c>
      <c r="R302" t="s">
        <v>237</v>
      </c>
      <c r="S302">
        <v>1052962631</v>
      </c>
      <c r="T302" t="s">
        <v>1938</v>
      </c>
      <c r="U302" t="s">
        <v>76</v>
      </c>
      <c r="V302" t="s">
        <v>353</v>
      </c>
      <c r="W302" t="s">
        <v>293</v>
      </c>
      <c r="X302" t="s">
        <v>427</v>
      </c>
      <c r="Y302" t="s">
        <v>101</v>
      </c>
      <c r="Z302">
        <v>12</v>
      </c>
      <c r="AA302" t="s">
        <v>65</v>
      </c>
      <c r="AB302" t="s">
        <v>56</v>
      </c>
      <c r="AC302" t="s">
        <v>56</v>
      </c>
      <c r="AD302">
        <v>0</v>
      </c>
      <c r="AE302" t="s">
        <v>66</v>
      </c>
      <c r="AF302" t="s">
        <v>56</v>
      </c>
      <c r="AG302" t="s">
        <v>56</v>
      </c>
      <c r="AH302" t="s">
        <v>56</v>
      </c>
      <c r="AI302" t="s">
        <v>56</v>
      </c>
      <c r="AJ302" t="s">
        <v>1396</v>
      </c>
      <c r="AK302" t="s">
        <v>1397</v>
      </c>
      <c r="AL302" t="s">
        <v>56</v>
      </c>
      <c r="AM302" t="s">
        <v>56</v>
      </c>
      <c r="AN302" t="s">
        <v>56</v>
      </c>
      <c r="AO302" t="s">
        <v>56</v>
      </c>
      <c r="AP302" t="s">
        <v>56</v>
      </c>
      <c r="AQ302" t="s">
        <v>71</v>
      </c>
      <c r="AR302" t="s">
        <v>56</v>
      </c>
      <c r="AS302" t="s">
        <v>56</v>
      </c>
      <c r="AT302" t="s">
        <v>56</v>
      </c>
      <c r="AU302" t="s">
        <v>56</v>
      </c>
      <c r="AV302" t="s">
        <v>56</v>
      </c>
      <c r="AW302" t="s">
        <v>56</v>
      </c>
      <c r="AX302">
        <v>4</v>
      </c>
    </row>
    <row r="303" spans="1:50" x14ac:dyDescent="0.25">
      <c r="A303" t="str">
        <f>"20200124147017007040"</f>
        <v>20200124147017007040</v>
      </c>
      <c r="B303" t="s">
        <v>201</v>
      </c>
      <c r="C303" t="s">
        <v>201</v>
      </c>
      <c r="D303" t="s">
        <v>1939</v>
      </c>
      <c r="E303" t="str">
        <f>"087580001301"</f>
        <v>087580001301</v>
      </c>
      <c r="F303" t="s">
        <v>52</v>
      </c>
      <c r="G303">
        <v>890112801</v>
      </c>
      <c r="H303" t="s">
        <v>74</v>
      </c>
      <c r="I303" t="s">
        <v>75</v>
      </c>
      <c r="J303">
        <v>3715562</v>
      </c>
      <c r="K303" t="s">
        <v>54</v>
      </c>
      <c r="L303">
        <v>72310350</v>
      </c>
      <c r="M303" t="s">
        <v>81</v>
      </c>
      <c r="N303" t="s">
        <v>164</v>
      </c>
      <c r="O303" t="s">
        <v>1428</v>
      </c>
      <c r="P303" t="s">
        <v>194</v>
      </c>
      <c r="Q303" t="s">
        <v>1429</v>
      </c>
      <c r="R303" t="s">
        <v>54</v>
      </c>
      <c r="S303">
        <v>22415067</v>
      </c>
      <c r="T303" t="s">
        <v>1940</v>
      </c>
      <c r="U303" t="s">
        <v>600</v>
      </c>
      <c r="V303" t="s">
        <v>1941</v>
      </c>
      <c r="W303" t="s">
        <v>1025</v>
      </c>
      <c r="X303" t="s">
        <v>241</v>
      </c>
      <c r="Y303" t="s">
        <v>121</v>
      </c>
      <c r="Z303">
        <v>12</v>
      </c>
      <c r="AA303" t="s">
        <v>65</v>
      </c>
      <c r="AB303" t="s">
        <v>56</v>
      </c>
      <c r="AC303" t="s">
        <v>56</v>
      </c>
      <c r="AD303">
        <v>0</v>
      </c>
      <c r="AE303" t="s">
        <v>66</v>
      </c>
      <c r="AF303" t="s">
        <v>56</v>
      </c>
      <c r="AG303" t="s">
        <v>56</v>
      </c>
      <c r="AH303" t="s">
        <v>56</v>
      </c>
      <c r="AI303" t="s">
        <v>56</v>
      </c>
      <c r="AJ303" t="s">
        <v>669</v>
      </c>
      <c r="AK303" t="s">
        <v>670</v>
      </c>
      <c r="AL303" t="s">
        <v>56</v>
      </c>
      <c r="AM303" t="s">
        <v>56</v>
      </c>
      <c r="AN303" t="s">
        <v>56</v>
      </c>
      <c r="AO303" t="s">
        <v>56</v>
      </c>
      <c r="AP303" t="s">
        <v>56</v>
      </c>
      <c r="AQ303" t="s">
        <v>71</v>
      </c>
      <c r="AR303" t="s">
        <v>56</v>
      </c>
      <c r="AS303" t="s">
        <v>56</v>
      </c>
      <c r="AT303" t="s">
        <v>56</v>
      </c>
      <c r="AU303" t="s">
        <v>56</v>
      </c>
      <c r="AV303" t="s">
        <v>56</v>
      </c>
      <c r="AW303" t="s">
        <v>56</v>
      </c>
      <c r="AX303">
        <v>4</v>
      </c>
    </row>
    <row r="304" spans="1:50" x14ac:dyDescent="0.25">
      <c r="A304" t="str">
        <f>"20200129120017113821"</f>
        <v>20200129120017113821</v>
      </c>
      <c r="B304" t="s">
        <v>72</v>
      </c>
      <c r="C304" t="s">
        <v>72</v>
      </c>
      <c r="D304" t="s">
        <v>1942</v>
      </c>
      <c r="E304" t="str">
        <f>"200010083101"</f>
        <v>200010083101</v>
      </c>
      <c r="F304" t="s">
        <v>52</v>
      </c>
      <c r="G304">
        <v>900066797</v>
      </c>
      <c r="H304">
        <v>20001</v>
      </c>
      <c r="I304" t="s">
        <v>457</v>
      </c>
      <c r="J304" t="s">
        <v>458</v>
      </c>
      <c r="K304" t="s">
        <v>54</v>
      </c>
      <c r="L304">
        <v>49760462</v>
      </c>
      <c r="M304" t="s">
        <v>459</v>
      </c>
      <c r="N304" t="s">
        <v>117</v>
      </c>
      <c r="O304" t="s">
        <v>460</v>
      </c>
      <c r="P304" t="s">
        <v>403</v>
      </c>
      <c r="Q304">
        <v>8550</v>
      </c>
      <c r="R304" t="s">
        <v>54</v>
      </c>
      <c r="S304">
        <v>49755163</v>
      </c>
      <c r="T304" t="s">
        <v>1943</v>
      </c>
      <c r="U304" t="s">
        <v>117</v>
      </c>
      <c r="V304" t="s">
        <v>1944</v>
      </c>
      <c r="W304" t="s">
        <v>1945</v>
      </c>
      <c r="X304" t="s">
        <v>407</v>
      </c>
      <c r="Y304" t="s">
        <v>86</v>
      </c>
      <c r="Z304">
        <v>12</v>
      </c>
      <c r="AA304" t="s">
        <v>65</v>
      </c>
      <c r="AB304" t="s">
        <v>56</v>
      </c>
      <c r="AC304" t="s">
        <v>56</v>
      </c>
      <c r="AD304">
        <v>0</v>
      </c>
      <c r="AE304" t="s">
        <v>66</v>
      </c>
      <c r="AF304" t="s">
        <v>56</v>
      </c>
      <c r="AG304" t="s">
        <v>56</v>
      </c>
      <c r="AH304" t="s">
        <v>56</v>
      </c>
      <c r="AI304" t="s">
        <v>56</v>
      </c>
      <c r="AJ304" t="s">
        <v>463</v>
      </c>
      <c r="AK304" t="s">
        <v>464</v>
      </c>
      <c r="AL304" t="s">
        <v>56</v>
      </c>
      <c r="AM304" t="s">
        <v>56</v>
      </c>
      <c r="AN304" t="s">
        <v>56</v>
      </c>
      <c r="AO304" t="s">
        <v>56</v>
      </c>
      <c r="AP304" t="s">
        <v>56</v>
      </c>
      <c r="AQ304" t="s">
        <v>71</v>
      </c>
      <c r="AR304" t="s">
        <v>56</v>
      </c>
      <c r="AS304" t="s">
        <v>56</v>
      </c>
      <c r="AT304" t="s">
        <v>56</v>
      </c>
      <c r="AU304" t="s">
        <v>56</v>
      </c>
      <c r="AV304" t="s">
        <v>56</v>
      </c>
      <c r="AW304" t="s">
        <v>56</v>
      </c>
      <c r="AX304">
        <v>4</v>
      </c>
    </row>
    <row r="305" spans="1:50" x14ac:dyDescent="0.25">
      <c r="A305" t="str">
        <f>"20200128130017082145"</f>
        <v>20200128130017082145</v>
      </c>
      <c r="B305" t="s">
        <v>151</v>
      </c>
      <c r="C305" t="s">
        <v>151</v>
      </c>
      <c r="D305" t="s">
        <v>1946</v>
      </c>
      <c r="E305" t="str">
        <f>"200010023201"</f>
        <v>200010023201</v>
      </c>
      <c r="F305" t="s">
        <v>52</v>
      </c>
      <c r="G305">
        <v>77028533</v>
      </c>
      <c r="H305">
        <v>20001</v>
      </c>
      <c r="I305" t="s">
        <v>990</v>
      </c>
      <c r="J305">
        <v>5804242</v>
      </c>
      <c r="K305" t="s">
        <v>54</v>
      </c>
      <c r="L305">
        <v>77028533</v>
      </c>
      <c r="M305" t="s">
        <v>991</v>
      </c>
      <c r="N305" t="s">
        <v>56</v>
      </c>
      <c r="O305" t="s">
        <v>992</v>
      </c>
      <c r="P305" t="s">
        <v>993</v>
      </c>
      <c r="Q305" t="s">
        <v>56</v>
      </c>
      <c r="R305" t="s">
        <v>54</v>
      </c>
      <c r="S305">
        <v>1065808692</v>
      </c>
      <c r="T305" t="s">
        <v>107</v>
      </c>
      <c r="U305" t="s">
        <v>272</v>
      </c>
      <c r="V305" t="s">
        <v>1947</v>
      </c>
      <c r="W305" t="s">
        <v>1428</v>
      </c>
      <c r="X305" t="s">
        <v>462</v>
      </c>
      <c r="Y305" t="s">
        <v>86</v>
      </c>
      <c r="Z305">
        <v>11</v>
      </c>
      <c r="AA305" t="s">
        <v>87</v>
      </c>
      <c r="AB305" t="s">
        <v>56</v>
      </c>
      <c r="AC305" t="s">
        <v>56</v>
      </c>
      <c r="AD305">
        <v>0</v>
      </c>
      <c r="AE305" t="s">
        <v>66</v>
      </c>
      <c r="AF305" t="s">
        <v>56</v>
      </c>
      <c r="AG305" t="s">
        <v>56</v>
      </c>
      <c r="AH305" t="s">
        <v>56</v>
      </c>
      <c r="AI305" t="s">
        <v>56</v>
      </c>
      <c r="AJ305" t="s">
        <v>1948</v>
      </c>
      <c r="AK305" t="s">
        <v>1949</v>
      </c>
      <c r="AL305" t="s">
        <v>1950</v>
      </c>
      <c r="AM305" t="s">
        <v>1951</v>
      </c>
      <c r="AN305" t="s">
        <v>56</v>
      </c>
      <c r="AO305" t="s">
        <v>56</v>
      </c>
      <c r="AP305" t="s">
        <v>56</v>
      </c>
      <c r="AQ305" t="s">
        <v>71</v>
      </c>
      <c r="AR305" t="s">
        <v>56</v>
      </c>
      <c r="AS305" t="s">
        <v>56</v>
      </c>
      <c r="AT305" t="s">
        <v>56</v>
      </c>
      <c r="AU305" t="s">
        <v>56</v>
      </c>
      <c r="AV305" t="s">
        <v>56</v>
      </c>
      <c r="AW305" t="s">
        <v>56</v>
      </c>
      <c r="AX305">
        <v>4</v>
      </c>
    </row>
    <row r="306" spans="1:50" x14ac:dyDescent="0.25">
      <c r="A306" t="str">
        <f>"20200128135017082310"</f>
        <v>20200128135017082310</v>
      </c>
      <c r="B306" t="s">
        <v>151</v>
      </c>
      <c r="C306" t="s">
        <v>151</v>
      </c>
      <c r="D306" t="s">
        <v>1952</v>
      </c>
      <c r="E306" t="str">
        <f>"200010023201"</f>
        <v>200010023201</v>
      </c>
      <c r="F306" t="s">
        <v>52</v>
      </c>
      <c r="G306">
        <v>77028533</v>
      </c>
      <c r="H306">
        <v>20001</v>
      </c>
      <c r="I306" t="s">
        <v>990</v>
      </c>
      <c r="J306">
        <v>5804242</v>
      </c>
      <c r="K306" t="s">
        <v>54</v>
      </c>
      <c r="L306">
        <v>77028533</v>
      </c>
      <c r="M306" t="s">
        <v>991</v>
      </c>
      <c r="N306" t="s">
        <v>56</v>
      </c>
      <c r="O306" t="s">
        <v>992</v>
      </c>
      <c r="P306" t="s">
        <v>993</v>
      </c>
      <c r="Q306" t="s">
        <v>56</v>
      </c>
      <c r="R306" t="s">
        <v>54</v>
      </c>
      <c r="S306">
        <v>1065808692</v>
      </c>
      <c r="T306" t="s">
        <v>107</v>
      </c>
      <c r="U306" t="s">
        <v>272</v>
      </c>
      <c r="V306" t="s">
        <v>1947</v>
      </c>
      <c r="W306" t="s">
        <v>1428</v>
      </c>
      <c r="X306" t="s">
        <v>462</v>
      </c>
      <c r="Y306" t="s">
        <v>86</v>
      </c>
      <c r="Z306">
        <v>11</v>
      </c>
      <c r="AA306" t="s">
        <v>87</v>
      </c>
      <c r="AB306" t="s">
        <v>56</v>
      </c>
      <c r="AC306" t="s">
        <v>56</v>
      </c>
      <c r="AD306">
        <v>0</v>
      </c>
      <c r="AE306" t="s">
        <v>66</v>
      </c>
      <c r="AF306" t="s">
        <v>56</v>
      </c>
      <c r="AG306" t="s">
        <v>56</v>
      </c>
      <c r="AH306" t="s">
        <v>56</v>
      </c>
      <c r="AI306" t="s">
        <v>56</v>
      </c>
      <c r="AJ306" t="s">
        <v>1948</v>
      </c>
      <c r="AK306" t="s">
        <v>1949</v>
      </c>
      <c r="AL306" t="s">
        <v>1950</v>
      </c>
      <c r="AM306" t="s">
        <v>1951</v>
      </c>
      <c r="AN306" t="s">
        <v>56</v>
      </c>
      <c r="AO306" t="s">
        <v>56</v>
      </c>
      <c r="AP306" t="s">
        <v>56</v>
      </c>
      <c r="AQ306" t="s">
        <v>71</v>
      </c>
      <c r="AR306" t="s">
        <v>56</v>
      </c>
      <c r="AS306" t="s">
        <v>56</v>
      </c>
      <c r="AT306" t="s">
        <v>56</v>
      </c>
      <c r="AU306" t="s">
        <v>56</v>
      </c>
      <c r="AV306" t="s">
        <v>56</v>
      </c>
      <c r="AW306" t="s">
        <v>56</v>
      </c>
      <c r="AX306">
        <v>4</v>
      </c>
    </row>
    <row r="307" spans="1:50" x14ac:dyDescent="0.25">
      <c r="A307" t="str">
        <f>"20200124121017013422"</f>
        <v>20200124121017013422</v>
      </c>
      <c r="B307" t="s">
        <v>201</v>
      </c>
      <c r="C307" t="s">
        <v>201</v>
      </c>
      <c r="D307" t="s">
        <v>1953</v>
      </c>
      <c r="E307" t="str">
        <f>"761470371502"</f>
        <v>761470371502</v>
      </c>
      <c r="F307" t="s">
        <v>52</v>
      </c>
      <c r="G307">
        <v>890303841</v>
      </c>
      <c r="H307">
        <v>76147</v>
      </c>
      <c r="I307" t="s">
        <v>359</v>
      </c>
      <c r="J307">
        <v>2132425</v>
      </c>
      <c r="K307" t="s">
        <v>54</v>
      </c>
      <c r="L307">
        <v>1112772806</v>
      </c>
      <c r="M307" t="s">
        <v>1954</v>
      </c>
      <c r="N307" t="s">
        <v>56</v>
      </c>
      <c r="O307" t="s">
        <v>425</v>
      </c>
      <c r="P307" t="s">
        <v>711</v>
      </c>
      <c r="Q307">
        <v>1112772806</v>
      </c>
      <c r="R307" t="s">
        <v>54</v>
      </c>
      <c r="S307">
        <v>29623167</v>
      </c>
      <c r="T307" t="s">
        <v>117</v>
      </c>
      <c r="U307" t="s">
        <v>1955</v>
      </c>
      <c r="V307" t="s">
        <v>742</v>
      </c>
      <c r="W307" t="s">
        <v>1956</v>
      </c>
      <c r="X307" t="s">
        <v>63</v>
      </c>
      <c r="Y307" t="s">
        <v>64</v>
      </c>
      <c r="Z307">
        <v>30</v>
      </c>
      <c r="AA307" t="s">
        <v>661</v>
      </c>
      <c r="AB307">
        <v>0</v>
      </c>
      <c r="AC307" t="s">
        <v>66</v>
      </c>
      <c r="AD307">
        <v>0</v>
      </c>
      <c r="AE307" t="s">
        <v>66</v>
      </c>
      <c r="AF307" t="s">
        <v>56</v>
      </c>
      <c r="AG307" t="s">
        <v>56</v>
      </c>
      <c r="AH307" t="s">
        <v>56</v>
      </c>
      <c r="AI307" t="s">
        <v>56</v>
      </c>
      <c r="AJ307" t="s">
        <v>1785</v>
      </c>
      <c r="AK307" t="s">
        <v>1786</v>
      </c>
      <c r="AL307" t="s">
        <v>56</v>
      </c>
      <c r="AM307" t="s">
        <v>56</v>
      </c>
      <c r="AN307" t="s">
        <v>56</v>
      </c>
      <c r="AO307" t="s">
        <v>56</v>
      </c>
      <c r="AP307" t="s">
        <v>56</v>
      </c>
      <c r="AQ307" t="s">
        <v>71</v>
      </c>
      <c r="AR307" t="s">
        <v>56</v>
      </c>
      <c r="AS307" t="s">
        <v>56</v>
      </c>
      <c r="AT307" t="s">
        <v>56</v>
      </c>
      <c r="AU307" t="s">
        <v>56</v>
      </c>
      <c r="AV307" t="s">
        <v>56</v>
      </c>
      <c r="AW307" t="s">
        <v>56</v>
      </c>
      <c r="AX307">
        <v>4</v>
      </c>
    </row>
    <row r="308" spans="1:50" x14ac:dyDescent="0.25">
      <c r="A308" t="str">
        <f>"20200124196017017174"</f>
        <v>20200124196017017174</v>
      </c>
      <c r="B308" t="s">
        <v>201</v>
      </c>
      <c r="C308" t="s">
        <v>201</v>
      </c>
      <c r="D308" t="s">
        <v>1957</v>
      </c>
      <c r="E308" t="str">
        <f>"134300049201"</f>
        <v>134300049201</v>
      </c>
      <c r="F308" t="s">
        <v>52</v>
      </c>
      <c r="G308">
        <v>900196347</v>
      </c>
      <c r="H308">
        <v>13430</v>
      </c>
      <c r="I308" t="s">
        <v>174</v>
      </c>
      <c r="J308" t="s">
        <v>175</v>
      </c>
      <c r="K308" t="s">
        <v>54</v>
      </c>
      <c r="L308">
        <v>33336940</v>
      </c>
      <c r="M308" t="s">
        <v>1176</v>
      </c>
      <c r="N308" t="s">
        <v>117</v>
      </c>
      <c r="O308" t="s">
        <v>1144</v>
      </c>
      <c r="P308" t="s">
        <v>1177</v>
      </c>
      <c r="Q308">
        <v>10694</v>
      </c>
      <c r="R308" t="s">
        <v>54</v>
      </c>
      <c r="S308">
        <v>1052987193</v>
      </c>
      <c r="T308" t="s">
        <v>1958</v>
      </c>
      <c r="U308" t="s">
        <v>1959</v>
      </c>
      <c r="V308" t="s">
        <v>84</v>
      </c>
      <c r="W308" t="s">
        <v>225</v>
      </c>
      <c r="X308" t="s">
        <v>183</v>
      </c>
      <c r="Y308" t="s">
        <v>101</v>
      </c>
      <c r="Z308">
        <v>12</v>
      </c>
      <c r="AA308" t="s">
        <v>65</v>
      </c>
      <c r="AB308" t="s">
        <v>56</v>
      </c>
      <c r="AC308" t="s">
        <v>56</v>
      </c>
      <c r="AD308">
        <v>0</v>
      </c>
      <c r="AE308" t="s">
        <v>66</v>
      </c>
      <c r="AF308" t="s">
        <v>56</v>
      </c>
      <c r="AG308" t="s">
        <v>56</v>
      </c>
      <c r="AH308" t="s">
        <v>56</v>
      </c>
      <c r="AI308" t="s">
        <v>56</v>
      </c>
      <c r="AJ308" t="s">
        <v>1180</v>
      </c>
      <c r="AK308" t="s">
        <v>1181</v>
      </c>
      <c r="AL308" t="s">
        <v>56</v>
      </c>
      <c r="AM308" t="s">
        <v>56</v>
      </c>
      <c r="AN308" t="s">
        <v>56</v>
      </c>
      <c r="AO308" t="s">
        <v>56</v>
      </c>
      <c r="AP308" t="s">
        <v>56</v>
      </c>
      <c r="AQ308" t="s">
        <v>71</v>
      </c>
      <c r="AR308" t="s">
        <v>56</v>
      </c>
      <c r="AS308" t="s">
        <v>56</v>
      </c>
      <c r="AT308" t="s">
        <v>56</v>
      </c>
      <c r="AU308" t="s">
        <v>56</v>
      </c>
      <c r="AV308" t="s">
        <v>56</v>
      </c>
      <c r="AW308" t="s">
        <v>56</v>
      </c>
      <c r="AX308">
        <v>4</v>
      </c>
    </row>
    <row r="309" spans="1:50" x14ac:dyDescent="0.25">
      <c r="A309" t="str">
        <f>"20200130160017143862"</f>
        <v>20200130160017143862</v>
      </c>
      <c r="B309" t="s">
        <v>124</v>
      </c>
      <c r="C309" t="s">
        <v>124</v>
      </c>
      <c r="D309" t="s">
        <v>1960</v>
      </c>
      <c r="E309" t="str">
        <f>"200010083101"</f>
        <v>200010083101</v>
      </c>
      <c r="F309" t="s">
        <v>52</v>
      </c>
      <c r="G309">
        <v>900066797</v>
      </c>
      <c r="H309">
        <v>20001</v>
      </c>
      <c r="I309" t="s">
        <v>457</v>
      </c>
      <c r="J309" t="s">
        <v>458</v>
      </c>
      <c r="K309" t="s">
        <v>54</v>
      </c>
      <c r="L309">
        <v>49760462</v>
      </c>
      <c r="M309" t="s">
        <v>459</v>
      </c>
      <c r="N309" t="s">
        <v>117</v>
      </c>
      <c r="O309" t="s">
        <v>460</v>
      </c>
      <c r="P309" t="s">
        <v>403</v>
      </c>
      <c r="Q309">
        <v>8550</v>
      </c>
      <c r="R309" t="s">
        <v>54</v>
      </c>
      <c r="S309">
        <v>26789628</v>
      </c>
      <c r="T309" t="s">
        <v>1961</v>
      </c>
      <c r="U309" t="s">
        <v>954</v>
      </c>
      <c r="V309" t="s">
        <v>61</v>
      </c>
      <c r="W309" t="s">
        <v>1962</v>
      </c>
      <c r="X309" t="s">
        <v>1172</v>
      </c>
      <c r="Y309" t="s">
        <v>345</v>
      </c>
      <c r="Z309">
        <v>12</v>
      </c>
      <c r="AA309" t="s">
        <v>65</v>
      </c>
      <c r="AB309" t="s">
        <v>56</v>
      </c>
      <c r="AC309" t="s">
        <v>56</v>
      </c>
      <c r="AD309">
        <v>0</v>
      </c>
      <c r="AE309" t="s">
        <v>66</v>
      </c>
      <c r="AF309" t="s">
        <v>56</v>
      </c>
      <c r="AG309" t="s">
        <v>56</v>
      </c>
      <c r="AH309" t="s">
        <v>56</v>
      </c>
      <c r="AI309" t="s">
        <v>56</v>
      </c>
      <c r="AJ309" t="s">
        <v>545</v>
      </c>
      <c r="AK309" t="s">
        <v>546</v>
      </c>
      <c r="AL309" t="s">
        <v>56</v>
      </c>
      <c r="AM309" t="s">
        <v>56</v>
      </c>
      <c r="AN309" t="s">
        <v>56</v>
      </c>
      <c r="AO309" t="s">
        <v>56</v>
      </c>
      <c r="AP309" t="s">
        <v>56</v>
      </c>
      <c r="AQ309" t="s">
        <v>71</v>
      </c>
      <c r="AR309" t="s">
        <v>56</v>
      </c>
      <c r="AS309" t="s">
        <v>56</v>
      </c>
      <c r="AT309" t="s">
        <v>56</v>
      </c>
      <c r="AU309" t="s">
        <v>56</v>
      </c>
      <c r="AV309" t="s">
        <v>56</v>
      </c>
      <c r="AW309" t="s">
        <v>56</v>
      </c>
      <c r="AX309">
        <v>4</v>
      </c>
    </row>
    <row r="310" spans="1:50" x14ac:dyDescent="0.25">
      <c r="A310" t="str">
        <f>"20200129159017107987"</f>
        <v>20200129159017107987</v>
      </c>
      <c r="B310" t="s">
        <v>72</v>
      </c>
      <c r="C310" t="s">
        <v>72</v>
      </c>
      <c r="D310" t="s">
        <v>1963</v>
      </c>
      <c r="E310" t="str">
        <f>"080010409201"</f>
        <v>080010409201</v>
      </c>
      <c r="F310" t="s">
        <v>52</v>
      </c>
      <c r="G310">
        <v>900448414</v>
      </c>
      <c r="H310" t="s">
        <v>112</v>
      </c>
      <c r="I310" t="s">
        <v>785</v>
      </c>
      <c r="J310">
        <v>3545674</v>
      </c>
      <c r="K310" t="s">
        <v>54</v>
      </c>
      <c r="L310">
        <v>8633136</v>
      </c>
      <c r="M310" t="s">
        <v>234</v>
      </c>
      <c r="N310" t="s">
        <v>714</v>
      </c>
      <c r="O310" t="s">
        <v>1312</v>
      </c>
      <c r="P310" t="s">
        <v>1305</v>
      </c>
      <c r="Q310">
        <v>2848</v>
      </c>
      <c r="R310" t="s">
        <v>440</v>
      </c>
      <c r="S310">
        <v>1043481120</v>
      </c>
      <c r="T310" t="s">
        <v>1964</v>
      </c>
      <c r="U310" t="s">
        <v>995</v>
      </c>
      <c r="V310" t="s">
        <v>79</v>
      </c>
      <c r="W310" t="s">
        <v>1965</v>
      </c>
      <c r="X310" t="s">
        <v>120</v>
      </c>
      <c r="Y310" t="s">
        <v>121</v>
      </c>
      <c r="Z310">
        <v>12</v>
      </c>
      <c r="AA310" t="s">
        <v>65</v>
      </c>
      <c r="AB310" t="s">
        <v>56</v>
      </c>
      <c r="AC310" t="s">
        <v>56</v>
      </c>
      <c r="AD310">
        <v>0</v>
      </c>
      <c r="AE310" t="s">
        <v>66</v>
      </c>
      <c r="AF310" t="s">
        <v>56</v>
      </c>
      <c r="AG310" t="s">
        <v>56</v>
      </c>
      <c r="AH310" t="s">
        <v>56</v>
      </c>
      <c r="AI310" t="s">
        <v>56</v>
      </c>
      <c r="AJ310" t="s">
        <v>444</v>
      </c>
      <c r="AK310" t="s">
        <v>445</v>
      </c>
      <c r="AL310" t="s">
        <v>56</v>
      </c>
      <c r="AM310" t="s">
        <v>56</v>
      </c>
      <c r="AN310" t="s">
        <v>56</v>
      </c>
      <c r="AO310" t="s">
        <v>56</v>
      </c>
      <c r="AP310" t="s">
        <v>56</v>
      </c>
      <c r="AQ310" t="s">
        <v>71</v>
      </c>
      <c r="AR310" t="s">
        <v>56</v>
      </c>
      <c r="AS310" t="s">
        <v>56</v>
      </c>
      <c r="AT310" t="s">
        <v>56</v>
      </c>
      <c r="AU310" t="s">
        <v>56</v>
      </c>
      <c r="AV310" t="s">
        <v>56</v>
      </c>
      <c r="AW310" t="s">
        <v>56</v>
      </c>
      <c r="AX310">
        <v>4</v>
      </c>
    </row>
    <row r="311" spans="1:50" x14ac:dyDescent="0.25">
      <c r="A311" t="str">
        <f>"20200129161017104098"</f>
        <v>20200129161017104098</v>
      </c>
      <c r="B311" t="s">
        <v>72</v>
      </c>
      <c r="C311" t="s">
        <v>72</v>
      </c>
      <c r="D311" t="s">
        <v>1966</v>
      </c>
      <c r="E311" t="str">
        <f>"134300049201"</f>
        <v>134300049201</v>
      </c>
      <c r="F311" t="s">
        <v>52</v>
      </c>
      <c r="G311">
        <v>900196347</v>
      </c>
      <c r="H311">
        <v>13430</v>
      </c>
      <c r="I311" t="s">
        <v>174</v>
      </c>
      <c r="J311" t="s">
        <v>175</v>
      </c>
      <c r="K311" t="s">
        <v>54</v>
      </c>
      <c r="L311">
        <v>73231348</v>
      </c>
      <c r="M311" t="s">
        <v>164</v>
      </c>
      <c r="N311" t="s">
        <v>76</v>
      </c>
      <c r="O311" t="s">
        <v>119</v>
      </c>
      <c r="P311" t="s">
        <v>1782</v>
      </c>
      <c r="Q311">
        <v>73231348</v>
      </c>
      <c r="R311" t="s">
        <v>54</v>
      </c>
      <c r="S311">
        <v>22925931</v>
      </c>
      <c r="T311" t="s">
        <v>1210</v>
      </c>
      <c r="U311" t="s">
        <v>117</v>
      </c>
      <c r="V311" t="s">
        <v>169</v>
      </c>
      <c r="W311" t="s">
        <v>298</v>
      </c>
      <c r="X311" t="s">
        <v>183</v>
      </c>
      <c r="Y311" t="s">
        <v>101</v>
      </c>
      <c r="Z311">
        <v>12</v>
      </c>
      <c r="AA311" t="s">
        <v>65</v>
      </c>
      <c r="AB311" t="s">
        <v>56</v>
      </c>
      <c r="AC311" t="s">
        <v>56</v>
      </c>
      <c r="AD311">
        <v>0</v>
      </c>
      <c r="AE311" t="s">
        <v>66</v>
      </c>
      <c r="AF311" t="s">
        <v>56</v>
      </c>
      <c r="AG311" t="s">
        <v>56</v>
      </c>
      <c r="AH311" t="s">
        <v>56</v>
      </c>
      <c r="AI311" t="s">
        <v>56</v>
      </c>
      <c r="AJ311" t="s">
        <v>1967</v>
      </c>
      <c r="AK311" t="s">
        <v>1968</v>
      </c>
      <c r="AL311" t="s">
        <v>56</v>
      </c>
      <c r="AM311" t="s">
        <v>56</v>
      </c>
      <c r="AN311" t="s">
        <v>56</v>
      </c>
      <c r="AO311" t="s">
        <v>56</v>
      </c>
      <c r="AP311" t="s">
        <v>56</v>
      </c>
      <c r="AQ311" t="s">
        <v>71</v>
      </c>
      <c r="AR311" t="s">
        <v>56</v>
      </c>
      <c r="AS311" t="s">
        <v>56</v>
      </c>
      <c r="AT311" t="s">
        <v>56</v>
      </c>
      <c r="AU311" t="s">
        <v>56</v>
      </c>
      <c r="AV311" t="s">
        <v>56</v>
      </c>
      <c r="AW311" t="s">
        <v>56</v>
      </c>
      <c r="AX311">
        <v>4</v>
      </c>
    </row>
    <row r="312" spans="1:50" x14ac:dyDescent="0.25">
      <c r="A312" t="str">
        <f>"20200124136016999716"</f>
        <v>20200124136016999716</v>
      </c>
      <c r="B312" t="s">
        <v>201</v>
      </c>
      <c r="C312" t="s">
        <v>201</v>
      </c>
      <c r="D312" t="s">
        <v>1969</v>
      </c>
      <c r="E312" t="str">
        <f>"080010380001"</f>
        <v>080010380001</v>
      </c>
      <c r="F312" t="s">
        <v>52</v>
      </c>
      <c r="G312">
        <v>900665930</v>
      </c>
      <c r="H312" t="s">
        <v>112</v>
      </c>
      <c r="I312" t="s">
        <v>113</v>
      </c>
      <c r="J312">
        <v>3175759202</v>
      </c>
      <c r="K312" t="s">
        <v>54</v>
      </c>
      <c r="L312">
        <v>1045724464</v>
      </c>
      <c r="M312" t="s">
        <v>59</v>
      </c>
      <c r="N312" t="s">
        <v>114</v>
      </c>
      <c r="O312" t="s">
        <v>115</v>
      </c>
      <c r="P312" t="s">
        <v>116</v>
      </c>
      <c r="Q312">
        <v>1045724464</v>
      </c>
      <c r="R312" t="s">
        <v>54</v>
      </c>
      <c r="S312">
        <v>91280331</v>
      </c>
      <c r="T312" t="s">
        <v>492</v>
      </c>
      <c r="U312" t="s">
        <v>62</v>
      </c>
      <c r="V312" t="s">
        <v>1260</v>
      </c>
      <c r="W312" t="s">
        <v>532</v>
      </c>
      <c r="X312" t="s">
        <v>120</v>
      </c>
      <c r="Y312" t="s">
        <v>121</v>
      </c>
      <c r="Z312">
        <v>12</v>
      </c>
      <c r="AA312" t="s">
        <v>65</v>
      </c>
      <c r="AB312" t="s">
        <v>56</v>
      </c>
      <c r="AC312" t="s">
        <v>56</v>
      </c>
      <c r="AD312">
        <v>0</v>
      </c>
      <c r="AE312" t="s">
        <v>66</v>
      </c>
      <c r="AF312" t="s">
        <v>56</v>
      </c>
      <c r="AG312" t="s">
        <v>56</v>
      </c>
      <c r="AH312" t="s">
        <v>56</v>
      </c>
      <c r="AI312" t="s">
        <v>56</v>
      </c>
      <c r="AJ312" t="s">
        <v>122</v>
      </c>
      <c r="AK312" t="s">
        <v>123</v>
      </c>
      <c r="AL312" t="s">
        <v>56</v>
      </c>
      <c r="AM312" t="s">
        <v>56</v>
      </c>
      <c r="AN312" t="s">
        <v>56</v>
      </c>
      <c r="AO312" t="s">
        <v>56</v>
      </c>
      <c r="AP312" t="s">
        <v>56</v>
      </c>
      <c r="AQ312" t="s">
        <v>71</v>
      </c>
      <c r="AR312" t="s">
        <v>56</v>
      </c>
      <c r="AS312" t="s">
        <v>56</v>
      </c>
      <c r="AT312" t="s">
        <v>56</v>
      </c>
      <c r="AU312" t="s">
        <v>56</v>
      </c>
      <c r="AV312" t="s">
        <v>56</v>
      </c>
      <c r="AW312" t="s">
        <v>56</v>
      </c>
      <c r="AX312">
        <v>4</v>
      </c>
    </row>
    <row r="313" spans="1:50" x14ac:dyDescent="0.25">
      <c r="A313" t="str">
        <f>"20200129166017114193"</f>
        <v>20200129166017114193</v>
      </c>
      <c r="B313" t="s">
        <v>72</v>
      </c>
      <c r="C313" t="s">
        <v>72</v>
      </c>
      <c r="D313" t="s">
        <v>1970</v>
      </c>
      <c r="E313" t="str">
        <f>"080010054401"</f>
        <v>080010054401</v>
      </c>
      <c r="F313" t="s">
        <v>52</v>
      </c>
      <c r="G313">
        <v>800194798</v>
      </c>
      <c r="H313" t="s">
        <v>112</v>
      </c>
      <c r="I313" t="s">
        <v>616</v>
      </c>
      <c r="J313" t="s">
        <v>56</v>
      </c>
      <c r="K313" t="s">
        <v>54</v>
      </c>
      <c r="L313">
        <v>32732734</v>
      </c>
      <c r="M313" t="s">
        <v>1971</v>
      </c>
      <c r="N313" t="s">
        <v>117</v>
      </c>
      <c r="O313" t="s">
        <v>1972</v>
      </c>
      <c r="P313" t="s">
        <v>198</v>
      </c>
      <c r="Q313">
        <v>439565898</v>
      </c>
      <c r="R313" t="s">
        <v>54</v>
      </c>
      <c r="S313">
        <v>1046267888</v>
      </c>
      <c r="T313" t="s">
        <v>117</v>
      </c>
      <c r="U313" t="s">
        <v>1679</v>
      </c>
      <c r="V313" t="s">
        <v>1166</v>
      </c>
      <c r="W313" t="s">
        <v>449</v>
      </c>
      <c r="X313" t="s">
        <v>569</v>
      </c>
      <c r="Y313" t="s">
        <v>121</v>
      </c>
      <c r="Z313">
        <v>12</v>
      </c>
      <c r="AA313" t="s">
        <v>65</v>
      </c>
      <c r="AB313" t="s">
        <v>56</v>
      </c>
      <c r="AC313" t="s">
        <v>56</v>
      </c>
      <c r="AD313">
        <v>0</v>
      </c>
      <c r="AE313" t="s">
        <v>66</v>
      </c>
      <c r="AF313" t="s">
        <v>56</v>
      </c>
      <c r="AG313" t="s">
        <v>56</v>
      </c>
      <c r="AH313" t="s">
        <v>56</v>
      </c>
      <c r="AI313" t="s">
        <v>56</v>
      </c>
      <c r="AJ313" t="s">
        <v>1973</v>
      </c>
      <c r="AK313" t="s">
        <v>1974</v>
      </c>
      <c r="AL313" t="s">
        <v>56</v>
      </c>
      <c r="AM313" t="s">
        <v>56</v>
      </c>
      <c r="AN313" t="s">
        <v>56</v>
      </c>
      <c r="AO313" t="s">
        <v>56</v>
      </c>
      <c r="AP313" t="s">
        <v>56</v>
      </c>
      <c r="AQ313" t="s">
        <v>71</v>
      </c>
      <c r="AR313" t="s">
        <v>56</v>
      </c>
      <c r="AS313" t="s">
        <v>56</v>
      </c>
      <c r="AT313" t="s">
        <v>56</v>
      </c>
      <c r="AU313" t="s">
        <v>56</v>
      </c>
      <c r="AV313" t="s">
        <v>56</v>
      </c>
      <c r="AW313" t="s">
        <v>56</v>
      </c>
      <c r="AX313">
        <v>4</v>
      </c>
    </row>
    <row r="314" spans="1:50" x14ac:dyDescent="0.25">
      <c r="A314" t="str">
        <f>"20200131172017163130"</f>
        <v>20200131172017163130</v>
      </c>
      <c r="B314" t="s">
        <v>110</v>
      </c>
      <c r="C314" t="s">
        <v>110</v>
      </c>
      <c r="D314" t="s">
        <v>1975</v>
      </c>
      <c r="E314" t="str">
        <f>"080010122201"</f>
        <v>080010122201</v>
      </c>
      <c r="F314" t="s">
        <v>52</v>
      </c>
      <c r="G314">
        <v>890116783</v>
      </c>
      <c r="H314" t="s">
        <v>112</v>
      </c>
      <c r="I314" t="s">
        <v>1796</v>
      </c>
      <c r="J314">
        <v>3781220</v>
      </c>
      <c r="K314" t="s">
        <v>54</v>
      </c>
      <c r="L314">
        <v>78018571</v>
      </c>
      <c r="M314" t="s">
        <v>291</v>
      </c>
      <c r="N314" t="s">
        <v>261</v>
      </c>
      <c r="O314" t="s">
        <v>1976</v>
      </c>
      <c r="P314" t="s">
        <v>293</v>
      </c>
      <c r="Q314" t="s">
        <v>1977</v>
      </c>
      <c r="R314" t="s">
        <v>54</v>
      </c>
      <c r="S314">
        <v>32621956</v>
      </c>
      <c r="T314" t="s">
        <v>117</v>
      </c>
      <c r="U314" t="s">
        <v>62</v>
      </c>
      <c r="V314" t="s">
        <v>134</v>
      </c>
      <c r="W314" t="s">
        <v>57</v>
      </c>
      <c r="X314" t="s">
        <v>120</v>
      </c>
      <c r="Y314" t="s">
        <v>121</v>
      </c>
      <c r="Z314">
        <v>12</v>
      </c>
      <c r="AA314" t="s">
        <v>65</v>
      </c>
      <c r="AB314" t="s">
        <v>56</v>
      </c>
      <c r="AC314" t="s">
        <v>56</v>
      </c>
      <c r="AD314">
        <v>0</v>
      </c>
      <c r="AE314" t="s">
        <v>66</v>
      </c>
      <c r="AF314" t="s">
        <v>56</v>
      </c>
      <c r="AG314" t="s">
        <v>56</v>
      </c>
      <c r="AH314" t="s">
        <v>56</v>
      </c>
      <c r="AI314" t="s">
        <v>56</v>
      </c>
      <c r="AJ314" t="s">
        <v>1978</v>
      </c>
      <c r="AK314" t="s">
        <v>1979</v>
      </c>
      <c r="AL314" t="s">
        <v>56</v>
      </c>
      <c r="AM314" t="s">
        <v>56</v>
      </c>
      <c r="AN314" t="s">
        <v>56</v>
      </c>
      <c r="AO314" t="s">
        <v>56</v>
      </c>
      <c r="AP314" t="s">
        <v>56</v>
      </c>
      <c r="AQ314" t="s">
        <v>71</v>
      </c>
      <c r="AR314" t="s">
        <v>56</v>
      </c>
      <c r="AS314" t="s">
        <v>56</v>
      </c>
      <c r="AT314" t="s">
        <v>56</v>
      </c>
      <c r="AU314" t="s">
        <v>56</v>
      </c>
      <c r="AV314" t="s">
        <v>56</v>
      </c>
      <c r="AW314" t="s">
        <v>56</v>
      </c>
      <c r="AX314">
        <v>4</v>
      </c>
    </row>
    <row r="315" spans="1:50" x14ac:dyDescent="0.25">
      <c r="A315" t="str">
        <f>"20200131120017163357"</f>
        <v>20200131120017163357</v>
      </c>
      <c r="B315" t="s">
        <v>110</v>
      </c>
      <c r="C315" t="s">
        <v>110</v>
      </c>
      <c r="D315" t="s">
        <v>1980</v>
      </c>
      <c r="E315" t="str">
        <f>"080010122201"</f>
        <v>080010122201</v>
      </c>
      <c r="F315" t="s">
        <v>52</v>
      </c>
      <c r="G315">
        <v>890116783</v>
      </c>
      <c r="H315" t="s">
        <v>112</v>
      </c>
      <c r="I315" t="s">
        <v>1796</v>
      </c>
      <c r="J315">
        <v>3781220</v>
      </c>
      <c r="K315" t="s">
        <v>54</v>
      </c>
      <c r="L315">
        <v>17065305</v>
      </c>
      <c r="M315" t="s">
        <v>1492</v>
      </c>
      <c r="N315" t="s">
        <v>1222</v>
      </c>
      <c r="O315" t="s">
        <v>1981</v>
      </c>
      <c r="P315" t="s">
        <v>324</v>
      </c>
      <c r="Q315">
        <v>707</v>
      </c>
      <c r="R315" t="s">
        <v>54</v>
      </c>
      <c r="S315">
        <v>32621956</v>
      </c>
      <c r="T315" t="s">
        <v>117</v>
      </c>
      <c r="U315" t="s">
        <v>62</v>
      </c>
      <c r="V315" t="s">
        <v>134</v>
      </c>
      <c r="W315" t="s">
        <v>57</v>
      </c>
      <c r="X315" t="s">
        <v>120</v>
      </c>
      <c r="Y315" t="s">
        <v>121</v>
      </c>
      <c r="Z315">
        <v>12</v>
      </c>
      <c r="AA315" t="s">
        <v>65</v>
      </c>
      <c r="AB315" t="s">
        <v>56</v>
      </c>
      <c r="AC315" t="s">
        <v>56</v>
      </c>
      <c r="AD315">
        <v>0</v>
      </c>
      <c r="AE315" t="s">
        <v>66</v>
      </c>
      <c r="AF315" t="s">
        <v>56</v>
      </c>
      <c r="AG315" t="s">
        <v>56</v>
      </c>
      <c r="AH315" t="s">
        <v>56</v>
      </c>
      <c r="AI315" t="s">
        <v>56</v>
      </c>
      <c r="AJ315" t="s">
        <v>1978</v>
      </c>
      <c r="AK315" t="s">
        <v>1979</v>
      </c>
      <c r="AL315" t="s">
        <v>56</v>
      </c>
      <c r="AM315" t="s">
        <v>56</v>
      </c>
      <c r="AN315" t="s">
        <v>56</v>
      </c>
      <c r="AO315" t="s">
        <v>56</v>
      </c>
      <c r="AP315" t="s">
        <v>56</v>
      </c>
      <c r="AQ315" t="s">
        <v>71</v>
      </c>
      <c r="AR315" t="s">
        <v>56</v>
      </c>
      <c r="AS315" t="s">
        <v>56</v>
      </c>
      <c r="AT315" t="s">
        <v>56</v>
      </c>
      <c r="AU315" t="s">
        <v>56</v>
      </c>
      <c r="AV315" t="s">
        <v>56</v>
      </c>
      <c r="AW315" t="s">
        <v>56</v>
      </c>
      <c r="AX315">
        <v>4</v>
      </c>
    </row>
    <row r="316" spans="1:50" x14ac:dyDescent="0.25">
      <c r="A316" t="str">
        <f>"20200127162017045346"</f>
        <v>20200127162017045346</v>
      </c>
      <c r="B316" t="s">
        <v>190</v>
      </c>
      <c r="C316" t="s">
        <v>190</v>
      </c>
      <c r="D316" t="s">
        <v>1982</v>
      </c>
      <c r="E316" t="str">
        <f>"134300068301"</f>
        <v>134300068301</v>
      </c>
      <c r="F316" t="s">
        <v>52</v>
      </c>
      <c r="G316">
        <v>900827631</v>
      </c>
      <c r="H316">
        <v>13430</v>
      </c>
      <c r="I316" t="s">
        <v>258</v>
      </c>
      <c r="J316">
        <v>3145812515</v>
      </c>
      <c r="K316" t="s">
        <v>54</v>
      </c>
      <c r="L316">
        <v>78733522</v>
      </c>
      <c r="M316" t="s">
        <v>259</v>
      </c>
      <c r="N316" t="s">
        <v>223</v>
      </c>
      <c r="O316" t="s">
        <v>179</v>
      </c>
      <c r="P316" t="s">
        <v>260</v>
      </c>
      <c r="Q316">
        <v>23306</v>
      </c>
      <c r="R316" t="s">
        <v>54</v>
      </c>
      <c r="S316">
        <v>33128480</v>
      </c>
      <c r="T316" t="s">
        <v>1983</v>
      </c>
      <c r="U316" t="s">
        <v>1984</v>
      </c>
      <c r="V316" t="s">
        <v>1587</v>
      </c>
      <c r="W316" t="s">
        <v>1215</v>
      </c>
      <c r="X316" t="s">
        <v>100</v>
      </c>
      <c r="Y316" t="s">
        <v>101</v>
      </c>
      <c r="Z316">
        <v>12</v>
      </c>
      <c r="AA316" t="s">
        <v>65</v>
      </c>
      <c r="AB316" t="s">
        <v>56</v>
      </c>
      <c r="AC316" t="s">
        <v>56</v>
      </c>
      <c r="AD316">
        <v>0</v>
      </c>
      <c r="AE316" t="s">
        <v>66</v>
      </c>
      <c r="AF316" t="s">
        <v>56</v>
      </c>
      <c r="AG316" t="s">
        <v>56</v>
      </c>
      <c r="AH316" t="s">
        <v>56</v>
      </c>
      <c r="AI316" t="s">
        <v>56</v>
      </c>
      <c r="AJ316" t="s">
        <v>570</v>
      </c>
      <c r="AK316" t="s">
        <v>571</v>
      </c>
      <c r="AL316" t="s">
        <v>56</v>
      </c>
      <c r="AM316" t="s">
        <v>56</v>
      </c>
      <c r="AN316" t="s">
        <v>56</v>
      </c>
      <c r="AO316" t="s">
        <v>56</v>
      </c>
      <c r="AP316" t="s">
        <v>56</v>
      </c>
      <c r="AQ316" t="s">
        <v>71</v>
      </c>
      <c r="AR316" t="s">
        <v>56</v>
      </c>
      <c r="AS316" t="s">
        <v>56</v>
      </c>
      <c r="AT316" t="s">
        <v>56</v>
      </c>
      <c r="AU316" t="s">
        <v>56</v>
      </c>
      <c r="AV316" t="s">
        <v>56</v>
      </c>
      <c r="AW316" t="s">
        <v>56</v>
      </c>
      <c r="AX316">
        <v>4</v>
      </c>
    </row>
    <row r="317" spans="1:50" x14ac:dyDescent="0.25">
      <c r="A317" t="str">
        <f>"20200130190017135393"</f>
        <v>20200130190017135393</v>
      </c>
      <c r="B317" t="s">
        <v>124</v>
      </c>
      <c r="C317" t="s">
        <v>124</v>
      </c>
      <c r="D317" t="s">
        <v>1985</v>
      </c>
      <c r="E317" t="str">
        <f>"080010409201"</f>
        <v>080010409201</v>
      </c>
      <c r="F317" t="s">
        <v>52</v>
      </c>
      <c r="G317">
        <v>900448414</v>
      </c>
      <c r="H317" t="s">
        <v>112</v>
      </c>
      <c r="I317" t="s">
        <v>785</v>
      </c>
      <c r="J317">
        <v>3545674</v>
      </c>
      <c r="K317" t="s">
        <v>54</v>
      </c>
      <c r="L317">
        <v>32776390</v>
      </c>
      <c r="M317" t="s">
        <v>1823</v>
      </c>
      <c r="N317" t="s">
        <v>577</v>
      </c>
      <c r="O317" t="s">
        <v>1986</v>
      </c>
      <c r="P317" t="s">
        <v>95</v>
      </c>
      <c r="Q317">
        <v>13516502</v>
      </c>
      <c r="R317" t="s">
        <v>54</v>
      </c>
      <c r="S317">
        <v>22503820</v>
      </c>
      <c r="T317" t="s">
        <v>1987</v>
      </c>
      <c r="U317" t="s">
        <v>600</v>
      </c>
      <c r="V317" t="s">
        <v>1988</v>
      </c>
      <c r="W317" t="s">
        <v>1789</v>
      </c>
      <c r="X317" t="s">
        <v>120</v>
      </c>
      <c r="Y317" t="s">
        <v>121</v>
      </c>
      <c r="Z317">
        <v>12</v>
      </c>
      <c r="AA317" t="s">
        <v>65</v>
      </c>
      <c r="AB317" t="s">
        <v>56</v>
      </c>
      <c r="AC317" t="s">
        <v>56</v>
      </c>
      <c r="AD317">
        <v>0</v>
      </c>
      <c r="AE317" t="s">
        <v>66</v>
      </c>
      <c r="AF317" t="s">
        <v>56</v>
      </c>
      <c r="AG317" t="s">
        <v>56</v>
      </c>
      <c r="AH317" t="s">
        <v>56</v>
      </c>
      <c r="AI317" t="s">
        <v>56</v>
      </c>
      <c r="AJ317" t="s">
        <v>1989</v>
      </c>
      <c r="AK317" t="s">
        <v>1990</v>
      </c>
      <c r="AL317" t="s">
        <v>56</v>
      </c>
      <c r="AM317" t="s">
        <v>56</v>
      </c>
      <c r="AN317" t="s">
        <v>56</v>
      </c>
      <c r="AO317" t="s">
        <v>56</v>
      </c>
      <c r="AP317" t="s">
        <v>56</v>
      </c>
      <c r="AQ317" t="s">
        <v>71</v>
      </c>
      <c r="AR317" t="s">
        <v>56</v>
      </c>
      <c r="AS317" t="s">
        <v>56</v>
      </c>
      <c r="AT317" t="s">
        <v>56</v>
      </c>
      <c r="AU317" t="s">
        <v>56</v>
      </c>
      <c r="AV317" t="s">
        <v>56</v>
      </c>
      <c r="AW317" t="s">
        <v>56</v>
      </c>
      <c r="AX317">
        <v>4</v>
      </c>
    </row>
    <row r="318" spans="1:50" x14ac:dyDescent="0.25">
      <c r="A318" t="str">
        <f>"20200129197017100999"</f>
        <v>20200129197017100999</v>
      </c>
      <c r="B318" t="s">
        <v>72</v>
      </c>
      <c r="C318" t="s">
        <v>72</v>
      </c>
      <c r="D318" t="s">
        <v>1991</v>
      </c>
      <c r="E318" t="str">
        <f>"200010090101"</f>
        <v>200010090101</v>
      </c>
      <c r="F318" t="s">
        <v>52</v>
      </c>
      <c r="G318">
        <v>900016598</v>
      </c>
      <c r="H318">
        <v>20001</v>
      </c>
      <c r="I318" t="s">
        <v>843</v>
      </c>
      <c r="J318">
        <v>5898632</v>
      </c>
      <c r="K318" t="s">
        <v>54</v>
      </c>
      <c r="L318">
        <v>79955676</v>
      </c>
      <c r="M318" t="s">
        <v>76</v>
      </c>
      <c r="N318" t="s">
        <v>1992</v>
      </c>
      <c r="O318" t="s">
        <v>376</v>
      </c>
      <c r="P318" t="s">
        <v>1428</v>
      </c>
      <c r="Q318">
        <v>3659</v>
      </c>
      <c r="R318" t="s">
        <v>54</v>
      </c>
      <c r="S318">
        <v>36586590</v>
      </c>
      <c r="T318" t="s">
        <v>1993</v>
      </c>
      <c r="U318" t="s">
        <v>62</v>
      </c>
      <c r="V318" t="s">
        <v>1994</v>
      </c>
      <c r="W318" t="s">
        <v>193</v>
      </c>
      <c r="X318" t="s">
        <v>849</v>
      </c>
      <c r="Y318" t="s">
        <v>86</v>
      </c>
      <c r="Z318">
        <v>22</v>
      </c>
      <c r="AA318" t="s">
        <v>102</v>
      </c>
      <c r="AB318">
        <v>0</v>
      </c>
      <c r="AC318" t="s">
        <v>66</v>
      </c>
      <c r="AD318">
        <v>0</v>
      </c>
      <c r="AE318" t="s">
        <v>66</v>
      </c>
      <c r="AF318" t="s">
        <v>56</v>
      </c>
      <c r="AG318" t="s">
        <v>56</v>
      </c>
      <c r="AH318" t="s">
        <v>56</v>
      </c>
      <c r="AI318" t="s">
        <v>56</v>
      </c>
      <c r="AJ318" t="s">
        <v>1995</v>
      </c>
      <c r="AK318" t="s">
        <v>1996</v>
      </c>
      <c r="AL318" t="s">
        <v>56</v>
      </c>
      <c r="AM318" t="s">
        <v>56</v>
      </c>
      <c r="AN318" t="s">
        <v>56</v>
      </c>
      <c r="AO318" t="s">
        <v>56</v>
      </c>
      <c r="AP318" t="s">
        <v>56</v>
      </c>
      <c r="AQ318" t="s">
        <v>71</v>
      </c>
      <c r="AR318" t="s">
        <v>56</v>
      </c>
      <c r="AS318" t="s">
        <v>56</v>
      </c>
      <c r="AT318" t="s">
        <v>56</v>
      </c>
      <c r="AU318" t="s">
        <v>56</v>
      </c>
      <c r="AV318" t="s">
        <v>56</v>
      </c>
      <c r="AW318" t="s">
        <v>56</v>
      </c>
      <c r="AX318">
        <v>4</v>
      </c>
    </row>
    <row r="319" spans="1:50" x14ac:dyDescent="0.25">
      <c r="A319" t="str">
        <f>"20200128183017086962"</f>
        <v>20200128183017086962</v>
      </c>
      <c r="B319" t="s">
        <v>151</v>
      </c>
      <c r="C319" t="s">
        <v>151</v>
      </c>
      <c r="D319" t="s">
        <v>1997</v>
      </c>
      <c r="E319" t="str">
        <f>"200010090101"</f>
        <v>200010090101</v>
      </c>
      <c r="F319" t="s">
        <v>52</v>
      </c>
      <c r="G319">
        <v>900016598</v>
      </c>
      <c r="H319">
        <v>20001</v>
      </c>
      <c r="I319" t="s">
        <v>843</v>
      </c>
      <c r="J319">
        <v>5898632</v>
      </c>
      <c r="K319" t="s">
        <v>54</v>
      </c>
      <c r="L319">
        <v>79955676</v>
      </c>
      <c r="M319" t="s">
        <v>76</v>
      </c>
      <c r="N319" t="s">
        <v>1992</v>
      </c>
      <c r="O319" t="s">
        <v>376</v>
      </c>
      <c r="P319" t="s">
        <v>1428</v>
      </c>
      <c r="Q319">
        <v>3659</v>
      </c>
      <c r="R319" t="s">
        <v>54</v>
      </c>
      <c r="S319">
        <v>36586590</v>
      </c>
      <c r="T319" t="s">
        <v>1993</v>
      </c>
      <c r="U319" t="s">
        <v>62</v>
      </c>
      <c r="V319" t="s">
        <v>1994</v>
      </c>
      <c r="W319" t="s">
        <v>193</v>
      </c>
      <c r="X319" t="s">
        <v>849</v>
      </c>
      <c r="Y319" t="s">
        <v>86</v>
      </c>
      <c r="Z319">
        <v>22</v>
      </c>
      <c r="AA319" t="s">
        <v>102</v>
      </c>
      <c r="AB319">
        <v>0</v>
      </c>
      <c r="AC319" t="s">
        <v>66</v>
      </c>
      <c r="AD319">
        <v>0</v>
      </c>
      <c r="AE319" t="s">
        <v>66</v>
      </c>
      <c r="AF319" t="s">
        <v>56</v>
      </c>
      <c r="AG319" t="s">
        <v>56</v>
      </c>
      <c r="AH319" t="s">
        <v>56</v>
      </c>
      <c r="AI319" t="s">
        <v>56</v>
      </c>
      <c r="AJ319" t="s">
        <v>1995</v>
      </c>
      <c r="AK319" t="s">
        <v>1996</v>
      </c>
      <c r="AL319" t="s">
        <v>56</v>
      </c>
      <c r="AM319" t="s">
        <v>56</v>
      </c>
      <c r="AN319" t="s">
        <v>56</v>
      </c>
      <c r="AO319" t="s">
        <v>56</v>
      </c>
      <c r="AP319" t="s">
        <v>56</v>
      </c>
      <c r="AQ319" t="s">
        <v>71</v>
      </c>
      <c r="AR319" t="s">
        <v>56</v>
      </c>
      <c r="AS319" t="s">
        <v>56</v>
      </c>
      <c r="AT319" t="s">
        <v>56</v>
      </c>
      <c r="AU319" t="s">
        <v>56</v>
      </c>
      <c r="AV319" t="s">
        <v>56</v>
      </c>
      <c r="AW319" t="s">
        <v>56</v>
      </c>
      <c r="AX319">
        <v>4</v>
      </c>
    </row>
    <row r="320" spans="1:50" x14ac:dyDescent="0.25">
      <c r="A320" t="str">
        <f>"20200131113017177064"</f>
        <v>20200131113017177064</v>
      </c>
      <c r="B320" t="s">
        <v>110</v>
      </c>
      <c r="C320" t="s">
        <v>110</v>
      </c>
      <c r="D320" t="s">
        <v>1998</v>
      </c>
      <c r="E320" t="str">
        <f>"230010119101"</f>
        <v>230010119101</v>
      </c>
      <c r="F320" t="s">
        <v>52</v>
      </c>
      <c r="G320">
        <v>900168938</v>
      </c>
      <c r="H320">
        <v>23001</v>
      </c>
      <c r="I320" t="s">
        <v>1999</v>
      </c>
      <c r="J320">
        <v>7817284</v>
      </c>
      <c r="K320" t="s">
        <v>54</v>
      </c>
      <c r="L320">
        <v>10769644</v>
      </c>
      <c r="M320" t="s">
        <v>2000</v>
      </c>
      <c r="N320" t="s">
        <v>854</v>
      </c>
      <c r="O320" t="s">
        <v>1506</v>
      </c>
      <c r="P320" t="s">
        <v>640</v>
      </c>
      <c r="Q320" t="s">
        <v>2001</v>
      </c>
      <c r="R320" t="s">
        <v>54</v>
      </c>
      <c r="S320">
        <v>15072436</v>
      </c>
      <c r="T320" t="s">
        <v>540</v>
      </c>
      <c r="U320" t="s">
        <v>62</v>
      </c>
      <c r="V320" t="s">
        <v>707</v>
      </c>
      <c r="W320" t="s">
        <v>178</v>
      </c>
      <c r="X320" t="s">
        <v>2002</v>
      </c>
      <c r="Y320" t="s">
        <v>136</v>
      </c>
      <c r="Z320">
        <v>12</v>
      </c>
      <c r="AA320" t="s">
        <v>65</v>
      </c>
      <c r="AB320" t="s">
        <v>56</v>
      </c>
      <c r="AC320" t="s">
        <v>56</v>
      </c>
      <c r="AD320">
        <v>0</v>
      </c>
      <c r="AE320" t="s">
        <v>66</v>
      </c>
      <c r="AF320" t="s">
        <v>56</v>
      </c>
      <c r="AG320" t="s">
        <v>56</v>
      </c>
      <c r="AH320" t="s">
        <v>56</v>
      </c>
      <c r="AI320" t="s">
        <v>56</v>
      </c>
      <c r="AJ320" t="s">
        <v>545</v>
      </c>
      <c r="AK320" t="s">
        <v>546</v>
      </c>
      <c r="AL320" t="s">
        <v>2003</v>
      </c>
      <c r="AM320" t="s">
        <v>2004</v>
      </c>
      <c r="AN320" t="s">
        <v>2005</v>
      </c>
      <c r="AO320" t="s">
        <v>2006</v>
      </c>
      <c r="AP320" t="s">
        <v>56</v>
      </c>
      <c r="AQ320" t="s">
        <v>71</v>
      </c>
      <c r="AR320" t="s">
        <v>56</v>
      </c>
      <c r="AS320" t="s">
        <v>56</v>
      </c>
      <c r="AT320" t="s">
        <v>56</v>
      </c>
      <c r="AU320" t="s">
        <v>56</v>
      </c>
      <c r="AV320" t="s">
        <v>56</v>
      </c>
      <c r="AW320" t="s">
        <v>56</v>
      </c>
      <c r="AX320">
        <v>4</v>
      </c>
    </row>
    <row r="321" spans="1:50" x14ac:dyDescent="0.25">
      <c r="A321" t="str">
        <f>"20200131153017175853"</f>
        <v>20200131153017175853</v>
      </c>
      <c r="B321" t="s">
        <v>110</v>
      </c>
      <c r="C321" t="s">
        <v>110</v>
      </c>
      <c r="D321" t="s">
        <v>2007</v>
      </c>
      <c r="E321" t="str">
        <f>"700010151301"</f>
        <v>700010151301</v>
      </c>
      <c r="F321" t="s">
        <v>52</v>
      </c>
      <c r="G321">
        <v>830510991</v>
      </c>
      <c r="H321">
        <v>70001</v>
      </c>
      <c r="I321" t="s">
        <v>945</v>
      </c>
      <c r="J321">
        <v>2806901</v>
      </c>
      <c r="K321" t="s">
        <v>54</v>
      </c>
      <c r="L321">
        <v>60266677</v>
      </c>
      <c r="M321" t="s">
        <v>2008</v>
      </c>
      <c r="N321" t="s">
        <v>59</v>
      </c>
      <c r="O321" t="s">
        <v>99</v>
      </c>
      <c r="P321" t="s">
        <v>2009</v>
      </c>
      <c r="Q321" t="s">
        <v>2010</v>
      </c>
      <c r="R321" t="s">
        <v>54</v>
      </c>
      <c r="S321">
        <v>92542374</v>
      </c>
      <c r="T321" t="s">
        <v>897</v>
      </c>
      <c r="U321" t="s">
        <v>291</v>
      </c>
      <c r="V321" t="s">
        <v>2011</v>
      </c>
      <c r="W321" t="s">
        <v>957</v>
      </c>
      <c r="X321" t="s">
        <v>605</v>
      </c>
      <c r="Y321" t="s">
        <v>330</v>
      </c>
      <c r="Z321">
        <v>22</v>
      </c>
      <c r="AA321" t="s">
        <v>102</v>
      </c>
      <c r="AB321">
        <v>0</v>
      </c>
      <c r="AC321" t="s">
        <v>66</v>
      </c>
      <c r="AD321">
        <v>0</v>
      </c>
      <c r="AE321" t="s">
        <v>66</v>
      </c>
      <c r="AF321" t="s">
        <v>56</v>
      </c>
      <c r="AG321" t="s">
        <v>56</v>
      </c>
      <c r="AH321" t="s">
        <v>56</v>
      </c>
      <c r="AI321" t="s">
        <v>56</v>
      </c>
      <c r="AJ321" t="s">
        <v>2012</v>
      </c>
      <c r="AK321" t="s">
        <v>2013</v>
      </c>
      <c r="AL321" t="s">
        <v>828</v>
      </c>
      <c r="AM321" t="s">
        <v>829</v>
      </c>
      <c r="AN321" t="s">
        <v>56</v>
      </c>
      <c r="AO321" t="s">
        <v>56</v>
      </c>
      <c r="AP321" t="s">
        <v>56</v>
      </c>
      <c r="AQ321" t="s">
        <v>71</v>
      </c>
      <c r="AR321" t="s">
        <v>56</v>
      </c>
      <c r="AS321" t="s">
        <v>56</v>
      </c>
      <c r="AT321" t="s">
        <v>56</v>
      </c>
      <c r="AU321" t="s">
        <v>56</v>
      </c>
      <c r="AV321" t="s">
        <v>56</v>
      </c>
      <c r="AW321" t="s">
        <v>56</v>
      </c>
      <c r="AX321">
        <v>4</v>
      </c>
    </row>
    <row r="322" spans="1:50" x14ac:dyDescent="0.25">
      <c r="A322" t="str">
        <f>"20200128180017074748"</f>
        <v>20200128180017074748</v>
      </c>
      <c r="B322" t="s">
        <v>151</v>
      </c>
      <c r="C322" t="s">
        <v>151</v>
      </c>
      <c r="D322" t="s">
        <v>2014</v>
      </c>
      <c r="E322" t="str">
        <f>"700010151301"</f>
        <v>700010151301</v>
      </c>
      <c r="F322" t="s">
        <v>52</v>
      </c>
      <c r="G322">
        <v>830510991</v>
      </c>
      <c r="H322">
        <v>70001</v>
      </c>
      <c r="I322" t="s">
        <v>945</v>
      </c>
      <c r="J322">
        <v>2806901</v>
      </c>
      <c r="K322" t="s">
        <v>54</v>
      </c>
      <c r="L322">
        <v>60266677</v>
      </c>
      <c r="M322" t="s">
        <v>2008</v>
      </c>
      <c r="N322" t="s">
        <v>59</v>
      </c>
      <c r="O322" t="s">
        <v>99</v>
      </c>
      <c r="P322" t="s">
        <v>2009</v>
      </c>
      <c r="Q322" t="s">
        <v>2010</v>
      </c>
      <c r="R322" t="s">
        <v>54</v>
      </c>
      <c r="S322">
        <v>92542374</v>
      </c>
      <c r="T322" t="s">
        <v>897</v>
      </c>
      <c r="U322" t="s">
        <v>291</v>
      </c>
      <c r="V322" t="s">
        <v>2011</v>
      </c>
      <c r="W322" t="s">
        <v>957</v>
      </c>
      <c r="X322" t="s">
        <v>605</v>
      </c>
      <c r="Y322" t="s">
        <v>330</v>
      </c>
      <c r="Z322">
        <v>22</v>
      </c>
      <c r="AA322" t="s">
        <v>102</v>
      </c>
      <c r="AB322">
        <v>0</v>
      </c>
      <c r="AC322" t="s">
        <v>66</v>
      </c>
      <c r="AD322">
        <v>0</v>
      </c>
      <c r="AE322" t="s">
        <v>66</v>
      </c>
      <c r="AF322" t="s">
        <v>56</v>
      </c>
      <c r="AG322" t="s">
        <v>56</v>
      </c>
      <c r="AH322" t="s">
        <v>56</v>
      </c>
      <c r="AI322" t="s">
        <v>56</v>
      </c>
      <c r="AJ322" t="s">
        <v>122</v>
      </c>
      <c r="AK322" t="s">
        <v>123</v>
      </c>
      <c r="AL322" t="s">
        <v>1775</v>
      </c>
      <c r="AM322" t="s">
        <v>1776</v>
      </c>
      <c r="AN322" t="s">
        <v>56</v>
      </c>
      <c r="AO322" t="s">
        <v>56</v>
      </c>
      <c r="AP322" t="s">
        <v>56</v>
      </c>
      <c r="AQ322" t="s">
        <v>71</v>
      </c>
      <c r="AR322" t="s">
        <v>56</v>
      </c>
      <c r="AS322" t="s">
        <v>56</v>
      </c>
      <c r="AT322" t="s">
        <v>56</v>
      </c>
      <c r="AU322" t="s">
        <v>56</v>
      </c>
      <c r="AV322" t="s">
        <v>56</v>
      </c>
      <c r="AW322" t="s">
        <v>56</v>
      </c>
      <c r="AX322">
        <v>4</v>
      </c>
    </row>
    <row r="323" spans="1:50" x14ac:dyDescent="0.25">
      <c r="A323" t="str">
        <f>"20200128157017095139"</f>
        <v>20200128157017095139</v>
      </c>
      <c r="B323" t="s">
        <v>151</v>
      </c>
      <c r="C323" t="s">
        <v>151</v>
      </c>
      <c r="D323" t="s">
        <v>2015</v>
      </c>
      <c r="E323" t="str">
        <f>"200010090101"</f>
        <v>200010090101</v>
      </c>
      <c r="F323" t="s">
        <v>52</v>
      </c>
      <c r="G323">
        <v>900016598</v>
      </c>
      <c r="H323">
        <v>20001</v>
      </c>
      <c r="I323" t="s">
        <v>843</v>
      </c>
      <c r="J323">
        <v>5898632</v>
      </c>
      <c r="K323" t="s">
        <v>338</v>
      </c>
      <c r="L323">
        <v>548066</v>
      </c>
      <c r="M323" t="s">
        <v>1928</v>
      </c>
      <c r="N323" t="s">
        <v>2016</v>
      </c>
      <c r="O323" t="s">
        <v>2017</v>
      </c>
      <c r="P323" t="s">
        <v>169</v>
      </c>
      <c r="Q323">
        <v>548066</v>
      </c>
      <c r="R323" t="s">
        <v>54</v>
      </c>
      <c r="S323">
        <v>5128672</v>
      </c>
      <c r="T323" t="s">
        <v>76</v>
      </c>
      <c r="U323" t="s">
        <v>117</v>
      </c>
      <c r="V323" t="s">
        <v>99</v>
      </c>
      <c r="W323" t="s">
        <v>2018</v>
      </c>
      <c r="X323" t="s">
        <v>462</v>
      </c>
      <c r="Y323" t="s">
        <v>86</v>
      </c>
      <c r="Z323">
        <v>12</v>
      </c>
      <c r="AA323" t="s">
        <v>65</v>
      </c>
      <c r="AB323" t="s">
        <v>56</v>
      </c>
      <c r="AC323" t="s">
        <v>56</v>
      </c>
      <c r="AD323">
        <v>0</v>
      </c>
      <c r="AE323" t="s">
        <v>66</v>
      </c>
      <c r="AF323" t="s">
        <v>56</v>
      </c>
      <c r="AG323" t="s">
        <v>56</v>
      </c>
      <c r="AH323" t="s">
        <v>56</v>
      </c>
      <c r="AI323" t="s">
        <v>56</v>
      </c>
      <c r="AJ323" t="s">
        <v>267</v>
      </c>
      <c r="AK323" t="s">
        <v>268</v>
      </c>
      <c r="AL323" t="s">
        <v>56</v>
      </c>
      <c r="AM323" t="s">
        <v>56</v>
      </c>
      <c r="AN323" t="s">
        <v>56</v>
      </c>
      <c r="AO323" t="s">
        <v>56</v>
      </c>
      <c r="AP323" t="s">
        <v>56</v>
      </c>
      <c r="AQ323" t="s">
        <v>71</v>
      </c>
      <c r="AR323" t="s">
        <v>56</v>
      </c>
      <c r="AS323" t="s">
        <v>56</v>
      </c>
      <c r="AT323" t="s">
        <v>56</v>
      </c>
      <c r="AU323" t="s">
        <v>56</v>
      </c>
      <c r="AV323" t="s">
        <v>56</v>
      </c>
      <c r="AW323" t="s">
        <v>56</v>
      </c>
      <c r="AX323">
        <v>4</v>
      </c>
    </row>
    <row r="324" spans="1:50" x14ac:dyDescent="0.25">
      <c r="A324" t="str">
        <f>"20200130172017133407"</f>
        <v>20200130172017133407</v>
      </c>
      <c r="B324" t="s">
        <v>124</v>
      </c>
      <c r="C324" t="s">
        <v>124</v>
      </c>
      <c r="D324" t="s">
        <v>2019</v>
      </c>
      <c r="E324" t="str">
        <f>"761470851601"</f>
        <v>761470851601</v>
      </c>
      <c r="F324" t="s">
        <v>52</v>
      </c>
      <c r="G324">
        <v>900472731</v>
      </c>
      <c r="H324">
        <v>76147</v>
      </c>
      <c r="I324" t="s">
        <v>53</v>
      </c>
      <c r="J324">
        <v>2146686</v>
      </c>
      <c r="K324" t="s">
        <v>54</v>
      </c>
      <c r="L324">
        <v>1129567120</v>
      </c>
      <c r="M324" t="s">
        <v>678</v>
      </c>
      <c r="N324" t="s">
        <v>56</v>
      </c>
      <c r="O324" t="s">
        <v>679</v>
      </c>
      <c r="P324" t="s">
        <v>680</v>
      </c>
      <c r="Q324">
        <v>1129567120</v>
      </c>
      <c r="R324" t="s">
        <v>54</v>
      </c>
      <c r="S324">
        <v>24955600</v>
      </c>
      <c r="T324" t="s">
        <v>117</v>
      </c>
      <c r="U324" t="s">
        <v>1830</v>
      </c>
      <c r="V324" t="s">
        <v>207</v>
      </c>
      <c r="W324" t="s">
        <v>2020</v>
      </c>
      <c r="X324" t="s">
        <v>277</v>
      </c>
      <c r="Y324" t="s">
        <v>64</v>
      </c>
      <c r="Z324">
        <v>11</v>
      </c>
      <c r="AA324" t="s">
        <v>87</v>
      </c>
      <c r="AB324" t="s">
        <v>56</v>
      </c>
      <c r="AC324" t="s">
        <v>56</v>
      </c>
      <c r="AD324">
        <v>0</v>
      </c>
      <c r="AE324" t="s">
        <v>66</v>
      </c>
      <c r="AF324" t="s">
        <v>56</v>
      </c>
      <c r="AG324" t="s">
        <v>56</v>
      </c>
      <c r="AH324" t="s">
        <v>56</v>
      </c>
      <c r="AI324" t="s">
        <v>56</v>
      </c>
      <c r="AJ324" t="s">
        <v>2021</v>
      </c>
      <c r="AK324" t="s">
        <v>2022</v>
      </c>
      <c r="AL324" t="s">
        <v>56</v>
      </c>
      <c r="AM324" t="s">
        <v>56</v>
      </c>
      <c r="AN324" t="s">
        <v>56</v>
      </c>
      <c r="AO324" t="s">
        <v>56</v>
      </c>
      <c r="AP324" t="s">
        <v>56</v>
      </c>
      <c r="AQ324" t="s">
        <v>71</v>
      </c>
      <c r="AR324" t="s">
        <v>56</v>
      </c>
      <c r="AS324" t="s">
        <v>56</v>
      </c>
      <c r="AT324" t="s">
        <v>56</v>
      </c>
      <c r="AU324" t="s">
        <v>56</v>
      </c>
      <c r="AV324" t="s">
        <v>56</v>
      </c>
      <c r="AW324" t="s">
        <v>56</v>
      </c>
      <c r="AX324">
        <v>4</v>
      </c>
    </row>
    <row r="325" spans="1:50" x14ac:dyDescent="0.25">
      <c r="A325" t="str">
        <f>"20200130182017133310"</f>
        <v>20200130182017133310</v>
      </c>
      <c r="B325" t="s">
        <v>124</v>
      </c>
      <c r="C325" t="s">
        <v>124</v>
      </c>
      <c r="D325" t="s">
        <v>2023</v>
      </c>
      <c r="E325" t="str">
        <f>"761470851601"</f>
        <v>761470851601</v>
      </c>
      <c r="F325" t="s">
        <v>52</v>
      </c>
      <c r="G325">
        <v>900472731</v>
      </c>
      <c r="H325">
        <v>76147</v>
      </c>
      <c r="I325" t="s">
        <v>53</v>
      </c>
      <c r="J325">
        <v>2146686</v>
      </c>
      <c r="K325" t="s">
        <v>54</v>
      </c>
      <c r="L325">
        <v>1129567120</v>
      </c>
      <c r="M325" t="s">
        <v>678</v>
      </c>
      <c r="N325" t="s">
        <v>56</v>
      </c>
      <c r="O325" t="s">
        <v>679</v>
      </c>
      <c r="P325" t="s">
        <v>680</v>
      </c>
      <c r="Q325">
        <v>1129567120</v>
      </c>
      <c r="R325" t="s">
        <v>54</v>
      </c>
      <c r="S325">
        <v>24955600</v>
      </c>
      <c r="T325" t="s">
        <v>117</v>
      </c>
      <c r="U325" t="s">
        <v>1830</v>
      </c>
      <c r="V325" t="s">
        <v>207</v>
      </c>
      <c r="W325" t="s">
        <v>2020</v>
      </c>
      <c r="X325" t="s">
        <v>277</v>
      </c>
      <c r="Y325" t="s">
        <v>64</v>
      </c>
      <c r="Z325">
        <v>11</v>
      </c>
      <c r="AA325" t="s">
        <v>87</v>
      </c>
      <c r="AB325" t="s">
        <v>56</v>
      </c>
      <c r="AC325" t="s">
        <v>56</v>
      </c>
      <c r="AD325">
        <v>0</v>
      </c>
      <c r="AE325" t="s">
        <v>66</v>
      </c>
      <c r="AF325" t="s">
        <v>56</v>
      </c>
      <c r="AG325" t="s">
        <v>56</v>
      </c>
      <c r="AH325" t="s">
        <v>56</v>
      </c>
      <c r="AI325" t="s">
        <v>56</v>
      </c>
      <c r="AJ325" t="s">
        <v>2024</v>
      </c>
      <c r="AK325" t="s">
        <v>2025</v>
      </c>
      <c r="AL325" t="s">
        <v>56</v>
      </c>
      <c r="AM325" t="s">
        <v>56</v>
      </c>
      <c r="AN325" t="s">
        <v>56</v>
      </c>
      <c r="AO325" t="s">
        <v>56</v>
      </c>
      <c r="AP325" t="s">
        <v>56</v>
      </c>
      <c r="AQ325" t="s">
        <v>71</v>
      </c>
      <c r="AR325" t="s">
        <v>56</v>
      </c>
      <c r="AS325" t="s">
        <v>56</v>
      </c>
      <c r="AT325" t="s">
        <v>56</v>
      </c>
      <c r="AU325" t="s">
        <v>56</v>
      </c>
      <c r="AV325" t="s">
        <v>56</v>
      </c>
      <c r="AW325" t="s">
        <v>56</v>
      </c>
      <c r="AX325">
        <v>4</v>
      </c>
    </row>
    <row r="326" spans="1:50" x14ac:dyDescent="0.25">
      <c r="A326" t="str">
        <f>"20200131114017163754"</f>
        <v>20200131114017163754</v>
      </c>
      <c r="B326" t="s">
        <v>110</v>
      </c>
      <c r="C326" t="s">
        <v>110</v>
      </c>
      <c r="D326" t="s">
        <v>2026</v>
      </c>
      <c r="E326" t="str">
        <f>"761470681501"</f>
        <v>761470681501</v>
      </c>
      <c r="F326" t="s">
        <v>52</v>
      </c>
      <c r="G326">
        <v>830515000</v>
      </c>
      <c r="H326">
        <v>76147</v>
      </c>
      <c r="I326" t="s">
        <v>1217</v>
      </c>
      <c r="J326">
        <v>2145150</v>
      </c>
      <c r="K326" t="s">
        <v>54</v>
      </c>
      <c r="L326">
        <v>16231597</v>
      </c>
      <c r="M326" t="s">
        <v>1218</v>
      </c>
      <c r="N326" t="s">
        <v>1219</v>
      </c>
      <c r="O326" t="s">
        <v>1220</v>
      </c>
      <c r="P326" t="s">
        <v>1221</v>
      </c>
      <c r="Q326">
        <v>76257504</v>
      </c>
      <c r="R326" t="s">
        <v>54</v>
      </c>
      <c r="S326">
        <v>29623265</v>
      </c>
      <c r="T326" t="s">
        <v>117</v>
      </c>
      <c r="U326" t="s">
        <v>2027</v>
      </c>
      <c r="V326" t="s">
        <v>2028</v>
      </c>
      <c r="W326" t="s">
        <v>742</v>
      </c>
      <c r="X326" t="s">
        <v>277</v>
      </c>
      <c r="Y326" t="s">
        <v>64</v>
      </c>
      <c r="Z326">
        <v>12</v>
      </c>
      <c r="AA326" t="s">
        <v>65</v>
      </c>
      <c r="AB326" t="s">
        <v>56</v>
      </c>
      <c r="AC326" t="s">
        <v>56</v>
      </c>
      <c r="AD326">
        <v>0</v>
      </c>
      <c r="AE326" t="s">
        <v>66</v>
      </c>
      <c r="AF326" t="s">
        <v>56</v>
      </c>
      <c r="AG326" t="s">
        <v>56</v>
      </c>
      <c r="AH326" t="s">
        <v>56</v>
      </c>
      <c r="AI326" t="s">
        <v>56</v>
      </c>
      <c r="AJ326" t="s">
        <v>669</v>
      </c>
      <c r="AK326" t="s">
        <v>670</v>
      </c>
      <c r="AL326" t="s">
        <v>940</v>
      </c>
      <c r="AM326" t="s">
        <v>941</v>
      </c>
      <c r="AN326" t="s">
        <v>56</v>
      </c>
      <c r="AO326" t="s">
        <v>56</v>
      </c>
      <c r="AP326" t="s">
        <v>56</v>
      </c>
      <c r="AQ326" t="s">
        <v>71</v>
      </c>
      <c r="AR326" t="s">
        <v>56</v>
      </c>
      <c r="AS326" t="s">
        <v>56</v>
      </c>
      <c r="AT326" t="s">
        <v>56</v>
      </c>
      <c r="AU326" t="s">
        <v>56</v>
      </c>
      <c r="AV326" t="s">
        <v>56</v>
      </c>
      <c r="AW326" t="s">
        <v>56</v>
      </c>
      <c r="AX326">
        <v>4</v>
      </c>
    </row>
    <row r="327" spans="1:50" x14ac:dyDescent="0.25">
      <c r="A327" t="str">
        <f>"20200128170017094320"</f>
        <v>20200128170017094320</v>
      </c>
      <c r="B327" t="s">
        <v>151</v>
      </c>
      <c r="C327" t="s">
        <v>151</v>
      </c>
      <c r="D327" t="s">
        <v>2029</v>
      </c>
      <c r="E327" t="str">
        <f>"200010038901"</f>
        <v>200010038901</v>
      </c>
      <c r="F327" t="s">
        <v>52</v>
      </c>
      <c r="G327">
        <v>824004867</v>
      </c>
      <c r="H327">
        <v>20001</v>
      </c>
      <c r="I327" t="s">
        <v>1232</v>
      </c>
      <c r="J327" t="s">
        <v>1233</v>
      </c>
      <c r="K327" t="s">
        <v>54</v>
      </c>
      <c r="L327">
        <v>8711046</v>
      </c>
      <c r="M327" t="s">
        <v>261</v>
      </c>
      <c r="N327" t="s">
        <v>164</v>
      </c>
      <c r="O327" t="s">
        <v>343</v>
      </c>
      <c r="P327" t="s">
        <v>362</v>
      </c>
      <c r="Q327">
        <v>11109</v>
      </c>
      <c r="R327" t="s">
        <v>54</v>
      </c>
      <c r="S327">
        <v>39068963</v>
      </c>
      <c r="T327" t="s">
        <v>579</v>
      </c>
      <c r="U327" t="s">
        <v>117</v>
      </c>
      <c r="V327" t="s">
        <v>343</v>
      </c>
      <c r="W327" t="s">
        <v>1789</v>
      </c>
      <c r="X327" t="s">
        <v>344</v>
      </c>
      <c r="Y327" t="s">
        <v>345</v>
      </c>
      <c r="Z327">
        <v>12</v>
      </c>
      <c r="AA327" t="s">
        <v>65</v>
      </c>
      <c r="AB327" t="s">
        <v>56</v>
      </c>
      <c r="AC327" t="s">
        <v>56</v>
      </c>
      <c r="AD327">
        <v>0</v>
      </c>
      <c r="AE327" t="s">
        <v>66</v>
      </c>
      <c r="AF327" t="s">
        <v>56</v>
      </c>
      <c r="AG327" t="s">
        <v>56</v>
      </c>
      <c r="AH327" t="s">
        <v>56</v>
      </c>
      <c r="AI327" t="s">
        <v>56</v>
      </c>
      <c r="AJ327" t="s">
        <v>1330</v>
      </c>
      <c r="AK327" t="s">
        <v>1331</v>
      </c>
      <c r="AL327" t="s">
        <v>56</v>
      </c>
      <c r="AM327" t="s">
        <v>56</v>
      </c>
      <c r="AN327" t="s">
        <v>56</v>
      </c>
      <c r="AO327" t="s">
        <v>56</v>
      </c>
      <c r="AP327" t="s">
        <v>56</v>
      </c>
      <c r="AQ327" t="s">
        <v>71</v>
      </c>
      <c r="AR327" t="s">
        <v>56</v>
      </c>
      <c r="AS327" t="s">
        <v>56</v>
      </c>
      <c r="AT327" t="s">
        <v>56</v>
      </c>
      <c r="AU327" t="s">
        <v>56</v>
      </c>
      <c r="AV327" t="s">
        <v>56</v>
      </c>
      <c r="AW327" t="s">
        <v>56</v>
      </c>
      <c r="AX327">
        <v>4</v>
      </c>
    </row>
    <row r="328" spans="1:50" x14ac:dyDescent="0.25">
      <c r="A328" t="str">
        <f>"20200202183017191862"</f>
        <v>20200202183017191862</v>
      </c>
      <c r="B328" t="s">
        <v>90</v>
      </c>
      <c r="C328" t="s">
        <v>90</v>
      </c>
      <c r="D328" t="s">
        <v>2030</v>
      </c>
      <c r="E328" t="str">
        <f>"134300049201"</f>
        <v>134300049201</v>
      </c>
      <c r="F328" t="s">
        <v>52</v>
      </c>
      <c r="G328">
        <v>900196347</v>
      </c>
      <c r="H328">
        <v>13430</v>
      </c>
      <c r="I328" t="s">
        <v>174</v>
      </c>
      <c r="J328" t="s">
        <v>175</v>
      </c>
      <c r="K328" t="s">
        <v>54</v>
      </c>
      <c r="L328">
        <v>73578467</v>
      </c>
      <c r="M328" t="s">
        <v>192</v>
      </c>
      <c r="N328" t="s">
        <v>94</v>
      </c>
      <c r="O328" t="s">
        <v>193</v>
      </c>
      <c r="P328" t="s">
        <v>194</v>
      </c>
      <c r="Q328">
        <v>130403</v>
      </c>
      <c r="R328" t="s">
        <v>54</v>
      </c>
      <c r="S328">
        <v>23134538</v>
      </c>
      <c r="T328" t="s">
        <v>2031</v>
      </c>
      <c r="U328" t="s">
        <v>62</v>
      </c>
      <c r="V328" t="s">
        <v>79</v>
      </c>
      <c r="W328" t="s">
        <v>2032</v>
      </c>
      <c r="X328" t="s">
        <v>135</v>
      </c>
      <c r="Y328" t="s">
        <v>330</v>
      </c>
      <c r="Z328">
        <v>22</v>
      </c>
      <c r="AA328" t="s">
        <v>102</v>
      </c>
      <c r="AB328">
        <v>0</v>
      </c>
      <c r="AC328" t="s">
        <v>66</v>
      </c>
      <c r="AD328">
        <v>0</v>
      </c>
      <c r="AE328" t="s">
        <v>66</v>
      </c>
      <c r="AF328" t="s">
        <v>56</v>
      </c>
      <c r="AG328" t="s">
        <v>56</v>
      </c>
      <c r="AH328" t="s">
        <v>56</v>
      </c>
      <c r="AI328" t="s">
        <v>56</v>
      </c>
      <c r="AJ328" t="s">
        <v>1785</v>
      </c>
      <c r="AK328" t="s">
        <v>1786</v>
      </c>
      <c r="AL328" t="s">
        <v>56</v>
      </c>
      <c r="AM328" t="s">
        <v>56</v>
      </c>
      <c r="AN328" t="s">
        <v>56</v>
      </c>
      <c r="AO328" t="s">
        <v>56</v>
      </c>
      <c r="AP328" t="s">
        <v>56</v>
      </c>
      <c r="AQ328" t="s">
        <v>71</v>
      </c>
      <c r="AR328" t="s">
        <v>56</v>
      </c>
      <c r="AS328" t="s">
        <v>56</v>
      </c>
      <c r="AT328" t="s">
        <v>56</v>
      </c>
      <c r="AU328" t="s">
        <v>56</v>
      </c>
      <c r="AV328" t="s">
        <v>56</v>
      </c>
      <c r="AW328" t="s">
        <v>56</v>
      </c>
      <c r="AX328">
        <v>4</v>
      </c>
    </row>
    <row r="329" spans="1:50" x14ac:dyDescent="0.25">
      <c r="A329" t="str">
        <f>"20200202181017192356"</f>
        <v>20200202181017192356</v>
      </c>
      <c r="B329" t="s">
        <v>90</v>
      </c>
      <c r="C329" t="s">
        <v>90</v>
      </c>
      <c r="D329" t="s">
        <v>2033</v>
      </c>
      <c r="E329" t="str">
        <f>"134300049201"</f>
        <v>134300049201</v>
      </c>
      <c r="F329" t="s">
        <v>52</v>
      </c>
      <c r="G329">
        <v>900196347</v>
      </c>
      <c r="H329">
        <v>13430</v>
      </c>
      <c r="I329" t="s">
        <v>174</v>
      </c>
      <c r="J329" t="s">
        <v>175</v>
      </c>
      <c r="K329" t="s">
        <v>54</v>
      </c>
      <c r="L329">
        <v>73578467</v>
      </c>
      <c r="M329" t="s">
        <v>192</v>
      </c>
      <c r="N329" t="s">
        <v>94</v>
      </c>
      <c r="O329" t="s">
        <v>193</v>
      </c>
      <c r="P329" t="s">
        <v>194</v>
      </c>
      <c r="Q329">
        <v>130403</v>
      </c>
      <c r="R329" t="s">
        <v>54</v>
      </c>
      <c r="S329">
        <v>23134538</v>
      </c>
      <c r="T329" t="s">
        <v>2031</v>
      </c>
      <c r="U329" t="s">
        <v>62</v>
      </c>
      <c r="V329" t="s">
        <v>79</v>
      </c>
      <c r="W329" t="s">
        <v>2032</v>
      </c>
      <c r="X329" t="s">
        <v>135</v>
      </c>
      <c r="Y329" t="s">
        <v>330</v>
      </c>
      <c r="Z329">
        <v>22</v>
      </c>
      <c r="AA329" t="s">
        <v>102</v>
      </c>
      <c r="AB329">
        <v>0</v>
      </c>
      <c r="AC329" t="s">
        <v>66</v>
      </c>
      <c r="AD329">
        <v>0</v>
      </c>
      <c r="AE329" t="s">
        <v>66</v>
      </c>
      <c r="AF329" t="s">
        <v>56</v>
      </c>
      <c r="AG329" t="s">
        <v>56</v>
      </c>
      <c r="AH329" t="s">
        <v>56</v>
      </c>
      <c r="AI329" t="s">
        <v>56</v>
      </c>
      <c r="AJ329" t="s">
        <v>1785</v>
      </c>
      <c r="AK329" t="s">
        <v>1786</v>
      </c>
      <c r="AL329" t="s">
        <v>56</v>
      </c>
      <c r="AM329" t="s">
        <v>56</v>
      </c>
      <c r="AN329" t="s">
        <v>56</v>
      </c>
      <c r="AO329" t="s">
        <v>56</v>
      </c>
      <c r="AP329" t="s">
        <v>56</v>
      </c>
      <c r="AQ329" t="s">
        <v>71</v>
      </c>
      <c r="AR329" t="s">
        <v>56</v>
      </c>
      <c r="AS329" t="s">
        <v>56</v>
      </c>
      <c r="AT329" t="s">
        <v>56</v>
      </c>
      <c r="AU329" t="s">
        <v>56</v>
      </c>
      <c r="AV329" t="s">
        <v>56</v>
      </c>
      <c r="AW329" t="s">
        <v>56</v>
      </c>
      <c r="AX329">
        <v>4</v>
      </c>
    </row>
    <row r="330" spans="1:50" x14ac:dyDescent="0.25">
      <c r="A330" t="str">
        <f>"20200131195017159774"</f>
        <v>20200131195017159774</v>
      </c>
      <c r="B330" t="s">
        <v>110</v>
      </c>
      <c r="C330" t="s">
        <v>110</v>
      </c>
      <c r="D330" t="s">
        <v>2034</v>
      </c>
      <c r="E330" t="str">
        <f>"130010251501"</f>
        <v>130010251501</v>
      </c>
      <c r="F330" t="s">
        <v>52</v>
      </c>
      <c r="G330">
        <v>900449481</v>
      </c>
      <c r="H330">
        <v>13001</v>
      </c>
      <c r="I330" t="s">
        <v>1236</v>
      </c>
      <c r="J330" t="s">
        <v>1237</v>
      </c>
      <c r="K330" t="s">
        <v>54</v>
      </c>
      <c r="L330">
        <v>73006229</v>
      </c>
      <c r="M330" t="s">
        <v>107</v>
      </c>
      <c r="N330" t="s">
        <v>282</v>
      </c>
      <c r="O330" t="s">
        <v>608</v>
      </c>
      <c r="P330" t="s">
        <v>95</v>
      </c>
      <c r="Q330">
        <v>11443</v>
      </c>
      <c r="R330" t="s">
        <v>54</v>
      </c>
      <c r="S330">
        <v>33025710</v>
      </c>
      <c r="T330" t="s">
        <v>504</v>
      </c>
      <c r="U330" t="s">
        <v>62</v>
      </c>
      <c r="V330" t="s">
        <v>83</v>
      </c>
      <c r="W330" t="s">
        <v>2035</v>
      </c>
      <c r="X330" t="s">
        <v>1486</v>
      </c>
      <c r="Y330" t="s">
        <v>101</v>
      </c>
      <c r="Z330">
        <v>12</v>
      </c>
      <c r="AA330" t="s">
        <v>65</v>
      </c>
      <c r="AB330" t="s">
        <v>56</v>
      </c>
      <c r="AC330" t="s">
        <v>56</v>
      </c>
      <c r="AD330">
        <v>0</v>
      </c>
      <c r="AE330" t="s">
        <v>66</v>
      </c>
      <c r="AF330" t="s">
        <v>56</v>
      </c>
      <c r="AG330" t="s">
        <v>56</v>
      </c>
      <c r="AH330" t="s">
        <v>56</v>
      </c>
      <c r="AI330" t="s">
        <v>56</v>
      </c>
      <c r="AJ330" t="s">
        <v>171</v>
      </c>
      <c r="AK330" t="s">
        <v>172</v>
      </c>
      <c r="AL330" t="s">
        <v>56</v>
      </c>
      <c r="AM330" t="s">
        <v>56</v>
      </c>
      <c r="AN330" t="s">
        <v>56</v>
      </c>
      <c r="AO330" t="s">
        <v>56</v>
      </c>
      <c r="AP330" t="s">
        <v>56</v>
      </c>
      <c r="AQ330" t="s">
        <v>71</v>
      </c>
      <c r="AR330" t="s">
        <v>56</v>
      </c>
      <c r="AS330" t="s">
        <v>56</v>
      </c>
      <c r="AT330" t="s">
        <v>56</v>
      </c>
      <c r="AU330" t="s">
        <v>56</v>
      </c>
      <c r="AV330" t="s">
        <v>56</v>
      </c>
      <c r="AW330" t="s">
        <v>56</v>
      </c>
      <c r="AX330">
        <v>4</v>
      </c>
    </row>
    <row r="331" spans="1:50" x14ac:dyDescent="0.25">
      <c r="A331" t="str">
        <f>"20200128185017082634"</f>
        <v>20200128185017082634</v>
      </c>
      <c r="B331" t="s">
        <v>151</v>
      </c>
      <c r="C331" t="s">
        <v>151</v>
      </c>
      <c r="D331" t="s">
        <v>2036</v>
      </c>
      <c r="E331" t="str">
        <f>"200010205401"</f>
        <v>200010205401</v>
      </c>
      <c r="F331" t="s">
        <v>52</v>
      </c>
      <c r="G331">
        <v>901058547</v>
      </c>
      <c r="H331">
        <v>20001</v>
      </c>
      <c r="I331" t="s">
        <v>512</v>
      </c>
      <c r="J331" t="s">
        <v>513</v>
      </c>
      <c r="K331" t="s">
        <v>54</v>
      </c>
      <c r="L331">
        <v>32746801</v>
      </c>
      <c r="M331" t="s">
        <v>2037</v>
      </c>
      <c r="N331" t="s">
        <v>342</v>
      </c>
      <c r="O331" t="s">
        <v>691</v>
      </c>
      <c r="P331" t="s">
        <v>2038</v>
      </c>
      <c r="Q331">
        <v>1083</v>
      </c>
      <c r="R331" t="s">
        <v>440</v>
      </c>
      <c r="S331">
        <v>1065141196</v>
      </c>
      <c r="T331" t="s">
        <v>127</v>
      </c>
      <c r="U331" t="s">
        <v>132</v>
      </c>
      <c r="V331" t="s">
        <v>1366</v>
      </c>
      <c r="W331" t="s">
        <v>1475</v>
      </c>
      <c r="X331" t="s">
        <v>85</v>
      </c>
      <c r="Y331" t="s">
        <v>86</v>
      </c>
      <c r="Z331">
        <v>12</v>
      </c>
      <c r="AA331" t="s">
        <v>65</v>
      </c>
      <c r="AB331" t="s">
        <v>56</v>
      </c>
      <c r="AC331" t="s">
        <v>56</v>
      </c>
      <c r="AD331">
        <v>0</v>
      </c>
      <c r="AE331" t="s">
        <v>66</v>
      </c>
      <c r="AF331" t="s">
        <v>56</v>
      </c>
      <c r="AG331" t="s">
        <v>56</v>
      </c>
      <c r="AH331" t="s">
        <v>56</v>
      </c>
      <c r="AI331" t="s">
        <v>56</v>
      </c>
      <c r="AJ331" t="s">
        <v>122</v>
      </c>
      <c r="AK331" t="s">
        <v>123</v>
      </c>
      <c r="AL331" t="s">
        <v>56</v>
      </c>
      <c r="AM331" t="s">
        <v>56</v>
      </c>
      <c r="AN331" t="s">
        <v>56</v>
      </c>
      <c r="AO331" t="s">
        <v>56</v>
      </c>
      <c r="AP331" t="s">
        <v>56</v>
      </c>
      <c r="AQ331" t="s">
        <v>71</v>
      </c>
      <c r="AR331" t="s">
        <v>56</v>
      </c>
      <c r="AS331" t="s">
        <v>56</v>
      </c>
      <c r="AT331" t="s">
        <v>56</v>
      </c>
      <c r="AU331" t="s">
        <v>56</v>
      </c>
      <c r="AV331" t="s">
        <v>56</v>
      </c>
      <c r="AW331" t="s">
        <v>56</v>
      </c>
      <c r="AX331">
        <v>4</v>
      </c>
    </row>
    <row r="332" spans="1:50" x14ac:dyDescent="0.25">
      <c r="A332" t="str">
        <f>"20200124124016997544"</f>
        <v>20200124124016997544</v>
      </c>
      <c r="B332" t="s">
        <v>201</v>
      </c>
      <c r="C332" t="s">
        <v>201</v>
      </c>
      <c r="D332" t="s">
        <v>2039</v>
      </c>
      <c r="E332" t="str">
        <f>"080010349401"</f>
        <v>080010349401</v>
      </c>
      <c r="F332" t="s">
        <v>52</v>
      </c>
      <c r="G332">
        <v>900458308</v>
      </c>
      <c r="H332" t="s">
        <v>112</v>
      </c>
      <c r="I332" t="s">
        <v>370</v>
      </c>
      <c r="J332" t="s">
        <v>371</v>
      </c>
      <c r="K332" t="s">
        <v>54</v>
      </c>
      <c r="L332">
        <v>1143378811</v>
      </c>
      <c r="M332" t="s">
        <v>372</v>
      </c>
      <c r="N332" t="s">
        <v>373</v>
      </c>
      <c r="O332" t="s">
        <v>109</v>
      </c>
      <c r="P332" t="s">
        <v>374</v>
      </c>
      <c r="Q332">
        <v>1143378811</v>
      </c>
      <c r="R332" t="s">
        <v>54</v>
      </c>
      <c r="S332">
        <v>32583828</v>
      </c>
      <c r="T332" t="s">
        <v>2040</v>
      </c>
      <c r="U332" t="s">
        <v>62</v>
      </c>
      <c r="V332" t="s">
        <v>608</v>
      </c>
      <c r="W332" t="s">
        <v>864</v>
      </c>
      <c r="X332" t="s">
        <v>241</v>
      </c>
      <c r="Y332" t="s">
        <v>121</v>
      </c>
      <c r="Z332">
        <v>12</v>
      </c>
      <c r="AA332" t="s">
        <v>65</v>
      </c>
      <c r="AB332" t="s">
        <v>56</v>
      </c>
      <c r="AC332" t="s">
        <v>56</v>
      </c>
      <c r="AD332">
        <v>0</v>
      </c>
      <c r="AE332" t="s">
        <v>66</v>
      </c>
      <c r="AF332" t="s">
        <v>56</v>
      </c>
      <c r="AG332" t="s">
        <v>56</v>
      </c>
      <c r="AH332" t="s">
        <v>56</v>
      </c>
      <c r="AI332" t="s">
        <v>56</v>
      </c>
      <c r="AJ332" t="s">
        <v>356</v>
      </c>
      <c r="AK332" t="s">
        <v>357</v>
      </c>
      <c r="AL332" t="s">
        <v>255</v>
      </c>
      <c r="AM332" t="s">
        <v>256</v>
      </c>
      <c r="AN332" t="s">
        <v>56</v>
      </c>
      <c r="AO332" t="s">
        <v>56</v>
      </c>
      <c r="AP332" t="s">
        <v>56</v>
      </c>
      <c r="AQ332" t="s">
        <v>71</v>
      </c>
      <c r="AR332" t="s">
        <v>56</v>
      </c>
      <c r="AS332" t="s">
        <v>56</v>
      </c>
      <c r="AT332" t="s">
        <v>56</v>
      </c>
      <c r="AU332" t="s">
        <v>56</v>
      </c>
      <c r="AV332" t="s">
        <v>56</v>
      </c>
      <c r="AW332" t="s">
        <v>56</v>
      </c>
      <c r="AX332">
        <v>4</v>
      </c>
    </row>
    <row r="333" spans="1:50" x14ac:dyDescent="0.25">
      <c r="A333" t="str">
        <f>"20200124173016997547"</f>
        <v>20200124173016997547</v>
      </c>
      <c r="B333" t="s">
        <v>201</v>
      </c>
      <c r="C333" t="s">
        <v>201</v>
      </c>
      <c r="D333" t="s">
        <v>2041</v>
      </c>
      <c r="E333" t="str">
        <f>"080010349401"</f>
        <v>080010349401</v>
      </c>
      <c r="F333" t="s">
        <v>52</v>
      </c>
      <c r="G333">
        <v>900458308</v>
      </c>
      <c r="H333" t="s">
        <v>112</v>
      </c>
      <c r="I333" t="s">
        <v>370</v>
      </c>
      <c r="J333" t="s">
        <v>371</v>
      </c>
      <c r="K333" t="s">
        <v>54</v>
      </c>
      <c r="L333">
        <v>1143378811</v>
      </c>
      <c r="M333" t="s">
        <v>372</v>
      </c>
      <c r="N333" t="s">
        <v>373</v>
      </c>
      <c r="O333" t="s">
        <v>109</v>
      </c>
      <c r="P333" t="s">
        <v>374</v>
      </c>
      <c r="Q333">
        <v>1143378811</v>
      </c>
      <c r="R333" t="s">
        <v>54</v>
      </c>
      <c r="S333">
        <v>32583828</v>
      </c>
      <c r="T333" t="s">
        <v>2040</v>
      </c>
      <c r="U333" t="s">
        <v>62</v>
      </c>
      <c r="V333" t="s">
        <v>608</v>
      </c>
      <c r="W333" t="s">
        <v>864</v>
      </c>
      <c r="X333" t="s">
        <v>241</v>
      </c>
      <c r="Y333" t="s">
        <v>121</v>
      </c>
      <c r="Z333">
        <v>12</v>
      </c>
      <c r="AA333" t="s">
        <v>65</v>
      </c>
      <c r="AB333" t="s">
        <v>56</v>
      </c>
      <c r="AC333" t="s">
        <v>56</v>
      </c>
      <c r="AD333">
        <v>0</v>
      </c>
      <c r="AE333" t="s">
        <v>66</v>
      </c>
      <c r="AF333" t="s">
        <v>56</v>
      </c>
      <c r="AG333" t="s">
        <v>56</v>
      </c>
      <c r="AH333" t="s">
        <v>56</v>
      </c>
      <c r="AI333" t="s">
        <v>56</v>
      </c>
      <c r="AJ333" t="s">
        <v>828</v>
      </c>
      <c r="AK333" t="s">
        <v>829</v>
      </c>
      <c r="AL333" t="s">
        <v>56</v>
      </c>
      <c r="AM333" t="s">
        <v>56</v>
      </c>
      <c r="AN333" t="s">
        <v>56</v>
      </c>
      <c r="AO333" t="s">
        <v>56</v>
      </c>
      <c r="AP333" t="s">
        <v>56</v>
      </c>
      <c r="AQ333" t="s">
        <v>71</v>
      </c>
      <c r="AR333" t="s">
        <v>56</v>
      </c>
      <c r="AS333" t="s">
        <v>56</v>
      </c>
      <c r="AT333" t="s">
        <v>56</v>
      </c>
      <c r="AU333" t="s">
        <v>56</v>
      </c>
      <c r="AV333" t="s">
        <v>56</v>
      </c>
      <c r="AW333" t="s">
        <v>56</v>
      </c>
      <c r="AX333">
        <v>4</v>
      </c>
    </row>
    <row r="334" spans="1:50" x14ac:dyDescent="0.25">
      <c r="A334" t="str">
        <f>"20200128137017087018"</f>
        <v>20200128137017087018</v>
      </c>
      <c r="B334" t="s">
        <v>151</v>
      </c>
      <c r="C334" t="s">
        <v>151</v>
      </c>
      <c r="D334" t="s">
        <v>2042</v>
      </c>
      <c r="E334" t="str">
        <f>"080010025301"</f>
        <v>080010025301</v>
      </c>
      <c r="F334" t="s">
        <v>52</v>
      </c>
      <c r="G334">
        <v>800033723</v>
      </c>
      <c r="H334" t="s">
        <v>112</v>
      </c>
      <c r="I334" t="s">
        <v>763</v>
      </c>
      <c r="J334">
        <v>3681522</v>
      </c>
      <c r="K334" t="s">
        <v>54</v>
      </c>
      <c r="L334">
        <v>72005091</v>
      </c>
      <c r="M334" t="s">
        <v>764</v>
      </c>
      <c r="N334" t="s">
        <v>132</v>
      </c>
      <c r="O334" t="s">
        <v>528</v>
      </c>
      <c r="P334" t="s">
        <v>765</v>
      </c>
      <c r="Q334" t="s">
        <v>766</v>
      </c>
      <c r="R334" t="s">
        <v>54</v>
      </c>
      <c r="S334">
        <v>72198042</v>
      </c>
      <c r="T334" t="s">
        <v>164</v>
      </c>
      <c r="U334" t="s">
        <v>165</v>
      </c>
      <c r="V334" t="s">
        <v>655</v>
      </c>
      <c r="W334" t="s">
        <v>263</v>
      </c>
      <c r="X334" t="s">
        <v>120</v>
      </c>
      <c r="Y334" t="s">
        <v>121</v>
      </c>
      <c r="Z334">
        <v>12</v>
      </c>
      <c r="AA334" t="s">
        <v>65</v>
      </c>
      <c r="AB334" t="s">
        <v>56</v>
      </c>
      <c r="AC334" t="s">
        <v>56</v>
      </c>
      <c r="AD334">
        <v>0</v>
      </c>
      <c r="AE334" t="s">
        <v>66</v>
      </c>
      <c r="AF334" t="s">
        <v>56</v>
      </c>
      <c r="AG334" t="s">
        <v>56</v>
      </c>
      <c r="AH334" t="s">
        <v>56</v>
      </c>
      <c r="AI334" t="s">
        <v>56</v>
      </c>
      <c r="AJ334" t="s">
        <v>103</v>
      </c>
      <c r="AK334" t="s">
        <v>104</v>
      </c>
      <c r="AL334" t="s">
        <v>56</v>
      </c>
      <c r="AM334" t="s">
        <v>56</v>
      </c>
      <c r="AN334" t="s">
        <v>56</v>
      </c>
      <c r="AO334" t="s">
        <v>56</v>
      </c>
      <c r="AP334" t="s">
        <v>56</v>
      </c>
      <c r="AQ334" t="s">
        <v>71</v>
      </c>
      <c r="AR334" t="s">
        <v>56</v>
      </c>
      <c r="AS334" t="s">
        <v>56</v>
      </c>
      <c r="AT334" t="s">
        <v>56</v>
      </c>
      <c r="AU334" t="s">
        <v>56</v>
      </c>
      <c r="AV334" t="s">
        <v>56</v>
      </c>
      <c r="AW334" t="s">
        <v>56</v>
      </c>
      <c r="AX334">
        <v>4</v>
      </c>
    </row>
    <row r="335" spans="1:50" x14ac:dyDescent="0.25">
      <c r="A335" t="str">
        <f>"20200201159017190176"</f>
        <v>20200201159017190176</v>
      </c>
      <c r="B335" t="s">
        <v>50</v>
      </c>
      <c r="C335" t="s">
        <v>50</v>
      </c>
      <c r="D335" t="s">
        <v>2043</v>
      </c>
      <c r="E335" t="str">
        <f>"270010103801"</f>
        <v>270010103801</v>
      </c>
      <c r="F335" t="s">
        <v>52</v>
      </c>
      <c r="G335">
        <v>900771065</v>
      </c>
      <c r="H335">
        <v>27001</v>
      </c>
      <c r="I335" t="s">
        <v>1122</v>
      </c>
      <c r="J335">
        <v>3122303518</v>
      </c>
      <c r="K335" t="s">
        <v>54</v>
      </c>
      <c r="L335">
        <v>11814040</v>
      </c>
      <c r="M335" t="s">
        <v>1123</v>
      </c>
      <c r="N335" t="s">
        <v>86</v>
      </c>
      <c r="O335" t="s">
        <v>1124</v>
      </c>
      <c r="P335" t="s">
        <v>108</v>
      </c>
      <c r="Q335">
        <v>271126</v>
      </c>
      <c r="R335" t="s">
        <v>54</v>
      </c>
      <c r="S335">
        <v>1077439773</v>
      </c>
      <c r="T335" t="s">
        <v>667</v>
      </c>
      <c r="U335" t="s">
        <v>205</v>
      </c>
      <c r="V335" t="s">
        <v>1073</v>
      </c>
      <c r="W335" t="s">
        <v>528</v>
      </c>
      <c r="X335" t="s">
        <v>860</v>
      </c>
      <c r="Y335" t="s">
        <v>717</v>
      </c>
      <c r="Z335">
        <v>11</v>
      </c>
      <c r="AA335" t="s">
        <v>87</v>
      </c>
      <c r="AB335" t="s">
        <v>56</v>
      </c>
      <c r="AC335" t="s">
        <v>56</v>
      </c>
      <c r="AD335">
        <v>0</v>
      </c>
      <c r="AE335" t="s">
        <v>66</v>
      </c>
      <c r="AF335" t="s">
        <v>56</v>
      </c>
      <c r="AG335" t="s">
        <v>56</v>
      </c>
      <c r="AH335" t="s">
        <v>56</v>
      </c>
      <c r="AI335" t="s">
        <v>56</v>
      </c>
      <c r="AJ335" t="s">
        <v>1866</v>
      </c>
      <c r="AK335" t="s">
        <v>1867</v>
      </c>
      <c r="AL335" t="s">
        <v>2044</v>
      </c>
      <c r="AM335" t="s">
        <v>2045</v>
      </c>
      <c r="AN335" t="s">
        <v>2046</v>
      </c>
      <c r="AO335" t="s">
        <v>2047</v>
      </c>
      <c r="AP335" t="s">
        <v>56</v>
      </c>
      <c r="AQ335" t="s">
        <v>71</v>
      </c>
      <c r="AR335" t="s">
        <v>56</v>
      </c>
      <c r="AS335" t="s">
        <v>56</v>
      </c>
      <c r="AT335" t="s">
        <v>56</v>
      </c>
      <c r="AU335" t="s">
        <v>56</v>
      </c>
      <c r="AV335" t="s">
        <v>56</v>
      </c>
      <c r="AW335" t="s">
        <v>56</v>
      </c>
      <c r="AX335">
        <v>4</v>
      </c>
    </row>
    <row r="336" spans="1:50" x14ac:dyDescent="0.25">
      <c r="A336" t="str">
        <f>"20200124176017016058"</f>
        <v>20200124176017016058</v>
      </c>
      <c r="B336" t="s">
        <v>201</v>
      </c>
      <c r="C336" t="s">
        <v>201</v>
      </c>
      <c r="D336" t="s">
        <v>2048</v>
      </c>
      <c r="E336" t="str">
        <f>"700010111401"</f>
        <v>700010111401</v>
      </c>
      <c r="F336" t="s">
        <v>52</v>
      </c>
      <c r="G336">
        <v>900217343</v>
      </c>
      <c r="H336">
        <v>70001</v>
      </c>
      <c r="I336" t="s">
        <v>885</v>
      </c>
      <c r="J336">
        <v>2714280</v>
      </c>
      <c r="K336" t="s">
        <v>54</v>
      </c>
      <c r="L336">
        <v>71339047</v>
      </c>
      <c r="M336" t="s">
        <v>2049</v>
      </c>
      <c r="N336" t="s">
        <v>107</v>
      </c>
      <c r="O336" t="s">
        <v>260</v>
      </c>
      <c r="P336" t="s">
        <v>449</v>
      </c>
      <c r="Q336">
        <v>574004</v>
      </c>
      <c r="R336" t="s">
        <v>54</v>
      </c>
      <c r="S336">
        <v>92125978</v>
      </c>
      <c r="T336" t="s">
        <v>423</v>
      </c>
      <c r="U336" t="s">
        <v>94</v>
      </c>
      <c r="V336" t="s">
        <v>1524</v>
      </c>
      <c r="W336" t="s">
        <v>801</v>
      </c>
      <c r="X336" t="s">
        <v>949</v>
      </c>
      <c r="Y336" t="s">
        <v>330</v>
      </c>
      <c r="Z336">
        <v>12</v>
      </c>
      <c r="AA336" t="s">
        <v>65</v>
      </c>
      <c r="AB336" t="s">
        <v>56</v>
      </c>
      <c r="AC336" t="s">
        <v>56</v>
      </c>
      <c r="AD336">
        <v>0</v>
      </c>
      <c r="AE336" t="s">
        <v>66</v>
      </c>
      <c r="AF336" t="s">
        <v>56</v>
      </c>
      <c r="AG336" t="s">
        <v>56</v>
      </c>
      <c r="AH336" t="s">
        <v>56</v>
      </c>
      <c r="AI336" t="s">
        <v>56</v>
      </c>
      <c r="AJ336" t="s">
        <v>2050</v>
      </c>
      <c r="AK336" t="s">
        <v>2051</v>
      </c>
      <c r="AL336" t="s">
        <v>56</v>
      </c>
      <c r="AM336" t="s">
        <v>56</v>
      </c>
      <c r="AN336" t="s">
        <v>56</v>
      </c>
      <c r="AO336" t="s">
        <v>56</v>
      </c>
      <c r="AP336" t="s">
        <v>56</v>
      </c>
      <c r="AQ336" t="s">
        <v>71</v>
      </c>
      <c r="AR336" t="s">
        <v>56</v>
      </c>
      <c r="AS336" t="s">
        <v>56</v>
      </c>
      <c r="AT336" t="s">
        <v>56</v>
      </c>
      <c r="AU336" t="s">
        <v>56</v>
      </c>
      <c r="AV336" t="s">
        <v>56</v>
      </c>
      <c r="AW336" t="s">
        <v>56</v>
      </c>
      <c r="AX336">
        <v>4</v>
      </c>
    </row>
    <row r="337" spans="1:50" x14ac:dyDescent="0.25">
      <c r="A337" t="str">
        <f>"20200124157017002890"</f>
        <v>20200124157017002890</v>
      </c>
      <c r="B337" t="s">
        <v>201</v>
      </c>
      <c r="C337" t="s">
        <v>201</v>
      </c>
      <c r="D337" t="s">
        <v>2052</v>
      </c>
      <c r="E337" t="str">
        <f>"134300072401"</f>
        <v>134300072401</v>
      </c>
      <c r="F337" t="s">
        <v>52</v>
      </c>
      <c r="G337">
        <v>900513381</v>
      </c>
      <c r="H337">
        <v>13430</v>
      </c>
      <c r="I337" t="s">
        <v>2053</v>
      </c>
      <c r="J337" t="s">
        <v>2054</v>
      </c>
      <c r="K337" t="s">
        <v>54</v>
      </c>
      <c r="L337">
        <v>9194500</v>
      </c>
      <c r="M337" t="s">
        <v>291</v>
      </c>
      <c r="N337" t="s">
        <v>492</v>
      </c>
      <c r="O337" t="s">
        <v>263</v>
      </c>
      <c r="P337" t="s">
        <v>493</v>
      </c>
      <c r="Q337" t="s">
        <v>494</v>
      </c>
      <c r="R337" t="s">
        <v>54</v>
      </c>
      <c r="S337">
        <v>32698237</v>
      </c>
      <c r="T337" t="s">
        <v>2055</v>
      </c>
      <c r="U337" t="s">
        <v>205</v>
      </c>
      <c r="V337" t="s">
        <v>560</v>
      </c>
      <c r="W337" t="s">
        <v>179</v>
      </c>
      <c r="X337" t="s">
        <v>100</v>
      </c>
      <c r="Y337" t="s">
        <v>101</v>
      </c>
      <c r="Z337">
        <v>11</v>
      </c>
      <c r="AA337" t="s">
        <v>87</v>
      </c>
      <c r="AB337" t="s">
        <v>56</v>
      </c>
      <c r="AC337" t="s">
        <v>56</v>
      </c>
      <c r="AD337">
        <v>0</v>
      </c>
      <c r="AE337" t="s">
        <v>66</v>
      </c>
      <c r="AF337" t="s">
        <v>56</v>
      </c>
      <c r="AG337" t="s">
        <v>56</v>
      </c>
      <c r="AH337" t="s">
        <v>56</v>
      </c>
      <c r="AI337" t="s">
        <v>56</v>
      </c>
      <c r="AJ337" t="s">
        <v>497</v>
      </c>
      <c r="AK337" t="s">
        <v>498</v>
      </c>
      <c r="AL337" t="s">
        <v>56</v>
      </c>
      <c r="AM337" t="s">
        <v>56</v>
      </c>
      <c r="AN337" t="s">
        <v>56</v>
      </c>
      <c r="AO337" t="s">
        <v>56</v>
      </c>
      <c r="AP337" t="s">
        <v>56</v>
      </c>
      <c r="AQ337" t="s">
        <v>71</v>
      </c>
      <c r="AR337" t="s">
        <v>56</v>
      </c>
      <c r="AS337" t="s">
        <v>56</v>
      </c>
      <c r="AT337" t="s">
        <v>56</v>
      </c>
      <c r="AU337" t="s">
        <v>56</v>
      </c>
      <c r="AV337" t="s">
        <v>56</v>
      </c>
      <c r="AW337" t="s">
        <v>56</v>
      </c>
      <c r="AX337">
        <v>4</v>
      </c>
    </row>
    <row r="338" spans="1:50" x14ac:dyDescent="0.25">
      <c r="A338" t="str">
        <f>"20200127110017063071"</f>
        <v>20200127110017063071</v>
      </c>
      <c r="B338" t="s">
        <v>190</v>
      </c>
      <c r="C338" t="s">
        <v>190</v>
      </c>
      <c r="D338" t="s">
        <v>2056</v>
      </c>
      <c r="E338" t="str">
        <f>"270010036201"</f>
        <v>270010036201</v>
      </c>
      <c r="F338" t="s">
        <v>52</v>
      </c>
      <c r="G338">
        <v>900210883</v>
      </c>
      <c r="H338">
        <v>27001</v>
      </c>
      <c r="I338" t="s">
        <v>2057</v>
      </c>
      <c r="J338">
        <v>6724232</v>
      </c>
      <c r="K338" t="s">
        <v>54</v>
      </c>
      <c r="L338">
        <v>72218482</v>
      </c>
      <c r="M338" t="s">
        <v>291</v>
      </c>
      <c r="N338" t="s">
        <v>261</v>
      </c>
      <c r="O338" t="s">
        <v>1146</v>
      </c>
      <c r="P338" t="s">
        <v>1076</v>
      </c>
      <c r="Q338">
        <v>27405</v>
      </c>
      <c r="R338" t="s">
        <v>54</v>
      </c>
      <c r="S338">
        <v>26290019</v>
      </c>
      <c r="T338" t="s">
        <v>2058</v>
      </c>
      <c r="U338" t="s">
        <v>1453</v>
      </c>
      <c r="V338" t="s">
        <v>2059</v>
      </c>
      <c r="W338" t="s">
        <v>2059</v>
      </c>
      <c r="X338" t="s">
        <v>860</v>
      </c>
      <c r="Y338" t="s">
        <v>717</v>
      </c>
      <c r="Z338">
        <v>11</v>
      </c>
      <c r="AA338" t="s">
        <v>87</v>
      </c>
      <c r="AB338" t="s">
        <v>56</v>
      </c>
      <c r="AC338" t="s">
        <v>56</v>
      </c>
      <c r="AD338">
        <v>0</v>
      </c>
      <c r="AE338" t="s">
        <v>66</v>
      </c>
      <c r="AF338" t="s">
        <v>56</v>
      </c>
      <c r="AG338" t="s">
        <v>56</v>
      </c>
      <c r="AH338" t="s">
        <v>56</v>
      </c>
      <c r="AI338" t="s">
        <v>56</v>
      </c>
      <c r="AJ338" t="s">
        <v>2060</v>
      </c>
      <c r="AK338" t="s">
        <v>2061</v>
      </c>
      <c r="AL338" t="s">
        <v>1119</v>
      </c>
      <c r="AM338" t="s">
        <v>1120</v>
      </c>
      <c r="AN338" t="s">
        <v>2062</v>
      </c>
      <c r="AO338" t="s">
        <v>2063</v>
      </c>
      <c r="AP338" t="s">
        <v>56</v>
      </c>
      <c r="AQ338" t="s">
        <v>71</v>
      </c>
      <c r="AR338" t="s">
        <v>56</v>
      </c>
      <c r="AS338" t="s">
        <v>56</v>
      </c>
      <c r="AT338" t="s">
        <v>56</v>
      </c>
      <c r="AU338" t="s">
        <v>56</v>
      </c>
      <c r="AV338" t="s">
        <v>56</v>
      </c>
      <c r="AW338" t="s">
        <v>56</v>
      </c>
      <c r="AX338">
        <v>4</v>
      </c>
    </row>
    <row r="339" spans="1:50" x14ac:dyDescent="0.25">
      <c r="A339" t="str">
        <f>"20200128154017072842"</f>
        <v>20200128154017072842</v>
      </c>
      <c r="B339" t="s">
        <v>151</v>
      </c>
      <c r="C339" t="s">
        <v>151</v>
      </c>
      <c r="D339" t="s">
        <v>2064</v>
      </c>
      <c r="E339" t="str">
        <f>"080010430501"</f>
        <v>080010430501</v>
      </c>
      <c r="F339" t="s">
        <v>52</v>
      </c>
      <c r="G339">
        <v>900206215</v>
      </c>
      <c r="H339" t="s">
        <v>112</v>
      </c>
      <c r="I339" t="s">
        <v>1084</v>
      </c>
      <c r="J339">
        <v>3174342880</v>
      </c>
      <c r="K339" t="s">
        <v>54</v>
      </c>
      <c r="L339">
        <v>32833623</v>
      </c>
      <c r="M339" t="s">
        <v>1065</v>
      </c>
      <c r="N339" t="s">
        <v>59</v>
      </c>
      <c r="O339" t="s">
        <v>659</v>
      </c>
      <c r="P339" t="s">
        <v>252</v>
      </c>
      <c r="Q339">
        <v>32833623</v>
      </c>
      <c r="R339" t="s">
        <v>54</v>
      </c>
      <c r="S339">
        <v>72191334</v>
      </c>
      <c r="T339" t="s">
        <v>2065</v>
      </c>
      <c r="U339" t="s">
        <v>2066</v>
      </c>
      <c r="V339" t="s">
        <v>207</v>
      </c>
      <c r="W339" t="s">
        <v>1507</v>
      </c>
      <c r="X339" t="s">
        <v>120</v>
      </c>
      <c r="Y339" t="s">
        <v>121</v>
      </c>
      <c r="Z339">
        <v>12</v>
      </c>
      <c r="AA339" t="s">
        <v>65</v>
      </c>
      <c r="AB339" t="s">
        <v>56</v>
      </c>
      <c r="AC339" t="s">
        <v>56</v>
      </c>
      <c r="AD339">
        <v>0</v>
      </c>
      <c r="AE339" t="s">
        <v>66</v>
      </c>
      <c r="AF339" t="s">
        <v>56</v>
      </c>
      <c r="AG339" t="s">
        <v>56</v>
      </c>
      <c r="AH339" t="s">
        <v>56</v>
      </c>
      <c r="AI339" t="s">
        <v>56</v>
      </c>
      <c r="AJ339" t="s">
        <v>894</v>
      </c>
      <c r="AK339" t="s">
        <v>895</v>
      </c>
      <c r="AL339" t="s">
        <v>1088</v>
      </c>
      <c r="AM339" t="s">
        <v>1089</v>
      </c>
      <c r="AN339" t="s">
        <v>2067</v>
      </c>
      <c r="AO339" t="s">
        <v>2068</v>
      </c>
      <c r="AP339" t="s">
        <v>56</v>
      </c>
      <c r="AQ339" t="s">
        <v>71</v>
      </c>
      <c r="AR339" t="s">
        <v>56</v>
      </c>
      <c r="AS339" t="s">
        <v>56</v>
      </c>
      <c r="AT339" t="s">
        <v>56</v>
      </c>
      <c r="AU339" t="s">
        <v>56</v>
      </c>
      <c r="AV339" t="s">
        <v>56</v>
      </c>
      <c r="AW339" t="s">
        <v>56</v>
      </c>
      <c r="AX339">
        <v>4</v>
      </c>
    </row>
    <row r="340" spans="1:50" x14ac:dyDescent="0.25">
      <c r="A340" t="str">
        <f>"20200124179017003528"</f>
        <v>20200124179017003528</v>
      </c>
      <c r="B340" t="s">
        <v>201</v>
      </c>
      <c r="C340" t="s">
        <v>201</v>
      </c>
      <c r="D340" t="s">
        <v>2069</v>
      </c>
      <c r="E340" t="str">
        <f>"700010003801"</f>
        <v>700010003801</v>
      </c>
      <c r="F340" t="s">
        <v>52</v>
      </c>
      <c r="G340">
        <v>823003317</v>
      </c>
      <c r="H340">
        <v>70001</v>
      </c>
      <c r="I340" t="s">
        <v>323</v>
      </c>
      <c r="J340">
        <v>2818471</v>
      </c>
      <c r="K340" t="s">
        <v>54</v>
      </c>
      <c r="L340">
        <v>92502384</v>
      </c>
      <c r="M340" t="s">
        <v>791</v>
      </c>
      <c r="N340" t="s">
        <v>132</v>
      </c>
      <c r="O340" t="s">
        <v>2070</v>
      </c>
      <c r="P340" t="s">
        <v>608</v>
      </c>
      <c r="Q340" t="s">
        <v>2071</v>
      </c>
      <c r="R340" t="s">
        <v>54</v>
      </c>
      <c r="S340">
        <v>1104015254</v>
      </c>
      <c r="T340" t="s">
        <v>2072</v>
      </c>
      <c r="U340" t="s">
        <v>627</v>
      </c>
      <c r="V340" t="s">
        <v>2073</v>
      </c>
      <c r="W340" t="s">
        <v>1301</v>
      </c>
      <c r="X340" t="s">
        <v>605</v>
      </c>
      <c r="Y340" t="s">
        <v>330</v>
      </c>
      <c r="Z340">
        <v>11</v>
      </c>
      <c r="AA340" t="s">
        <v>87</v>
      </c>
      <c r="AB340" t="s">
        <v>56</v>
      </c>
      <c r="AC340" t="s">
        <v>56</v>
      </c>
      <c r="AD340">
        <v>0</v>
      </c>
      <c r="AE340" t="s">
        <v>66</v>
      </c>
      <c r="AF340" t="s">
        <v>56</v>
      </c>
      <c r="AG340" t="s">
        <v>56</v>
      </c>
      <c r="AH340" t="s">
        <v>56</v>
      </c>
      <c r="AI340" t="s">
        <v>56</v>
      </c>
      <c r="AJ340" t="s">
        <v>2074</v>
      </c>
      <c r="AK340" t="s">
        <v>2075</v>
      </c>
      <c r="AL340" t="s">
        <v>56</v>
      </c>
      <c r="AM340" t="s">
        <v>56</v>
      </c>
      <c r="AN340" t="s">
        <v>56</v>
      </c>
      <c r="AO340" t="s">
        <v>56</v>
      </c>
      <c r="AP340" t="s">
        <v>56</v>
      </c>
      <c r="AQ340" t="s">
        <v>71</v>
      </c>
      <c r="AR340" t="s">
        <v>56</v>
      </c>
      <c r="AS340" t="s">
        <v>56</v>
      </c>
      <c r="AT340" t="s">
        <v>56</v>
      </c>
      <c r="AU340" t="s">
        <v>56</v>
      </c>
      <c r="AV340" t="s">
        <v>56</v>
      </c>
      <c r="AW340" t="s">
        <v>56</v>
      </c>
      <c r="AX340">
        <v>4</v>
      </c>
    </row>
    <row r="341" spans="1:50" x14ac:dyDescent="0.25">
      <c r="A341" t="str">
        <f>"20200201169017185704"</f>
        <v>20200201169017185704</v>
      </c>
      <c r="B341" t="s">
        <v>50</v>
      </c>
      <c r="C341" t="s">
        <v>50</v>
      </c>
      <c r="D341" t="s">
        <v>2076</v>
      </c>
      <c r="E341" t="str">
        <f>"080010003601"</f>
        <v>080010003601</v>
      </c>
      <c r="F341" t="s">
        <v>52</v>
      </c>
      <c r="G341">
        <v>802000955</v>
      </c>
      <c r="H341" t="s">
        <v>112</v>
      </c>
      <c r="I341" t="s">
        <v>218</v>
      </c>
      <c r="J341" t="s">
        <v>56</v>
      </c>
      <c r="K341" t="s">
        <v>54</v>
      </c>
      <c r="L341">
        <v>32689204</v>
      </c>
      <c r="M341" t="s">
        <v>404</v>
      </c>
      <c r="N341" t="s">
        <v>548</v>
      </c>
      <c r="O341" t="s">
        <v>549</v>
      </c>
      <c r="P341" t="s">
        <v>57</v>
      </c>
      <c r="Q341" t="s">
        <v>550</v>
      </c>
      <c r="R341" t="s">
        <v>54</v>
      </c>
      <c r="S341">
        <v>22854175</v>
      </c>
      <c r="T341" t="s">
        <v>1679</v>
      </c>
      <c r="U341" t="s">
        <v>424</v>
      </c>
      <c r="V341" t="s">
        <v>263</v>
      </c>
      <c r="W341" t="s">
        <v>608</v>
      </c>
      <c r="X341" t="s">
        <v>120</v>
      </c>
      <c r="Y341" t="s">
        <v>121</v>
      </c>
      <c r="Z341">
        <v>12</v>
      </c>
      <c r="AA341" t="s">
        <v>65</v>
      </c>
      <c r="AB341" t="s">
        <v>56</v>
      </c>
      <c r="AC341" t="s">
        <v>56</v>
      </c>
      <c r="AD341">
        <v>0</v>
      </c>
      <c r="AE341" t="s">
        <v>66</v>
      </c>
      <c r="AF341" t="s">
        <v>56</v>
      </c>
      <c r="AG341" t="s">
        <v>56</v>
      </c>
      <c r="AH341" t="s">
        <v>56</v>
      </c>
      <c r="AI341" t="s">
        <v>56</v>
      </c>
      <c r="AJ341" t="s">
        <v>536</v>
      </c>
      <c r="AK341" t="s">
        <v>537</v>
      </c>
      <c r="AL341" t="s">
        <v>56</v>
      </c>
      <c r="AM341" t="s">
        <v>56</v>
      </c>
      <c r="AN341" t="s">
        <v>56</v>
      </c>
      <c r="AO341" t="s">
        <v>56</v>
      </c>
      <c r="AP341" t="s">
        <v>56</v>
      </c>
      <c r="AQ341" t="s">
        <v>71</v>
      </c>
      <c r="AR341" t="s">
        <v>56</v>
      </c>
      <c r="AS341" t="s">
        <v>56</v>
      </c>
      <c r="AT341" t="s">
        <v>56</v>
      </c>
      <c r="AU341" t="s">
        <v>56</v>
      </c>
      <c r="AV341" t="s">
        <v>56</v>
      </c>
      <c r="AW341" t="s">
        <v>56</v>
      </c>
      <c r="AX341">
        <v>4</v>
      </c>
    </row>
    <row r="342" spans="1:50" x14ac:dyDescent="0.25">
      <c r="A342" t="str">
        <f>"20200127124017046416"</f>
        <v>20200127124017046416</v>
      </c>
      <c r="B342" t="s">
        <v>190</v>
      </c>
      <c r="C342" t="s">
        <v>190</v>
      </c>
      <c r="D342" t="s">
        <v>2077</v>
      </c>
      <c r="E342" t="str">
        <f>"700010151301"</f>
        <v>700010151301</v>
      </c>
      <c r="F342" t="s">
        <v>52</v>
      </c>
      <c r="G342">
        <v>830510991</v>
      </c>
      <c r="H342">
        <v>70001</v>
      </c>
      <c r="I342" t="s">
        <v>945</v>
      </c>
      <c r="J342">
        <v>2806901</v>
      </c>
      <c r="K342" t="s">
        <v>54</v>
      </c>
      <c r="L342">
        <v>15678411</v>
      </c>
      <c r="M342" t="s">
        <v>2078</v>
      </c>
      <c r="N342" t="s">
        <v>2079</v>
      </c>
      <c r="O342" t="s">
        <v>263</v>
      </c>
      <c r="P342" t="s">
        <v>298</v>
      </c>
      <c r="Q342">
        <v>2377902</v>
      </c>
      <c r="R342" t="s">
        <v>54</v>
      </c>
      <c r="S342">
        <v>1100249269</v>
      </c>
      <c r="T342" t="s">
        <v>2080</v>
      </c>
      <c r="U342" t="s">
        <v>117</v>
      </c>
      <c r="V342" t="s">
        <v>1025</v>
      </c>
      <c r="W342" t="s">
        <v>169</v>
      </c>
      <c r="X342" t="s">
        <v>605</v>
      </c>
      <c r="Y342" t="s">
        <v>330</v>
      </c>
      <c r="Z342">
        <v>22</v>
      </c>
      <c r="AA342" t="s">
        <v>102</v>
      </c>
      <c r="AB342">
        <v>0</v>
      </c>
      <c r="AC342" t="s">
        <v>66</v>
      </c>
      <c r="AD342">
        <v>0</v>
      </c>
      <c r="AE342" t="s">
        <v>66</v>
      </c>
      <c r="AF342" t="s">
        <v>56</v>
      </c>
      <c r="AG342" t="s">
        <v>56</v>
      </c>
      <c r="AH342" t="s">
        <v>56</v>
      </c>
      <c r="AI342" t="s">
        <v>56</v>
      </c>
      <c r="AJ342" t="s">
        <v>2081</v>
      </c>
      <c r="AK342" t="s">
        <v>2082</v>
      </c>
      <c r="AL342" t="s">
        <v>56</v>
      </c>
      <c r="AM342" t="s">
        <v>56</v>
      </c>
      <c r="AN342" t="s">
        <v>56</v>
      </c>
      <c r="AO342" t="s">
        <v>56</v>
      </c>
      <c r="AP342" t="s">
        <v>56</v>
      </c>
      <c r="AQ342" t="s">
        <v>71</v>
      </c>
      <c r="AR342" t="s">
        <v>56</v>
      </c>
      <c r="AS342" t="s">
        <v>56</v>
      </c>
      <c r="AT342" t="s">
        <v>56</v>
      </c>
      <c r="AU342" t="s">
        <v>56</v>
      </c>
      <c r="AV342" t="s">
        <v>56</v>
      </c>
      <c r="AW342" t="s">
        <v>56</v>
      </c>
      <c r="AX342">
        <v>4</v>
      </c>
    </row>
    <row r="343" spans="1:50" x14ac:dyDescent="0.25">
      <c r="A343" t="str">
        <f>"20200127110017052635"</f>
        <v>20200127110017052635</v>
      </c>
      <c r="B343" t="s">
        <v>190</v>
      </c>
      <c r="C343" t="s">
        <v>190</v>
      </c>
      <c r="D343" t="s">
        <v>2083</v>
      </c>
      <c r="E343" t="str">
        <f>"200010083101"</f>
        <v>200010083101</v>
      </c>
      <c r="F343" t="s">
        <v>52</v>
      </c>
      <c r="G343">
        <v>900066797</v>
      </c>
      <c r="H343">
        <v>20001</v>
      </c>
      <c r="I343" t="s">
        <v>457</v>
      </c>
      <c r="J343" t="s">
        <v>458</v>
      </c>
      <c r="K343" t="s">
        <v>54</v>
      </c>
      <c r="L343">
        <v>49760462</v>
      </c>
      <c r="M343" t="s">
        <v>459</v>
      </c>
      <c r="N343" t="s">
        <v>117</v>
      </c>
      <c r="O343" t="s">
        <v>460</v>
      </c>
      <c r="P343" t="s">
        <v>403</v>
      </c>
      <c r="Q343">
        <v>8550</v>
      </c>
      <c r="R343" t="s">
        <v>54</v>
      </c>
      <c r="S343">
        <v>42494014</v>
      </c>
      <c r="T343" t="s">
        <v>2084</v>
      </c>
      <c r="U343" t="s">
        <v>117</v>
      </c>
      <c r="V343" t="s">
        <v>938</v>
      </c>
      <c r="W343" t="s">
        <v>2085</v>
      </c>
      <c r="X343" t="s">
        <v>462</v>
      </c>
      <c r="Y343" t="s">
        <v>86</v>
      </c>
      <c r="Z343">
        <v>12</v>
      </c>
      <c r="AA343" t="s">
        <v>65</v>
      </c>
      <c r="AB343" t="s">
        <v>56</v>
      </c>
      <c r="AC343" t="s">
        <v>56</v>
      </c>
      <c r="AD343">
        <v>0</v>
      </c>
      <c r="AE343" t="s">
        <v>66</v>
      </c>
      <c r="AF343" t="s">
        <v>56</v>
      </c>
      <c r="AG343" t="s">
        <v>56</v>
      </c>
      <c r="AH343" t="s">
        <v>56</v>
      </c>
      <c r="AI343" t="s">
        <v>56</v>
      </c>
      <c r="AJ343" t="s">
        <v>463</v>
      </c>
      <c r="AK343" t="s">
        <v>464</v>
      </c>
      <c r="AL343" t="s">
        <v>56</v>
      </c>
      <c r="AM343" t="s">
        <v>56</v>
      </c>
      <c r="AN343" t="s">
        <v>56</v>
      </c>
      <c r="AO343" t="s">
        <v>56</v>
      </c>
      <c r="AP343" t="s">
        <v>56</v>
      </c>
      <c r="AQ343" t="s">
        <v>71</v>
      </c>
      <c r="AR343" t="s">
        <v>56</v>
      </c>
      <c r="AS343" t="s">
        <v>56</v>
      </c>
      <c r="AT343" t="s">
        <v>56</v>
      </c>
      <c r="AU343" t="s">
        <v>56</v>
      </c>
      <c r="AV343" t="s">
        <v>56</v>
      </c>
      <c r="AW343" t="s">
        <v>56</v>
      </c>
      <c r="AX343">
        <v>4</v>
      </c>
    </row>
    <row r="344" spans="1:50" x14ac:dyDescent="0.25">
      <c r="A344" t="str">
        <f>"20200128140017080537"</f>
        <v>20200128140017080537</v>
      </c>
      <c r="B344" t="s">
        <v>151</v>
      </c>
      <c r="C344" t="s">
        <v>151</v>
      </c>
      <c r="D344" t="s">
        <v>2086</v>
      </c>
      <c r="E344" t="str">
        <f>"470580002301"</f>
        <v>470580002301</v>
      </c>
      <c r="F344" t="s">
        <v>52</v>
      </c>
      <c r="G344">
        <v>819001107</v>
      </c>
      <c r="H344">
        <v>47058</v>
      </c>
      <c r="I344" t="s">
        <v>626</v>
      </c>
      <c r="J344">
        <v>4258152</v>
      </c>
      <c r="K344" t="s">
        <v>54</v>
      </c>
      <c r="L344">
        <v>22585117</v>
      </c>
      <c r="M344" t="s">
        <v>577</v>
      </c>
      <c r="N344" t="s">
        <v>627</v>
      </c>
      <c r="O344" t="s">
        <v>194</v>
      </c>
      <c r="P344" t="s">
        <v>517</v>
      </c>
      <c r="Q344">
        <v>472587</v>
      </c>
      <c r="R344" t="s">
        <v>237</v>
      </c>
      <c r="S344">
        <v>1081003372</v>
      </c>
      <c r="T344" t="s">
        <v>2087</v>
      </c>
      <c r="U344" t="s">
        <v>1371</v>
      </c>
      <c r="V344" t="s">
        <v>2088</v>
      </c>
      <c r="W344" t="s">
        <v>1393</v>
      </c>
      <c r="X344" t="s">
        <v>344</v>
      </c>
      <c r="Y344" t="s">
        <v>345</v>
      </c>
      <c r="Z344">
        <v>11</v>
      </c>
      <c r="AA344" t="s">
        <v>87</v>
      </c>
      <c r="AB344" t="s">
        <v>56</v>
      </c>
      <c r="AC344" t="s">
        <v>56</v>
      </c>
      <c r="AD344">
        <v>0</v>
      </c>
      <c r="AE344" t="s">
        <v>66</v>
      </c>
      <c r="AF344" t="s">
        <v>56</v>
      </c>
      <c r="AG344" t="s">
        <v>56</v>
      </c>
      <c r="AH344" t="s">
        <v>56</v>
      </c>
      <c r="AI344" t="s">
        <v>56</v>
      </c>
      <c r="AJ344" t="s">
        <v>1658</v>
      </c>
      <c r="AK344" t="s">
        <v>1659</v>
      </c>
      <c r="AL344" t="s">
        <v>56</v>
      </c>
      <c r="AM344" t="s">
        <v>56</v>
      </c>
      <c r="AN344" t="s">
        <v>56</v>
      </c>
      <c r="AO344" t="s">
        <v>56</v>
      </c>
      <c r="AP344" t="s">
        <v>56</v>
      </c>
      <c r="AQ344" t="s">
        <v>71</v>
      </c>
      <c r="AR344" t="s">
        <v>56</v>
      </c>
      <c r="AS344" t="s">
        <v>56</v>
      </c>
      <c r="AT344" t="s">
        <v>56</v>
      </c>
      <c r="AU344" t="s">
        <v>56</v>
      </c>
      <c r="AV344" t="s">
        <v>56</v>
      </c>
      <c r="AW344" t="s">
        <v>56</v>
      </c>
      <c r="AX344">
        <v>4</v>
      </c>
    </row>
    <row r="345" spans="1:50" x14ac:dyDescent="0.25">
      <c r="A345" t="str">
        <f>"20200127127017048406"</f>
        <v>20200127127017048406</v>
      </c>
      <c r="B345" t="s">
        <v>190</v>
      </c>
      <c r="C345" t="s">
        <v>190</v>
      </c>
      <c r="D345" t="s">
        <v>2089</v>
      </c>
      <c r="E345" t="str">
        <f>"134300068301"</f>
        <v>134300068301</v>
      </c>
      <c r="F345" t="s">
        <v>52</v>
      </c>
      <c r="G345">
        <v>900827631</v>
      </c>
      <c r="H345">
        <v>13430</v>
      </c>
      <c r="I345" t="s">
        <v>258</v>
      </c>
      <c r="J345">
        <v>3145812515</v>
      </c>
      <c r="K345" t="s">
        <v>54</v>
      </c>
      <c r="L345">
        <v>78733522</v>
      </c>
      <c r="M345" t="s">
        <v>259</v>
      </c>
      <c r="N345" t="s">
        <v>223</v>
      </c>
      <c r="O345" t="s">
        <v>179</v>
      </c>
      <c r="P345" t="s">
        <v>260</v>
      </c>
      <c r="Q345">
        <v>23306</v>
      </c>
      <c r="R345" t="s">
        <v>54</v>
      </c>
      <c r="S345">
        <v>9134515</v>
      </c>
      <c r="T345" t="s">
        <v>164</v>
      </c>
      <c r="U345" t="s">
        <v>2090</v>
      </c>
      <c r="V345" t="s">
        <v>108</v>
      </c>
      <c r="W345" t="s">
        <v>109</v>
      </c>
      <c r="X345" t="s">
        <v>183</v>
      </c>
      <c r="Y345" t="s">
        <v>101</v>
      </c>
      <c r="Z345">
        <v>12</v>
      </c>
      <c r="AA345" t="s">
        <v>65</v>
      </c>
      <c r="AB345" t="s">
        <v>56</v>
      </c>
      <c r="AC345" t="s">
        <v>56</v>
      </c>
      <c r="AD345">
        <v>0</v>
      </c>
      <c r="AE345" t="s">
        <v>66</v>
      </c>
      <c r="AF345" t="s">
        <v>56</v>
      </c>
      <c r="AG345" t="s">
        <v>56</v>
      </c>
      <c r="AH345" t="s">
        <v>56</v>
      </c>
      <c r="AI345" t="s">
        <v>56</v>
      </c>
      <c r="AJ345" t="s">
        <v>267</v>
      </c>
      <c r="AK345" t="s">
        <v>268</v>
      </c>
      <c r="AL345" t="s">
        <v>1696</v>
      </c>
      <c r="AM345" t="s">
        <v>1697</v>
      </c>
      <c r="AN345" t="s">
        <v>56</v>
      </c>
      <c r="AO345" t="s">
        <v>56</v>
      </c>
      <c r="AP345" t="s">
        <v>56</v>
      </c>
      <c r="AQ345" t="s">
        <v>71</v>
      </c>
      <c r="AR345" t="s">
        <v>56</v>
      </c>
      <c r="AS345" t="s">
        <v>56</v>
      </c>
      <c r="AT345" t="s">
        <v>56</v>
      </c>
      <c r="AU345" t="s">
        <v>56</v>
      </c>
      <c r="AV345" t="s">
        <v>56</v>
      </c>
      <c r="AW345" t="s">
        <v>56</v>
      </c>
      <c r="AX345">
        <v>4</v>
      </c>
    </row>
    <row r="346" spans="1:50" x14ac:dyDescent="0.25">
      <c r="A346" t="str">
        <f>"20200128188017081024"</f>
        <v>20200128188017081024</v>
      </c>
      <c r="B346" t="s">
        <v>151</v>
      </c>
      <c r="C346" t="s">
        <v>151</v>
      </c>
      <c r="D346" t="s">
        <v>2091</v>
      </c>
      <c r="E346" t="str">
        <f>"080010380001"</f>
        <v>080010380001</v>
      </c>
      <c r="F346" t="s">
        <v>52</v>
      </c>
      <c r="G346">
        <v>900665930</v>
      </c>
      <c r="H346" t="s">
        <v>112</v>
      </c>
      <c r="I346" t="s">
        <v>113</v>
      </c>
      <c r="J346">
        <v>3175759202</v>
      </c>
      <c r="K346" t="s">
        <v>54</v>
      </c>
      <c r="L346">
        <v>1129501755</v>
      </c>
      <c r="M346" t="s">
        <v>672</v>
      </c>
      <c r="N346" t="s">
        <v>638</v>
      </c>
      <c r="O346" t="s">
        <v>673</v>
      </c>
      <c r="P346" t="s">
        <v>629</v>
      </c>
      <c r="Q346">
        <v>1326505</v>
      </c>
      <c r="R346" t="s">
        <v>54</v>
      </c>
      <c r="S346">
        <v>22298015</v>
      </c>
      <c r="T346" t="s">
        <v>2092</v>
      </c>
      <c r="U346" t="s">
        <v>600</v>
      </c>
      <c r="V346" t="s">
        <v>1574</v>
      </c>
      <c r="W346" t="s">
        <v>2093</v>
      </c>
      <c r="X346" t="s">
        <v>120</v>
      </c>
      <c r="Y346" t="s">
        <v>121</v>
      </c>
      <c r="Z346">
        <v>12</v>
      </c>
      <c r="AA346" t="s">
        <v>65</v>
      </c>
      <c r="AB346" t="s">
        <v>56</v>
      </c>
      <c r="AC346" t="s">
        <v>56</v>
      </c>
      <c r="AD346">
        <v>0</v>
      </c>
      <c r="AE346" t="s">
        <v>66</v>
      </c>
      <c r="AF346" t="s">
        <v>56</v>
      </c>
      <c r="AG346" t="s">
        <v>56</v>
      </c>
      <c r="AH346" t="s">
        <v>56</v>
      </c>
      <c r="AI346" t="s">
        <v>56</v>
      </c>
      <c r="AJ346" t="s">
        <v>255</v>
      </c>
      <c r="AK346" t="s">
        <v>256</v>
      </c>
      <c r="AL346" t="s">
        <v>56</v>
      </c>
      <c r="AM346" t="s">
        <v>56</v>
      </c>
      <c r="AN346" t="s">
        <v>56</v>
      </c>
      <c r="AO346" t="s">
        <v>56</v>
      </c>
      <c r="AP346" t="s">
        <v>56</v>
      </c>
      <c r="AQ346" t="s">
        <v>71</v>
      </c>
      <c r="AR346" t="s">
        <v>56</v>
      </c>
      <c r="AS346" t="s">
        <v>56</v>
      </c>
      <c r="AT346" t="s">
        <v>56</v>
      </c>
      <c r="AU346" t="s">
        <v>56</v>
      </c>
      <c r="AV346" t="s">
        <v>56</v>
      </c>
      <c r="AW346" t="s">
        <v>56</v>
      </c>
      <c r="AX346">
        <v>4</v>
      </c>
    </row>
    <row r="347" spans="1:50" x14ac:dyDescent="0.25">
      <c r="A347" t="str">
        <f>"20200124118016999293"</f>
        <v>20200124118016999293</v>
      </c>
      <c r="B347" t="s">
        <v>201</v>
      </c>
      <c r="C347" t="s">
        <v>201</v>
      </c>
      <c r="D347" t="s">
        <v>2094</v>
      </c>
      <c r="E347" t="str">
        <f>"134300290801"</f>
        <v>134300290801</v>
      </c>
      <c r="F347" t="s">
        <v>52</v>
      </c>
      <c r="G347">
        <v>800033723</v>
      </c>
      <c r="H347">
        <v>13430</v>
      </c>
      <c r="I347" t="s">
        <v>1672</v>
      </c>
      <c r="J347">
        <v>3187117423</v>
      </c>
      <c r="K347" t="s">
        <v>54</v>
      </c>
      <c r="L347">
        <v>9273444</v>
      </c>
      <c r="M347" t="s">
        <v>76</v>
      </c>
      <c r="N347" t="s">
        <v>2095</v>
      </c>
      <c r="O347" t="s">
        <v>2096</v>
      </c>
      <c r="P347" t="s">
        <v>2097</v>
      </c>
      <c r="Q347">
        <v>9273444</v>
      </c>
      <c r="R347" t="s">
        <v>54</v>
      </c>
      <c r="S347">
        <v>22933674</v>
      </c>
      <c r="T347" t="s">
        <v>2098</v>
      </c>
      <c r="U347" t="s">
        <v>117</v>
      </c>
      <c r="V347" t="s">
        <v>317</v>
      </c>
      <c r="W347" t="s">
        <v>2099</v>
      </c>
      <c r="X347" t="s">
        <v>183</v>
      </c>
      <c r="Y347" t="s">
        <v>101</v>
      </c>
      <c r="Z347">
        <v>11</v>
      </c>
      <c r="AA347" t="s">
        <v>87</v>
      </c>
      <c r="AB347" t="s">
        <v>56</v>
      </c>
      <c r="AC347" t="s">
        <v>56</v>
      </c>
      <c r="AD347">
        <v>0</v>
      </c>
      <c r="AE347" t="s">
        <v>66</v>
      </c>
      <c r="AF347" t="s">
        <v>56</v>
      </c>
      <c r="AG347" t="s">
        <v>56</v>
      </c>
      <c r="AH347" t="s">
        <v>56</v>
      </c>
      <c r="AI347" t="s">
        <v>56</v>
      </c>
      <c r="AJ347" t="s">
        <v>1119</v>
      </c>
      <c r="AK347" t="s">
        <v>1120</v>
      </c>
      <c r="AL347" t="s">
        <v>215</v>
      </c>
      <c r="AM347" t="s">
        <v>216</v>
      </c>
      <c r="AN347" t="s">
        <v>56</v>
      </c>
      <c r="AO347" t="s">
        <v>56</v>
      </c>
      <c r="AP347" t="s">
        <v>56</v>
      </c>
      <c r="AQ347" t="s">
        <v>71</v>
      </c>
      <c r="AR347" t="s">
        <v>56</v>
      </c>
      <c r="AS347" t="s">
        <v>56</v>
      </c>
      <c r="AT347" t="s">
        <v>56</v>
      </c>
      <c r="AU347" t="s">
        <v>56</v>
      </c>
      <c r="AV347" t="s">
        <v>56</v>
      </c>
      <c r="AW347" t="s">
        <v>56</v>
      </c>
      <c r="AX347">
        <v>4</v>
      </c>
    </row>
    <row r="348" spans="1:50" x14ac:dyDescent="0.25">
      <c r="A348" t="str">
        <f>"20200130112017140414"</f>
        <v>20200130112017140414</v>
      </c>
      <c r="B348" t="s">
        <v>124</v>
      </c>
      <c r="C348" t="s">
        <v>124</v>
      </c>
      <c r="D348" t="s">
        <v>2100</v>
      </c>
      <c r="E348" t="str">
        <f>"700010006601"</f>
        <v>700010006601</v>
      </c>
      <c r="F348" t="s">
        <v>52</v>
      </c>
      <c r="G348">
        <v>892280033</v>
      </c>
      <c r="H348">
        <v>70001</v>
      </c>
      <c r="I348" t="s">
        <v>2101</v>
      </c>
      <c r="J348">
        <v>2823869</v>
      </c>
      <c r="K348" t="s">
        <v>54</v>
      </c>
      <c r="L348">
        <v>92497293</v>
      </c>
      <c r="M348" t="s">
        <v>854</v>
      </c>
      <c r="N348" t="s">
        <v>128</v>
      </c>
      <c r="O348" t="s">
        <v>324</v>
      </c>
      <c r="P348" t="s">
        <v>2102</v>
      </c>
      <c r="Q348">
        <v>14966</v>
      </c>
      <c r="R348" t="s">
        <v>54</v>
      </c>
      <c r="S348">
        <v>92258845</v>
      </c>
      <c r="T348" t="s">
        <v>164</v>
      </c>
      <c r="U348" t="s">
        <v>155</v>
      </c>
      <c r="V348" t="s">
        <v>2103</v>
      </c>
      <c r="W348" t="s">
        <v>2104</v>
      </c>
      <c r="X348" t="s">
        <v>1495</v>
      </c>
      <c r="Y348" t="s">
        <v>330</v>
      </c>
      <c r="Z348">
        <v>12</v>
      </c>
      <c r="AA348" t="s">
        <v>65</v>
      </c>
      <c r="AB348" t="s">
        <v>56</v>
      </c>
      <c r="AC348" t="s">
        <v>56</v>
      </c>
      <c r="AD348">
        <v>0</v>
      </c>
      <c r="AE348" t="s">
        <v>66</v>
      </c>
      <c r="AF348" t="s">
        <v>56</v>
      </c>
      <c r="AG348" t="s">
        <v>56</v>
      </c>
      <c r="AH348" t="s">
        <v>56</v>
      </c>
      <c r="AI348" t="s">
        <v>56</v>
      </c>
      <c r="AJ348" t="s">
        <v>255</v>
      </c>
      <c r="AK348" t="s">
        <v>256</v>
      </c>
      <c r="AL348" t="s">
        <v>56</v>
      </c>
      <c r="AM348" t="s">
        <v>56</v>
      </c>
      <c r="AN348" t="s">
        <v>56</v>
      </c>
      <c r="AO348" t="s">
        <v>56</v>
      </c>
      <c r="AP348" t="s">
        <v>56</v>
      </c>
      <c r="AQ348" t="s">
        <v>71</v>
      </c>
      <c r="AR348" t="s">
        <v>56</v>
      </c>
      <c r="AS348" t="s">
        <v>56</v>
      </c>
      <c r="AT348" t="s">
        <v>56</v>
      </c>
      <c r="AU348" t="s">
        <v>56</v>
      </c>
      <c r="AV348" t="s">
        <v>56</v>
      </c>
      <c r="AW348" t="s">
        <v>56</v>
      </c>
      <c r="AX348">
        <v>4</v>
      </c>
    </row>
    <row r="349" spans="1:50" x14ac:dyDescent="0.25">
      <c r="A349" t="str">
        <f>"20200131190017167914"</f>
        <v>20200131190017167914</v>
      </c>
      <c r="B349" t="s">
        <v>110</v>
      </c>
      <c r="C349" t="s">
        <v>110</v>
      </c>
      <c r="D349" t="s">
        <v>2105</v>
      </c>
      <c r="E349" t="str">
        <f>"700010069001"</f>
        <v>700010069001</v>
      </c>
      <c r="F349" t="s">
        <v>52</v>
      </c>
      <c r="G349">
        <v>823003836</v>
      </c>
      <c r="H349">
        <v>70001</v>
      </c>
      <c r="I349" t="s">
        <v>1756</v>
      </c>
      <c r="J349">
        <v>52746476</v>
      </c>
      <c r="K349" t="s">
        <v>54</v>
      </c>
      <c r="L349">
        <v>23220031</v>
      </c>
      <c r="M349" t="s">
        <v>1757</v>
      </c>
      <c r="N349" t="s">
        <v>1758</v>
      </c>
      <c r="O349" t="s">
        <v>109</v>
      </c>
      <c r="P349" t="s">
        <v>1759</v>
      </c>
      <c r="Q349">
        <v>23361</v>
      </c>
      <c r="R349" t="s">
        <v>237</v>
      </c>
      <c r="S349">
        <v>1005572981</v>
      </c>
      <c r="T349" t="s">
        <v>962</v>
      </c>
      <c r="U349" t="s">
        <v>638</v>
      </c>
      <c r="V349" t="s">
        <v>211</v>
      </c>
      <c r="W349" t="s">
        <v>403</v>
      </c>
      <c r="X349" t="s">
        <v>605</v>
      </c>
      <c r="Y349" t="s">
        <v>330</v>
      </c>
      <c r="Z349">
        <v>11</v>
      </c>
      <c r="AA349" t="s">
        <v>87</v>
      </c>
      <c r="AB349" t="s">
        <v>56</v>
      </c>
      <c r="AC349" t="s">
        <v>56</v>
      </c>
      <c r="AD349">
        <v>0</v>
      </c>
      <c r="AE349" t="s">
        <v>66</v>
      </c>
      <c r="AF349" t="s">
        <v>56</v>
      </c>
      <c r="AG349" t="s">
        <v>56</v>
      </c>
      <c r="AH349" t="s">
        <v>56</v>
      </c>
      <c r="AI349" t="s">
        <v>56</v>
      </c>
      <c r="AJ349" t="s">
        <v>2106</v>
      </c>
      <c r="AK349" t="s">
        <v>2107</v>
      </c>
      <c r="AL349" t="s">
        <v>2108</v>
      </c>
      <c r="AM349" t="s">
        <v>2109</v>
      </c>
      <c r="AN349" t="s">
        <v>56</v>
      </c>
      <c r="AO349" t="s">
        <v>56</v>
      </c>
      <c r="AP349" t="s">
        <v>56</v>
      </c>
      <c r="AQ349" t="s">
        <v>71</v>
      </c>
      <c r="AR349" t="s">
        <v>56</v>
      </c>
      <c r="AS349" t="s">
        <v>56</v>
      </c>
      <c r="AT349" t="s">
        <v>56</v>
      </c>
      <c r="AU349" t="s">
        <v>56</v>
      </c>
      <c r="AV349" t="s">
        <v>56</v>
      </c>
      <c r="AW349" t="s">
        <v>56</v>
      </c>
      <c r="AX349">
        <v>4</v>
      </c>
    </row>
    <row r="350" spans="1:50" x14ac:dyDescent="0.25">
      <c r="A350" t="str">
        <f>"20200128175017072948"</f>
        <v>20200128175017072948</v>
      </c>
      <c r="B350" t="s">
        <v>151</v>
      </c>
      <c r="C350" t="s">
        <v>151</v>
      </c>
      <c r="D350" t="s">
        <v>2110</v>
      </c>
      <c r="E350" t="str">
        <f>"230010011601"</f>
        <v>230010011601</v>
      </c>
      <c r="F350" t="s">
        <v>52</v>
      </c>
      <c r="G350">
        <v>812005522</v>
      </c>
      <c r="H350">
        <v>23001</v>
      </c>
      <c r="I350" t="s">
        <v>2111</v>
      </c>
      <c r="J350">
        <v>7917725</v>
      </c>
      <c r="K350" t="s">
        <v>54</v>
      </c>
      <c r="L350">
        <v>70031515</v>
      </c>
      <c r="M350" t="s">
        <v>854</v>
      </c>
      <c r="N350" t="s">
        <v>86</v>
      </c>
      <c r="O350" t="s">
        <v>1171</v>
      </c>
      <c r="P350" t="s">
        <v>2112</v>
      </c>
      <c r="Q350">
        <v>7359</v>
      </c>
      <c r="R350" t="s">
        <v>54</v>
      </c>
      <c r="S350">
        <v>25768924</v>
      </c>
      <c r="T350" t="s">
        <v>2113</v>
      </c>
      <c r="U350" t="s">
        <v>373</v>
      </c>
      <c r="V350" t="s">
        <v>1574</v>
      </c>
      <c r="W350" t="s">
        <v>608</v>
      </c>
      <c r="X350" t="s">
        <v>2114</v>
      </c>
      <c r="Y350" t="s">
        <v>136</v>
      </c>
      <c r="Z350">
        <v>12</v>
      </c>
      <c r="AA350" t="s">
        <v>65</v>
      </c>
      <c r="AB350" t="s">
        <v>56</v>
      </c>
      <c r="AC350" t="s">
        <v>56</v>
      </c>
      <c r="AD350">
        <v>0</v>
      </c>
      <c r="AE350" t="s">
        <v>66</v>
      </c>
      <c r="AF350" t="s">
        <v>56</v>
      </c>
      <c r="AG350" t="s">
        <v>56</v>
      </c>
      <c r="AH350" t="s">
        <v>56</v>
      </c>
      <c r="AI350" t="s">
        <v>56</v>
      </c>
      <c r="AJ350" t="s">
        <v>2115</v>
      </c>
      <c r="AK350" t="s">
        <v>2116</v>
      </c>
      <c r="AL350" t="s">
        <v>56</v>
      </c>
      <c r="AM350" t="s">
        <v>56</v>
      </c>
      <c r="AN350" t="s">
        <v>56</v>
      </c>
      <c r="AO350" t="s">
        <v>56</v>
      </c>
      <c r="AP350" t="s">
        <v>56</v>
      </c>
      <c r="AQ350" t="s">
        <v>71</v>
      </c>
      <c r="AR350" t="s">
        <v>56</v>
      </c>
      <c r="AS350" t="s">
        <v>56</v>
      </c>
      <c r="AT350" t="s">
        <v>56</v>
      </c>
      <c r="AU350" t="s">
        <v>56</v>
      </c>
      <c r="AV350" t="s">
        <v>56</v>
      </c>
      <c r="AW350" t="s">
        <v>56</v>
      </c>
      <c r="AX350">
        <v>4</v>
      </c>
    </row>
    <row r="351" spans="1:50" x14ac:dyDescent="0.25">
      <c r="A351" t="str">
        <f>"20200129170017103756"</f>
        <v>20200129170017103756</v>
      </c>
      <c r="B351" t="s">
        <v>72</v>
      </c>
      <c r="C351" t="s">
        <v>72</v>
      </c>
      <c r="D351" t="s">
        <v>2117</v>
      </c>
      <c r="E351" t="str">
        <f>"230010113401"</f>
        <v>230010113401</v>
      </c>
      <c r="F351" t="s">
        <v>52</v>
      </c>
      <c r="G351">
        <v>830504734</v>
      </c>
      <c r="H351">
        <v>23001</v>
      </c>
      <c r="I351" t="s">
        <v>2118</v>
      </c>
      <c r="J351">
        <v>57477910608</v>
      </c>
      <c r="K351" t="s">
        <v>54</v>
      </c>
      <c r="L351">
        <v>63511769</v>
      </c>
      <c r="M351" t="s">
        <v>2119</v>
      </c>
      <c r="N351" t="s">
        <v>56</v>
      </c>
      <c r="O351" t="s">
        <v>2120</v>
      </c>
      <c r="P351" t="s">
        <v>742</v>
      </c>
      <c r="Q351">
        <v>44299</v>
      </c>
      <c r="R351" t="s">
        <v>54</v>
      </c>
      <c r="S351">
        <v>25768924</v>
      </c>
      <c r="T351" t="s">
        <v>2113</v>
      </c>
      <c r="U351" t="s">
        <v>373</v>
      </c>
      <c r="V351" t="s">
        <v>1574</v>
      </c>
      <c r="W351" t="s">
        <v>608</v>
      </c>
      <c r="X351" t="s">
        <v>2114</v>
      </c>
      <c r="Y351" t="s">
        <v>136</v>
      </c>
      <c r="Z351">
        <v>12</v>
      </c>
      <c r="AA351" t="s">
        <v>65</v>
      </c>
      <c r="AB351" t="s">
        <v>56</v>
      </c>
      <c r="AC351" t="s">
        <v>56</v>
      </c>
      <c r="AD351">
        <v>0</v>
      </c>
      <c r="AE351" t="s">
        <v>66</v>
      </c>
      <c r="AF351" t="s">
        <v>56</v>
      </c>
      <c r="AG351" t="s">
        <v>56</v>
      </c>
      <c r="AH351" t="s">
        <v>56</v>
      </c>
      <c r="AI351" t="s">
        <v>56</v>
      </c>
      <c r="AJ351" t="s">
        <v>2121</v>
      </c>
      <c r="AK351" t="s">
        <v>2122</v>
      </c>
      <c r="AL351" t="s">
        <v>56</v>
      </c>
      <c r="AM351" t="s">
        <v>56</v>
      </c>
      <c r="AN351" t="s">
        <v>56</v>
      </c>
      <c r="AO351" t="s">
        <v>56</v>
      </c>
      <c r="AP351" t="s">
        <v>56</v>
      </c>
      <c r="AQ351" t="s">
        <v>71</v>
      </c>
      <c r="AR351" t="s">
        <v>56</v>
      </c>
      <c r="AS351" t="s">
        <v>56</v>
      </c>
      <c r="AT351" t="s">
        <v>56</v>
      </c>
      <c r="AU351" t="s">
        <v>56</v>
      </c>
      <c r="AV351" t="s">
        <v>56</v>
      </c>
      <c r="AW351" t="s">
        <v>56</v>
      </c>
      <c r="AX351">
        <v>4</v>
      </c>
    </row>
    <row r="352" spans="1:50" x14ac:dyDescent="0.25">
      <c r="A352" t="str">
        <f>"20200130178017153491"</f>
        <v>20200130178017153491</v>
      </c>
      <c r="B352" t="s">
        <v>124</v>
      </c>
      <c r="C352" t="s">
        <v>124</v>
      </c>
      <c r="D352" t="s">
        <v>2123</v>
      </c>
      <c r="E352" t="str">
        <f>"270010103801"</f>
        <v>270010103801</v>
      </c>
      <c r="F352" t="s">
        <v>52</v>
      </c>
      <c r="G352">
        <v>900771065</v>
      </c>
      <c r="H352">
        <v>27001</v>
      </c>
      <c r="I352" t="s">
        <v>1122</v>
      </c>
      <c r="J352">
        <v>3122303518</v>
      </c>
      <c r="K352" t="s">
        <v>54</v>
      </c>
      <c r="L352">
        <v>11814040</v>
      </c>
      <c r="M352" t="s">
        <v>1123</v>
      </c>
      <c r="N352" t="s">
        <v>86</v>
      </c>
      <c r="O352" t="s">
        <v>1124</v>
      </c>
      <c r="P352" t="s">
        <v>108</v>
      </c>
      <c r="Q352">
        <v>271126</v>
      </c>
      <c r="R352" t="s">
        <v>54</v>
      </c>
      <c r="S352">
        <v>26277139</v>
      </c>
      <c r="T352" t="s">
        <v>345</v>
      </c>
      <c r="U352" t="s">
        <v>62</v>
      </c>
      <c r="V352" t="s">
        <v>2124</v>
      </c>
      <c r="W352" t="s">
        <v>715</v>
      </c>
      <c r="X352" t="s">
        <v>2125</v>
      </c>
      <c r="Y352" t="s">
        <v>717</v>
      </c>
      <c r="Z352">
        <v>11</v>
      </c>
      <c r="AA352" t="s">
        <v>87</v>
      </c>
      <c r="AB352" t="s">
        <v>56</v>
      </c>
      <c r="AC352" t="s">
        <v>56</v>
      </c>
      <c r="AD352">
        <v>0</v>
      </c>
      <c r="AE352" t="s">
        <v>66</v>
      </c>
      <c r="AF352" t="s">
        <v>56</v>
      </c>
      <c r="AG352" t="s">
        <v>56</v>
      </c>
      <c r="AH352" t="s">
        <v>56</v>
      </c>
      <c r="AI352" t="s">
        <v>56</v>
      </c>
      <c r="AJ352" t="s">
        <v>2126</v>
      </c>
      <c r="AK352" t="s">
        <v>2127</v>
      </c>
      <c r="AL352" t="s">
        <v>56</v>
      </c>
      <c r="AM352" t="s">
        <v>56</v>
      </c>
      <c r="AN352" t="s">
        <v>56</v>
      </c>
      <c r="AO352" t="s">
        <v>56</v>
      </c>
      <c r="AP352" t="s">
        <v>56</v>
      </c>
      <c r="AQ352" t="s">
        <v>71</v>
      </c>
      <c r="AR352" t="s">
        <v>56</v>
      </c>
      <c r="AS352" t="s">
        <v>56</v>
      </c>
      <c r="AT352" t="s">
        <v>56</v>
      </c>
      <c r="AU352" t="s">
        <v>56</v>
      </c>
      <c r="AV352" t="s">
        <v>56</v>
      </c>
      <c r="AW352" t="s">
        <v>56</v>
      </c>
      <c r="AX352">
        <v>4</v>
      </c>
    </row>
    <row r="353" spans="1:50" x14ac:dyDescent="0.25">
      <c r="A353" t="str">
        <f>"20200127165017063238"</f>
        <v>20200127165017063238</v>
      </c>
      <c r="B353" t="s">
        <v>190</v>
      </c>
      <c r="C353" t="s">
        <v>190</v>
      </c>
      <c r="D353" t="s">
        <v>2128</v>
      </c>
      <c r="E353" t="str">
        <f>"130010025101"</f>
        <v>130010025101</v>
      </c>
      <c r="F353" t="s">
        <v>52</v>
      </c>
      <c r="G353">
        <v>806004756</v>
      </c>
      <c r="H353">
        <v>13001</v>
      </c>
      <c r="I353" t="s">
        <v>2129</v>
      </c>
      <c r="J353">
        <v>6517111</v>
      </c>
      <c r="K353" t="s">
        <v>54</v>
      </c>
      <c r="L353">
        <v>17091766</v>
      </c>
      <c r="M353" t="s">
        <v>1928</v>
      </c>
      <c r="N353" t="s">
        <v>2130</v>
      </c>
      <c r="O353" t="s">
        <v>99</v>
      </c>
      <c r="P353" t="s">
        <v>2131</v>
      </c>
      <c r="Q353">
        <v>17091766</v>
      </c>
      <c r="R353" t="s">
        <v>54</v>
      </c>
      <c r="S353">
        <v>817720</v>
      </c>
      <c r="T353" t="s">
        <v>2132</v>
      </c>
      <c r="U353" t="s">
        <v>128</v>
      </c>
      <c r="V353" t="s">
        <v>2133</v>
      </c>
      <c r="W353" t="s">
        <v>179</v>
      </c>
      <c r="X353" t="s">
        <v>1288</v>
      </c>
      <c r="Y353" t="s">
        <v>101</v>
      </c>
      <c r="Z353">
        <v>12</v>
      </c>
      <c r="AA353" t="s">
        <v>65</v>
      </c>
      <c r="AB353" t="s">
        <v>56</v>
      </c>
      <c r="AC353" t="s">
        <v>56</v>
      </c>
      <c r="AD353">
        <v>0</v>
      </c>
      <c r="AE353" t="s">
        <v>66</v>
      </c>
      <c r="AF353" t="s">
        <v>56</v>
      </c>
      <c r="AG353" t="s">
        <v>56</v>
      </c>
      <c r="AH353" t="s">
        <v>56</v>
      </c>
      <c r="AI353" t="s">
        <v>56</v>
      </c>
      <c r="AJ353" t="s">
        <v>545</v>
      </c>
      <c r="AK353" t="s">
        <v>546</v>
      </c>
      <c r="AL353" t="s">
        <v>56</v>
      </c>
      <c r="AM353" t="s">
        <v>56</v>
      </c>
      <c r="AN353" t="s">
        <v>56</v>
      </c>
      <c r="AO353" t="s">
        <v>56</v>
      </c>
      <c r="AP353" t="s">
        <v>56</v>
      </c>
      <c r="AQ353" t="s">
        <v>71</v>
      </c>
      <c r="AR353" t="s">
        <v>56</v>
      </c>
      <c r="AS353" t="s">
        <v>56</v>
      </c>
      <c r="AT353" t="s">
        <v>56</v>
      </c>
      <c r="AU353" t="s">
        <v>56</v>
      </c>
      <c r="AV353" t="s">
        <v>56</v>
      </c>
      <c r="AW353" t="s">
        <v>56</v>
      </c>
      <c r="AX353">
        <v>4</v>
      </c>
    </row>
    <row r="354" spans="1:50" x14ac:dyDescent="0.25">
      <c r="A354" t="str">
        <f>"20200129160017121298"</f>
        <v>20200129160017121298</v>
      </c>
      <c r="B354" t="s">
        <v>72</v>
      </c>
      <c r="C354" t="s">
        <v>72</v>
      </c>
      <c r="D354" t="s">
        <v>2134</v>
      </c>
      <c r="E354" t="str">
        <f>"200010162601"</f>
        <v>200010162601</v>
      </c>
      <c r="F354" t="s">
        <v>52</v>
      </c>
      <c r="G354">
        <v>900552539</v>
      </c>
      <c r="H354">
        <v>20001</v>
      </c>
      <c r="I354" t="s">
        <v>140</v>
      </c>
      <c r="J354">
        <v>3003009498</v>
      </c>
      <c r="K354" t="s">
        <v>54</v>
      </c>
      <c r="L354">
        <v>1129572448</v>
      </c>
      <c r="M354" t="s">
        <v>141</v>
      </c>
      <c r="N354" t="s">
        <v>142</v>
      </c>
      <c r="O354" t="s">
        <v>143</v>
      </c>
      <c r="P354" t="s">
        <v>144</v>
      </c>
      <c r="Q354">
        <v>86169</v>
      </c>
      <c r="R354" t="s">
        <v>54</v>
      </c>
      <c r="S354">
        <v>12521499</v>
      </c>
      <c r="T354" t="s">
        <v>2135</v>
      </c>
      <c r="U354" t="s">
        <v>1645</v>
      </c>
      <c r="V354" t="s">
        <v>2136</v>
      </c>
      <c r="W354" t="s">
        <v>2137</v>
      </c>
      <c r="X354" t="s">
        <v>462</v>
      </c>
      <c r="Y354" t="s">
        <v>86</v>
      </c>
      <c r="Z354">
        <v>12</v>
      </c>
      <c r="AA354" t="s">
        <v>65</v>
      </c>
      <c r="AB354" t="s">
        <v>56</v>
      </c>
      <c r="AC354" t="s">
        <v>56</v>
      </c>
      <c r="AD354">
        <v>0</v>
      </c>
      <c r="AE354" t="s">
        <v>66</v>
      </c>
      <c r="AF354" t="s">
        <v>56</v>
      </c>
      <c r="AG354" t="s">
        <v>56</v>
      </c>
      <c r="AH354" t="s">
        <v>56</v>
      </c>
      <c r="AI354" t="s">
        <v>56</v>
      </c>
      <c r="AJ354" t="s">
        <v>2138</v>
      </c>
      <c r="AK354" t="s">
        <v>2139</v>
      </c>
      <c r="AL354" t="s">
        <v>56</v>
      </c>
      <c r="AM354" t="s">
        <v>56</v>
      </c>
      <c r="AN354" t="s">
        <v>56</v>
      </c>
      <c r="AO354" t="s">
        <v>56</v>
      </c>
      <c r="AP354" t="s">
        <v>56</v>
      </c>
      <c r="AQ354" t="s">
        <v>71</v>
      </c>
      <c r="AR354" t="s">
        <v>56</v>
      </c>
      <c r="AS354" t="s">
        <v>56</v>
      </c>
      <c r="AT354" t="s">
        <v>56</v>
      </c>
      <c r="AU354" t="s">
        <v>56</v>
      </c>
      <c r="AV354" t="s">
        <v>56</v>
      </c>
      <c r="AW354" t="s">
        <v>56</v>
      </c>
      <c r="AX354">
        <v>4</v>
      </c>
    </row>
    <row r="355" spans="1:50" x14ac:dyDescent="0.25">
      <c r="A355" t="str">
        <f>"20200127183017064844"</f>
        <v>20200127183017064844</v>
      </c>
      <c r="B355" t="s">
        <v>190</v>
      </c>
      <c r="C355" t="s">
        <v>190</v>
      </c>
      <c r="D355" t="s">
        <v>2140</v>
      </c>
      <c r="E355" t="str">
        <f>"200010038901"</f>
        <v>200010038901</v>
      </c>
      <c r="F355" t="s">
        <v>52</v>
      </c>
      <c r="G355">
        <v>824004867</v>
      </c>
      <c r="H355">
        <v>20001</v>
      </c>
      <c r="I355" t="s">
        <v>1232</v>
      </c>
      <c r="J355" t="s">
        <v>1233</v>
      </c>
      <c r="K355" t="s">
        <v>54</v>
      </c>
      <c r="L355">
        <v>73009095</v>
      </c>
      <c r="M355" t="s">
        <v>127</v>
      </c>
      <c r="N355" t="s">
        <v>1012</v>
      </c>
      <c r="O355" t="s">
        <v>364</v>
      </c>
      <c r="P355" t="s">
        <v>1234</v>
      </c>
      <c r="Q355">
        <v>73009095</v>
      </c>
      <c r="R355" t="s">
        <v>54</v>
      </c>
      <c r="S355">
        <v>12395761</v>
      </c>
      <c r="T355" t="s">
        <v>423</v>
      </c>
      <c r="U355" t="s">
        <v>380</v>
      </c>
      <c r="V355" t="s">
        <v>2141</v>
      </c>
      <c r="W355" t="s">
        <v>1108</v>
      </c>
      <c r="X355" t="s">
        <v>2142</v>
      </c>
      <c r="Y355" t="s">
        <v>86</v>
      </c>
      <c r="Z355">
        <v>12</v>
      </c>
      <c r="AA355" t="s">
        <v>65</v>
      </c>
      <c r="AB355" t="s">
        <v>56</v>
      </c>
      <c r="AC355" t="s">
        <v>56</v>
      </c>
      <c r="AD355">
        <v>0</v>
      </c>
      <c r="AE355" t="s">
        <v>66</v>
      </c>
      <c r="AF355" t="s">
        <v>56</v>
      </c>
      <c r="AG355" t="s">
        <v>56</v>
      </c>
      <c r="AH355" t="s">
        <v>56</v>
      </c>
      <c r="AI355" t="s">
        <v>56</v>
      </c>
      <c r="AJ355" t="s">
        <v>545</v>
      </c>
      <c r="AK355" t="s">
        <v>546</v>
      </c>
      <c r="AL355" t="s">
        <v>56</v>
      </c>
      <c r="AM355" t="s">
        <v>56</v>
      </c>
      <c r="AN355" t="s">
        <v>56</v>
      </c>
      <c r="AO355" t="s">
        <v>56</v>
      </c>
      <c r="AP355" t="s">
        <v>56</v>
      </c>
      <c r="AQ355" t="s">
        <v>71</v>
      </c>
      <c r="AR355" t="s">
        <v>56</v>
      </c>
      <c r="AS355" t="s">
        <v>56</v>
      </c>
      <c r="AT355" t="s">
        <v>56</v>
      </c>
      <c r="AU355" t="s">
        <v>56</v>
      </c>
      <c r="AV355" t="s">
        <v>56</v>
      </c>
      <c r="AW355" t="s">
        <v>56</v>
      </c>
      <c r="AX355">
        <v>4</v>
      </c>
    </row>
    <row r="356" spans="1:50" x14ac:dyDescent="0.25">
      <c r="A356" t="str">
        <f>"20200130134017145471"</f>
        <v>20200130134017145471</v>
      </c>
      <c r="B356" t="s">
        <v>124</v>
      </c>
      <c r="C356" t="s">
        <v>124</v>
      </c>
      <c r="D356" t="s">
        <v>2143</v>
      </c>
      <c r="E356" t="str">
        <f>"764000165501"</f>
        <v>764000165501</v>
      </c>
      <c r="F356" t="s">
        <v>52</v>
      </c>
      <c r="G356">
        <v>891900367</v>
      </c>
      <c r="H356">
        <v>76400</v>
      </c>
      <c r="I356" t="s">
        <v>2144</v>
      </c>
      <c r="J356" t="s">
        <v>2145</v>
      </c>
      <c r="K356" t="s">
        <v>54</v>
      </c>
      <c r="L356">
        <v>1116268056</v>
      </c>
      <c r="M356" t="s">
        <v>259</v>
      </c>
      <c r="N356" t="s">
        <v>1463</v>
      </c>
      <c r="O356" t="s">
        <v>1680</v>
      </c>
      <c r="P356" t="s">
        <v>1092</v>
      </c>
      <c r="Q356" t="s">
        <v>2146</v>
      </c>
      <c r="R356" t="s">
        <v>54</v>
      </c>
      <c r="S356">
        <v>1112627565</v>
      </c>
      <c r="T356" t="s">
        <v>117</v>
      </c>
      <c r="U356" t="s">
        <v>196</v>
      </c>
      <c r="V356" t="s">
        <v>1585</v>
      </c>
      <c r="W356" t="s">
        <v>405</v>
      </c>
      <c r="X356" t="s">
        <v>1337</v>
      </c>
      <c r="Y356" t="s">
        <v>64</v>
      </c>
      <c r="Z356">
        <v>12</v>
      </c>
      <c r="AA356" t="s">
        <v>65</v>
      </c>
      <c r="AB356" t="s">
        <v>56</v>
      </c>
      <c r="AC356" t="s">
        <v>56</v>
      </c>
      <c r="AD356">
        <v>0</v>
      </c>
      <c r="AE356" t="s">
        <v>66</v>
      </c>
      <c r="AF356" t="s">
        <v>56</v>
      </c>
      <c r="AG356" t="s">
        <v>56</v>
      </c>
      <c r="AH356" t="s">
        <v>56</v>
      </c>
      <c r="AI356" t="s">
        <v>56</v>
      </c>
      <c r="AJ356" t="s">
        <v>1785</v>
      </c>
      <c r="AK356" t="s">
        <v>1786</v>
      </c>
      <c r="AL356" t="s">
        <v>333</v>
      </c>
      <c r="AM356" t="s">
        <v>334</v>
      </c>
      <c r="AN356" t="s">
        <v>2147</v>
      </c>
      <c r="AO356" t="s">
        <v>2148</v>
      </c>
      <c r="AP356" t="s">
        <v>56</v>
      </c>
      <c r="AQ356" t="s">
        <v>71</v>
      </c>
      <c r="AR356" t="s">
        <v>56</v>
      </c>
      <c r="AS356" t="s">
        <v>56</v>
      </c>
      <c r="AT356" t="s">
        <v>56</v>
      </c>
      <c r="AU356" t="s">
        <v>56</v>
      </c>
      <c r="AV356" t="s">
        <v>56</v>
      </c>
      <c r="AW356" t="s">
        <v>56</v>
      </c>
      <c r="AX356">
        <v>4</v>
      </c>
    </row>
    <row r="357" spans="1:50" x14ac:dyDescent="0.25">
      <c r="A357" t="str">
        <f>"20200129166017120808"</f>
        <v>20200129166017120808</v>
      </c>
      <c r="B357" t="s">
        <v>72</v>
      </c>
      <c r="C357" t="s">
        <v>72</v>
      </c>
      <c r="D357" t="s">
        <v>2149</v>
      </c>
      <c r="E357" t="str">
        <f>"080010122201"</f>
        <v>080010122201</v>
      </c>
      <c r="F357" t="s">
        <v>52</v>
      </c>
      <c r="G357">
        <v>890116783</v>
      </c>
      <c r="H357" t="s">
        <v>112</v>
      </c>
      <c r="I357" t="s">
        <v>1796</v>
      </c>
      <c r="J357">
        <v>3781220</v>
      </c>
      <c r="K357" t="s">
        <v>54</v>
      </c>
      <c r="L357">
        <v>55313760</v>
      </c>
      <c r="M357" t="s">
        <v>1780</v>
      </c>
      <c r="N357" t="s">
        <v>56</v>
      </c>
      <c r="O357" t="s">
        <v>1976</v>
      </c>
      <c r="P357" t="s">
        <v>2150</v>
      </c>
      <c r="Q357">
        <v>20169389</v>
      </c>
      <c r="R357" t="s">
        <v>54</v>
      </c>
      <c r="S357">
        <v>1042448327</v>
      </c>
      <c r="T357" t="s">
        <v>2151</v>
      </c>
      <c r="U357" t="s">
        <v>424</v>
      </c>
      <c r="V357" t="s">
        <v>240</v>
      </c>
      <c r="W357" t="s">
        <v>376</v>
      </c>
      <c r="X357" t="s">
        <v>299</v>
      </c>
      <c r="Y357" t="s">
        <v>121</v>
      </c>
      <c r="Z357">
        <v>12</v>
      </c>
      <c r="AA357" t="s">
        <v>65</v>
      </c>
      <c r="AB357" t="s">
        <v>56</v>
      </c>
      <c r="AC357" t="s">
        <v>56</v>
      </c>
      <c r="AD357">
        <v>0</v>
      </c>
      <c r="AE357" t="s">
        <v>66</v>
      </c>
      <c r="AF357" t="s">
        <v>56</v>
      </c>
      <c r="AG357" t="s">
        <v>56</v>
      </c>
      <c r="AH357" t="s">
        <v>56</v>
      </c>
      <c r="AI357" t="s">
        <v>56</v>
      </c>
      <c r="AJ357" t="s">
        <v>2152</v>
      </c>
      <c r="AK357" t="s">
        <v>2153</v>
      </c>
      <c r="AL357" t="s">
        <v>56</v>
      </c>
      <c r="AM357" t="s">
        <v>56</v>
      </c>
      <c r="AN357" t="s">
        <v>56</v>
      </c>
      <c r="AO357" t="s">
        <v>56</v>
      </c>
      <c r="AP357" t="s">
        <v>56</v>
      </c>
      <c r="AQ357" t="s">
        <v>71</v>
      </c>
      <c r="AR357" t="s">
        <v>56</v>
      </c>
      <c r="AS357" t="s">
        <v>56</v>
      </c>
      <c r="AT357" t="s">
        <v>56</v>
      </c>
      <c r="AU357" t="s">
        <v>56</v>
      </c>
      <c r="AV357" t="s">
        <v>56</v>
      </c>
      <c r="AW357" t="s">
        <v>56</v>
      </c>
      <c r="AX357">
        <v>4</v>
      </c>
    </row>
    <row r="358" spans="1:50" x14ac:dyDescent="0.25">
      <c r="A358" t="str">
        <f>"20200131123017169102"</f>
        <v>20200131123017169102</v>
      </c>
      <c r="B358" t="s">
        <v>110</v>
      </c>
      <c r="C358" t="s">
        <v>110</v>
      </c>
      <c r="D358" t="s">
        <v>2154</v>
      </c>
      <c r="E358" t="str">
        <f>"086380021701"</f>
        <v>086380021701</v>
      </c>
      <c r="F358" t="s">
        <v>52</v>
      </c>
      <c r="G358">
        <v>802009783</v>
      </c>
      <c r="H358" t="s">
        <v>246</v>
      </c>
      <c r="I358" t="s">
        <v>562</v>
      </c>
      <c r="J358" t="s">
        <v>56</v>
      </c>
      <c r="K358" t="s">
        <v>54</v>
      </c>
      <c r="L358">
        <v>8646785</v>
      </c>
      <c r="M358" t="s">
        <v>2155</v>
      </c>
      <c r="N358" t="s">
        <v>128</v>
      </c>
      <c r="O358" t="s">
        <v>2156</v>
      </c>
      <c r="P358" t="s">
        <v>568</v>
      </c>
      <c r="Q358" t="s">
        <v>2157</v>
      </c>
      <c r="R358" t="s">
        <v>54</v>
      </c>
      <c r="S358">
        <v>22699006</v>
      </c>
      <c r="T358" t="s">
        <v>2158</v>
      </c>
      <c r="U358" t="s">
        <v>2159</v>
      </c>
      <c r="V358" t="s">
        <v>487</v>
      </c>
      <c r="W358" t="s">
        <v>2011</v>
      </c>
      <c r="X358" t="s">
        <v>590</v>
      </c>
      <c r="Y358" t="s">
        <v>121</v>
      </c>
      <c r="Z358">
        <v>11</v>
      </c>
      <c r="AA358" t="s">
        <v>87</v>
      </c>
      <c r="AB358" t="s">
        <v>56</v>
      </c>
      <c r="AC358" t="s">
        <v>56</v>
      </c>
      <c r="AD358">
        <v>0</v>
      </c>
      <c r="AE358" t="s">
        <v>66</v>
      </c>
      <c r="AF358" t="s">
        <v>56</v>
      </c>
      <c r="AG358" t="s">
        <v>56</v>
      </c>
      <c r="AH358" t="s">
        <v>56</v>
      </c>
      <c r="AI358" t="s">
        <v>56</v>
      </c>
      <c r="AJ358" t="s">
        <v>2160</v>
      </c>
      <c r="AK358" t="s">
        <v>2161</v>
      </c>
      <c r="AL358" t="s">
        <v>56</v>
      </c>
      <c r="AM358" t="s">
        <v>56</v>
      </c>
      <c r="AN358" t="s">
        <v>56</v>
      </c>
      <c r="AO358" t="s">
        <v>56</v>
      </c>
      <c r="AP358" t="s">
        <v>56</v>
      </c>
      <c r="AQ358" t="s">
        <v>71</v>
      </c>
      <c r="AR358" t="s">
        <v>56</v>
      </c>
      <c r="AS358" t="s">
        <v>56</v>
      </c>
      <c r="AT358" t="s">
        <v>56</v>
      </c>
      <c r="AU358" t="s">
        <v>56</v>
      </c>
      <c r="AV358" t="s">
        <v>56</v>
      </c>
      <c r="AW358" t="s">
        <v>56</v>
      </c>
      <c r="AX358">
        <v>4</v>
      </c>
    </row>
    <row r="359" spans="1:50" x14ac:dyDescent="0.25">
      <c r="A359" t="str">
        <f>"20200130154017134418"</f>
        <v>20200130154017134418</v>
      </c>
      <c r="B359" t="s">
        <v>124</v>
      </c>
      <c r="C359" t="s">
        <v>124</v>
      </c>
      <c r="D359" t="s">
        <v>2162</v>
      </c>
      <c r="E359" t="str">
        <f>"080010054401"</f>
        <v>080010054401</v>
      </c>
      <c r="F359" t="s">
        <v>52</v>
      </c>
      <c r="G359">
        <v>800194798</v>
      </c>
      <c r="H359" t="s">
        <v>112</v>
      </c>
      <c r="I359" t="s">
        <v>616</v>
      </c>
      <c r="J359" t="s">
        <v>56</v>
      </c>
      <c r="K359" t="s">
        <v>54</v>
      </c>
      <c r="L359">
        <v>91260499</v>
      </c>
      <c r="M359" t="s">
        <v>1492</v>
      </c>
      <c r="N359" t="s">
        <v>155</v>
      </c>
      <c r="O359" t="s">
        <v>2163</v>
      </c>
      <c r="P359" t="s">
        <v>2164</v>
      </c>
      <c r="Q359">
        <v>1170</v>
      </c>
      <c r="R359" t="s">
        <v>54</v>
      </c>
      <c r="S359">
        <v>22398246</v>
      </c>
      <c r="T359" t="s">
        <v>504</v>
      </c>
      <c r="U359" t="s">
        <v>2165</v>
      </c>
      <c r="V359" t="s">
        <v>1962</v>
      </c>
      <c r="W359" t="s">
        <v>2166</v>
      </c>
      <c r="X359" t="s">
        <v>120</v>
      </c>
      <c r="Y359" t="s">
        <v>121</v>
      </c>
      <c r="Z359">
        <v>12</v>
      </c>
      <c r="AA359" t="s">
        <v>65</v>
      </c>
      <c r="AB359" t="s">
        <v>56</v>
      </c>
      <c r="AC359" t="s">
        <v>56</v>
      </c>
      <c r="AD359">
        <v>0</v>
      </c>
      <c r="AE359" t="s">
        <v>66</v>
      </c>
      <c r="AF359" t="s">
        <v>56</v>
      </c>
      <c r="AG359" t="s">
        <v>56</v>
      </c>
      <c r="AH359" t="s">
        <v>56</v>
      </c>
      <c r="AI359" t="s">
        <v>56</v>
      </c>
      <c r="AJ359" t="s">
        <v>160</v>
      </c>
      <c r="AK359" t="s">
        <v>161</v>
      </c>
      <c r="AL359" t="s">
        <v>56</v>
      </c>
      <c r="AM359" t="s">
        <v>56</v>
      </c>
      <c r="AN359" t="s">
        <v>56</v>
      </c>
      <c r="AO359" t="s">
        <v>56</v>
      </c>
      <c r="AP359" t="s">
        <v>56</v>
      </c>
      <c r="AQ359" t="s">
        <v>71</v>
      </c>
      <c r="AR359" t="s">
        <v>56</v>
      </c>
      <c r="AS359" t="s">
        <v>56</v>
      </c>
      <c r="AT359" t="s">
        <v>56</v>
      </c>
      <c r="AU359" t="s">
        <v>56</v>
      </c>
      <c r="AV359" t="s">
        <v>56</v>
      </c>
      <c r="AW359" t="s">
        <v>56</v>
      </c>
      <c r="AX359">
        <v>4</v>
      </c>
    </row>
    <row r="360" spans="1:50" x14ac:dyDescent="0.25">
      <c r="A360" t="str">
        <f>"20200131172017169235"</f>
        <v>20200131172017169235</v>
      </c>
      <c r="B360" t="s">
        <v>110</v>
      </c>
      <c r="C360" t="s">
        <v>110</v>
      </c>
      <c r="D360" t="s">
        <v>2167</v>
      </c>
      <c r="E360" t="str">
        <f>"134300077501"</f>
        <v>134300077501</v>
      </c>
      <c r="F360" t="s">
        <v>52</v>
      </c>
      <c r="G360">
        <v>823002800</v>
      </c>
      <c r="H360">
        <v>13430</v>
      </c>
      <c r="I360" t="s">
        <v>539</v>
      </c>
      <c r="J360">
        <v>3107315890</v>
      </c>
      <c r="K360" t="s">
        <v>54</v>
      </c>
      <c r="L360">
        <v>92520392</v>
      </c>
      <c r="M360" t="s">
        <v>540</v>
      </c>
      <c r="N360" t="s">
        <v>164</v>
      </c>
      <c r="O360" t="s">
        <v>376</v>
      </c>
      <c r="P360" t="s">
        <v>109</v>
      </c>
      <c r="Q360">
        <v>282</v>
      </c>
      <c r="R360" t="s">
        <v>54</v>
      </c>
      <c r="S360">
        <v>1046398524</v>
      </c>
      <c r="T360" t="s">
        <v>2168</v>
      </c>
      <c r="U360" t="s">
        <v>62</v>
      </c>
      <c r="V360" t="s">
        <v>2169</v>
      </c>
      <c r="W360" t="s">
        <v>262</v>
      </c>
      <c r="X360" t="s">
        <v>100</v>
      </c>
      <c r="Y360" t="s">
        <v>101</v>
      </c>
      <c r="Z360">
        <v>12</v>
      </c>
      <c r="AA360" t="s">
        <v>65</v>
      </c>
      <c r="AB360" t="s">
        <v>56</v>
      </c>
      <c r="AC360" t="s">
        <v>56</v>
      </c>
      <c r="AD360">
        <v>0</v>
      </c>
      <c r="AE360" t="s">
        <v>66</v>
      </c>
      <c r="AF360" t="s">
        <v>56</v>
      </c>
      <c r="AG360" t="s">
        <v>56</v>
      </c>
      <c r="AH360" t="s">
        <v>56</v>
      </c>
      <c r="AI360" t="s">
        <v>56</v>
      </c>
      <c r="AJ360" t="s">
        <v>2003</v>
      </c>
      <c r="AK360" t="s">
        <v>2004</v>
      </c>
      <c r="AL360" t="s">
        <v>56</v>
      </c>
      <c r="AM360" t="s">
        <v>56</v>
      </c>
      <c r="AN360" t="s">
        <v>56</v>
      </c>
      <c r="AO360" t="s">
        <v>56</v>
      </c>
      <c r="AP360" t="s">
        <v>56</v>
      </c>
      <c r="AQ360" t="s">
        <v>71</v>
      </c>
      <c r="AR360" t="s">
        <v>56</v>
      </c>
      <c r="AS360" t="s">
        <v>56</v>
      </c>
      <c r="AT360" t="s">
        <v>56</v>
      </c>
      <c r="AU360" t="s">
        <v>56</v>
      </c>
      <c r="AV360" t="s">
        <v>56</v>
      </c>
      <c r="AW360" t="s">
        <v>56</v>
      </c>
      <c r="AX360">
        <v>4</v>
      </c>
    </row>
    <row r="361" spans="1:50" x14ac:dyDescent="0.25">
      <c r="A361" t="str">
        <f>"20200124166017007673"</f>
        <v>20200124166017007673</v>
      </c>
      <c r="B361" t="s">
        <v>201</v>
      </c>
      <c r="C361" t="s">
        <v>201</v>
      </c>
      <c r="D361" t="s">
        <v>2170</v>
      </c>
      <c r="E361" t="str">
        <f>"700010018501"</f>
        <v>700010018501</v>
      </c>
      <c r="F361" t="s">
        <v>52</v>
      </c>
      <c r="G361">
        <v>823002342</v>
      </c>
      <c r="H361">
        <v>70001</v>
      </c>
      <c r="I361" t="s">
        <v>1932</v>
      </c>
      <c r="J361">
        <v>2820285</v>
      </c>
      <c r="K361" t="s">
        <v>54</v>
      </c>
      <c r="L361">
        <v>7570687</v>
      </c>
      <c r="M361" t="s">
        <v>2171</v>
      </c>
      <c r="N361" t="s">
        <v>261</v>
      </c>
      <c r="O361" t="s">
        <v>2172</v>
      </c>
      <c r="P361" t="s">
        <v>502</v>
      </c>
      <c r="Q361">
        <v>7570687</v>
      </c>
      <c r="R361" t="s">
        <v>54</v>
      </c>
      <c r="S361">
        <v>23222088</v>
      </c>
      <c r="T361" t="s">
        <v>1321</v>
      </c>
      <c r="U361" t="s">
        <v>600</v>
      </c>
      <c r="V361" t="s">
        <v>207</v>
      </c>
      <c r="W361" t="s">
        <v>315</v>
      </c>
      <c r="X361" t="s">
        <v>1542</v>
      </c>
      <c r="Y361" t="s">
        <v>330</v>
      </c>
      <c r="Z361">
        <v>12</v>
      </c>
      <c r="AA361" t="s">
        <v>65</v>
      </c>
      <c r="AB361" t="s">
        <v>56</v>
      </c>
      <c r="AC361" t="s">
        <v>56</v>
      </c>
      <c r="AD361">
        <v>0</v>
      </c>
      <c r="AE361" t="s">
        <v>66</v>
      </c>
      <c r="AF361" t="s">
        <v>56</v>
      </c>
      <c r="AG361" t="s">
        <v>56</v>
      </c>
      <c r="AH361" t="s">
        <v>56</v>
      </c>
      <c r="AI361" t="s">
        <v>56</v>
      </c>
      <c r="AJ361" t="s">
        <v>2173</v>
      </c>
      <c r="AK361" t="s">
        <v>2174</v>
      </c>
      <c r="AL361" t="s">
        <v>56</v>
      </c>
      <c r="AM361" t="s">
        <v>56</v>
      </c>
      <c r="AN361" t="s">
        <v>56</v>
      </c>
      <c r="AO361" t="s">
        <v>56</v>
      </c>
      <c r="AP361" t="s">
        <v>56</v>
      </c>
      <c r="AQ361" t="s">
        <v>71</v>
      </c>
      <c r="AR361" t="s">
        <v>56</v>
      </c>
      <c r="AS361" t="s">
        <v>56</v>
      </c>
      <c r="AT361" t="s">
        <v>56</v>
      </c>
      <c r="AU361" t="s">
        <v>56</v>
      </c>
      <c r="AV361" t="s">
        <v>56</v>
      </c>
      <c r="AW361" t="s">
        <v>56</v>
      </c>
      <c r="AX361">
        <v>4</v>
      </c>
    </row>
    <row r="362" spans="1:50" x14ac:dyDescent="0.25">
      <c r="A362" t="str">
        <f>"20200128116017071410"</f>
        <v>20200128116017071410</v>
      </c>
      <c r="B362" t="s">
        <v>151</v>
      </c>
      <c r="C362" t="s">
        <v>151</v>
      </c>
      <c r="D362" t="s">
        <v>2175</v>
      </c>
      <c r="E362" t="str">
        <f>"080010003716"</f>
        <v>080010003716</v>
      </c>
      <c r="F362" t="s">
        <v>52</v>
      </c>
      <c r="G362">
        <v>890102768</v>
      </c>
      <c r="H362" t="s">
        <v>112</v>
      </c>
      <c r="I362" t="s">
        <v>2176</v>
      </c>
      <c r="J362">
        <v>3165362310</v>
      </c>
      <c r="K362" t="s">
        <v>54</v>
      </c>
      <c r="L362">
        <v>1045745674</v>
      </c>
      <c r="M362" t="s">
        <v>2177</v>
      </c>
      <c r="N362" t="s">
        <v>196</v>
      </c>
      <c r="O362" t="s">
        <v>442</v>
      </c>
      <c r="P362" t="s">
        <v>169</v>
      </c>
      <c r="Q362">
        <v>1045745674</v>
      </c>
      <c r="R362" t="s">
        <v>54</v>
      </c>
      <c r="S362">
        <v>8688849</v>
      </c>
      <c r="T362" t="s">
        <v>1012</v>
      </c>
      <c r="U362" t="s">
        <v>128</v>
      </c>
      <c r="V362" t="s">
        <v>1305</v>
      </c>
      <c r="W362" t="s">
        <v>2178</v>
      </c>
      <c r="X362" t="s">
        <v>299</v>
      </c>
      <c r="Y362" t="s">
        <v>121</v>
      </c>
      <c r="Z362">
        <v>11</v>
      </c>
      <c r="AA362" t="s">
        <v>87</v>
      </c>
      <c r="AB362" t="s">
        <v>56</v>
      </c>
      <c r="AC362" t="s">
        <v>56</v>
      </c>
      <c r="AD362">
        <v>0</v>
      </c>
      <c r="AE362" t="s">
        <v>66</v>
      </c>
      <c r="AF362" t="s">
        <v>56</v>
      </c>
      <c r="AG362" t="s">
        <v>56</v>
      </c>
      <c r="AH362" t="s">
        <v>56</v>
      </c>
      <c r="AI362" t="s">
        <v>56</v>
      </c>
      <c r="AJ362" t="s">
        <v>122</v>
      </c>
      <c r="AK362" t="s">
        <v>123</v>
      </c>
      <c r="AL362" t="s">
        <v>2179</v>
      </c>
      <c r="AM362" t="s">
        <v>2180</v>
      </c>
      <c r="AN362" t="s">
        <v>2181</v>
      </c>
      <c r="AO362" t="s">
        <v>2182</v>
      </c>
      <c r="AP362" t="s">
        <v>56</v>
      </c>
      <c r="AQ362" t="s">
        <v>71</v>
      </c>
      <c r="AR362" t="s">
        <v>56</v>
      </c>
      <c r="AS362" t="s">
        <v>56</v>
      </c>
      <c r="AT362" t="s">
        <v>56</v>
      </c>
      <c r="AU362" t="s">
        <v>56</v>
      </c>
      <c r="AV362" t="s">
        <v>56</v>
      </c>
      <c r="AW362" t="s">
        <v>56</v>
      </c>
      <c r="AX362">
        <v>4</v>
      </c>
    </row>
    <row r="363" spans="1:50" x14ac:dyDescent="0.25">
      <c r="A363" t="str">
        <f>"20200126177017037250"</f>
        <v>20200126177017037250</v>
      </c>
      <c r="B363" t="s">
        <v>244</v>
      </c>
      <c r="C363" t="s">
        <v>244</v>
      </c>
      <c r="D363" t="s">
        <v>2183</v>
      </c>
      <c r="E363" t="str">
        <f>"080010349401"</f>
        <v>080010349401</v>
      </c>
      <c r="F363" t="s">
        <v>52</v>
      </c>
      <c r="G363">
        <v>900458308</v>
      </c>
      <c r="H363" t="s">
        <v>112</v>
      </c>
      <c r="I363" t="s">
        <v>370</v>
      </c>
      <c r="J363" t="s">
        <v>371</v>
      </c>
      <c r="K363" t="s">
        <v>54</v>
      </c>
      <c r="L363">
        <v>1143378811</v>
      </c>
      <c r="M363" t="s">
        <v>372</v>
      </c>
      <c r="N363" t="s">
        <v>373</v>
      </c>
      <c r="O363" t="s">
        <v>109</v>
      </c>
      <c r="P363" t="s">
        <v>374</v>
      </c>
      <c r="Q363">
        <v>1143378811</v>
      </c>
      <c r="R363" t="s">
        <v>54</v>
      </c>
      <c r="S363">
        <v>26753693</v>
      </c>
      <c r="T363" t="s">
        <v>1766</v>
      </c>
      <c r="U363" t="s">
        <v>648</v>
      </c>
      <c r="V363" t="s">
        <v>99</v>
      </c>
      <c r="W363" t="s">
        <v>425</v>
      </c>
      <c r="X363" t="s">
        <v>120</v>
      </c>
      <c r="Y363" t="s">
        <v>121</v>
      </c>
      <c r="Z363">
        <v>12</v>
      </c>
      <c r="AA363" t="s">
        <v>65</v>
      </c>
      <c r="AB363" t="s">
        <v>56</v>
      </c>
      <c r="AC363" t="s">
        <v>56</v>
      </c>
      <c r="AD363">
        <v>0</v>
      </c>
      <c r="AE363" t="s">
        <v>66</v>
      </c>
      <c r="AF363" t="s">
        <v>56</v>
      </c>
      <c r="AG363" t="s">
        <v>56</v>
      </c>
      <c r="AH363" t="s">
        <v>56</v>
      </c>
      <c r="AI363" t="s">
        <v>56</v>
      </c>
      <c r="AJ363" t="s">
        <v>356</v>
      </c>
      <c r="AK363" t="s">
        <v>357</v>
      </c>
      <c r="AL363" t="s">
        <v>255</v>
      </c>
      <c r="AM363" t="s">
        <v>256</v>
      </c>
      <c r="AN363" t="s">
        <v>56</v>
      </c>
      <c r="AO363" t="s">
        <v>56</v>
      </c>
      <c r="AP363" t="s">
        <v>56</v>
      </c>
      <c r="AQ363" t="s">
        <v>71</v>
      </c>
      <c r="AR363" t="s">
        <v>56</v>
      </c>
      <c r="AS363" t="s">
        <v>56</v>
      </c>
      <c r="AT363" t="s">
        <v>56</v>
      </c>
      <c r="AU363" t="s">
        <v>56</v>
      </c>
      <c r="AV363" t="s">
        <v>56</v>
      </c>
      <c r="AW363" t="s">
        <v>56</v>
      </c>
      <c r="AX363">
        <v>4</v>
      </c>
    </row>
    <row r="364" spans="1:50" x14ac:dyDescent="0.25">
      <c r="A364" t="str">
        <f>"20200126156017037255"</f>
        <v>20200126156017037255</v>
      </c>
      <c r="B364" t="s">
        <v>244</v>
      </c>
      <c r="C364" t="s">
        <v>244</v>
      </c>
      <c r="D364" t="s">
        <v>2184</v>
      </c>
      <c r="E364" t="str">
        <f>"080010349401"</f>
        <v>080010349401</v>
      </c>
      <c r="F364" t="s">
        <v>52</v>
      </c>
      <c r="G364">
        <v>900458308</v>
      </c>
      <c r="H364" t="s">
        <v>112</v>
      </c>
      <c r="I364" t="s">
        <v>370</v>
      </c>
      <c r="J364" t="s">
        <v>371</v>
      </c>
      <c r="K364" t="s">
        <v>54</v>
      </c>
      <c r="L364">
        <v>1143378811</v>
      </c>
      <c r="M364" t="s">
        <v>372</v>
      </c>
      <c r="N364" t="s">
        <v>373</v>
      </c>
      <c r="O364" t="s">
        <v>109</v>
      </c>
      <c r="P364" t="s">
        <v>374</v>
      </c>
      <c r="Q364">
        <v>1143378811</v>
      </c>
      <c r="R364" t="s">
        <v>54</v>
      </c>
      <c r="S364">
        <v>26753693</v>
      </c>
      <c r="T364" t="s">
        <v>1766</v>
      </c>
      <c r="U364" t="s">
        <v>648</v>
      </c>
      <c r="V364" t="s">
        <v>99</v>
      </c>
      <c r="W364" t="s">
        <v>425</v>
      </c>
      <c r="X364" t="s">
        <v>120</v>
      </c>
      <c r="Y364" t="s">
        <v>121</v>
      </c>
      <c r="Z364">
        <v>12</v>
      </c>
      <c r="AA364" t="s">
        <v>65</v>
      </c>
      <c r="AB364" t="s">
        <v>56</v>
      </c>
      <c r="AC364" t="s">
        <v>56</v>
      </c>
      <c r="AD364">
        <v>0</v>
      </c>
      <c r="AE364" t="s">
        <v>66</v>
      </c>
      <c r="AF364" t="s">
        <v>56</v>
      </c>
      <c r="AG364" t="s">
        <v>56</v>
      </c>
      <c r="AH364" t="s">
        <v>56</v>
      </c>
      <c r="AI364" t="s">
        <v>56</v>
      </c>
      <c r="AJ364" t="s">
        <v>1895</v>
      </c>
      <c r="AK364" t="s">
        <v>1896</v>
      </c>
      <c r="AL364" t="s">
        <v>56</v>
      </c>
      <c r="AM364" t="s">
        <v>56</v>
      </c>
      <c r="AN364" t="s">
        <v>56</v>
      </c>
      <c r="AO364" t="s">
        <v>56</v>
      </c>
      <c r="AP364" t="s">
        <v>56</v>
      </c>
      <c r="AQ364" t="s">
        <v>71</v>
      </c>
      <c r="AR364" t="s">
        <v>56</v>
      </c>
      <c r="AS364" t="s">
        <v>56</v>
      </c>
      <c r="AT364" t="s">
        <v>56</v>
      </c>
      <c r="AU364" t="s">
        <v>56</v>
      </c>
      <c r="AV364" t="s">
        <v>56</v>
      </c>
      <c r="AW364" t="s">
        <v>56</v>
      </c>
      <c r="AX364">
        <v>4</v>
      </c>
    </row>
    <row r="365" spans="1:50" x14ac:dyDescent="0.25">
      <c r="A365" t="str">
        <f>"20200127167017041862"</f>
        <v>20200127167017041862</v>
      </c>
      <c r="B365" t="s">
        <v>190</v>
      </c>
      <c r="C365" t="s">
        <v>190</v>
      </c>
      <c r="D365" t="s">
        <v>2185</v>
      </c>
      <c r="E365" t="str">
        <f>"200600164501"</f>
        <v>200600164501</v>
      </c>
      <c r="F365" t="s">
        <v>52</v>
      </c>
      <c r="G365">
        <v>900498069</v>
      </c>
      <c r="H365">
        <v>20060</v>
      </c>
      <c r="I365" t="s">
        <v>2186</v>
      </c>
      <c r="J365">
        <v>301693038</v>
      </c>
      <c r="K365" t="s">
        <v>54</v>
      </c>
      <c r="L365">
        <v>1127359606</v>
      </c>
      <c r="M365" t="s">
        <v>2187</v>
      </c>
      <c r="N365" t="s">
        <v>2188</v>
      </c>
      <c r="O365" t="s">
        <v>2189</v>
      </c>
      <c r="P365" t="s">
        <v>1918</v>
      </c>
      <c r="Q365">
        <v>1127359606</v>
      </c>
      <c r="R365" t="s">
        <v>54</v>
      </c>
      <c r="S365">
        <v>26756302</v>
      </c>
      <c r="T365" t="s">
        <v>504</v>
      </c>
      <c r="U365" t="s">
        <v>804</v>
      </c>
      <c r="V365" t="s">
        <v>2190</v>
      </c>
      <c r="W365" t="s">
        <v>2191</v>
      </c>
      <c r="X365" t="s">
        <v>2192</v>
      </c>
      <c r="Y365" t="s">
        <v>86</v>
      </c>
      <c r="Z365">
        <v>11</v>
      </c>
      <c r="AA365" t="s">
        <v>87</v>
      </c>
      <c r="AB365" t="s">
        <v>56</v>
      </c>
      <c r="AC365" t="s">
        <v>56</v>
      </c>
      <c r="AD365">
        <v>0</v>
      </c>
      <c r="AE365" t="s">
        <v>66</v>
      </c>
      <c r="AF365" t="s">
        <v>56</v>
      </c>
      <c r="AG365" t="s">
        <v>56</v>
      </c>
      <c r="AH365" t="s">
        <v>56</v>
      </c>
      <c r="AI365" t="s">
        <v>56</v>
      </c>
      <c r="AJ365" t="s">
        <v>2193</v>
      </c>
      <c r="AK365" t="s">
        <v>2194</v>
      </c>
      <c r="AL365" t="s">
        <v>2195</v>
      </c>
      <c r="AM365" t="s">
        <v>2196</v>
      </c>
      <c r="AN365" t="s">
        <v>56</v>
      </c>
      <c r="AO365" t="s">
        <v>56</v>
      </c>
      <c r="AP365" t="s">
        <v>56</v>
      </c>
      <c r="AQ365" t="s">
        <v>71</v>
      </c>
      <c r="AR365" t="s">
        <v>56</v>
      </c>
      <c r="AS365" t="s">
        <v>56</v>
      </c>
      <c r="AT365" t="s">
        <v>56</v>
      </c>
      <c r="AU365" t="s">
        <v>56</v>
      </c>
      <c r="AV365" t="s">
        <v>56</v>
      </c>
      <c r="AW365" t="s">
        <v>56</v>
      </c>
      <c r="AX365">
        <v>4</v>
      </c>
    </row>
    <row r="366" spans="1:50" x14ac:dyDescent="0.25">
      <c r="A366" t="str">
        <f>"20200127152017042179"</f>
        <v>20200127152017042179</v>
      </c>
      <c r="B366" t="s">
        <v>190</v>
      </c>
      <c r="C366" t="s">
        <v>190</v>
      </c>
      <c r="D366" t="s">
        <v>2197</v>
      </c>
      <c r="E366" t="str">
        <f>"200600164501"</f>
        <v>200600164501</v>
      </c>
      <c r="F366" t="s">
        <v>52</v>
      </c>
      <c r="G366">
        <v>900498069</v>
      </c>
      <c r="H366">
        <v>20060</v>
      </c>
      <c r="I366" t="s">
        <v>2186</v>
      </c>
      <c r="J366">
        <v>301693038</v>
      </c>
      <c r="K366" t="s">
        <v>54</v>
      </c>
      <c r="L366">
        <v>1127359606</v>
      </c>
      <c r="M366" t="s">
        <v>2187</v>
      </c>
      <c r="N366" t="s">
        <v>2188</v>
      </c>
      <c r="O366" t="s">
        <v>2189</v>
      </c>
      <c r="P366" t="s">
        <v>1918</v>
      </c>
      <c r="Q366">
        <v>1127359606</v>
      </c>
      <c r="R366" t="s">
        <v>54</v>
      </c>
      <c r="S366">
        <v>26756302</v>
      </c>
      <c r="T366" t="s">
        <v>504</v>
      </c>
      <c r="U366" t="s">
        <v>804</v>
      </c>
      <c r="V366" t="s">
        <v>2190</v>
      </c>
      <c r="W366" t="s">
        <v>2191</v>
      </c>
      <c r="X366" t="s">
        <v>2192</v>
      </c>
      <c r="Y366" t="s">
        <v>86</v>
      </c>
      <c r="Z366">
        <v>11</v>
      </c>
      <c r="AA366" t="s">
        <v>87</v>
      </c>
      <c r="AB366" t="s">
        <v>56</v>
      </c>
      <c r="AC366" t="s">
        <v>56</v>
      </c>
      <c r="AD366">
        <v>0</v>
      </c>
      <c r="AE366" t="s">
        <v>66</v>
      </c>
      <c r="AF366" t="s">
        <v>56</v>
      </c>
      <c r="AG366" t="s">
        <v>56</v>
      </c>
      <c r="AH366" t="s">
        <v>56</v>
      </c>
      <c r="AI366" t="s">
        <v>56</v>
      </c>
      <c r="AJ366" t="s">
        <v>1570</v>
      </c>
      <c r="AK366" t="s">
        <v>1571</v>
      </c>
      <c r="AL366" t="s">
        <v>56</v>
      </c>
      <c r="AM366" t="s">
        <v>56</v>
      </c>
      <c r="AN366" t="s">
        <v>56</v>
      </c>
      <c r="AO366" t="s">
        <v>56</v>
      </c>
      <c r="AP366" t="s">
        <v>56</v>
      </c>
      <c r="AQ366" t="s">
        <v>71</v>
      </c>
      <c r="AR366" t="s">
        <v>56</v>
      </c>
      <c r="AS366" t="s">
        <v>56</v>
      </c>
      <c r="AT366" t="s">
        <v>56</v>
      </c>
      <c r="AU366" t="s">
        <v>56</v>
      </c>
      <c r="AV366" t="s">
        <v>56</v>
      </c>
      <c r="AW366" t="s">
        <v>56</v>
      </c>
      <c r="AX366">
        <v>4</v>
      </c>
    </row>
    <row r="367" spans="1:50" x14ac:dyDescent="0.25">
      <c r="A367" t="str">
        <f>"20200128135017078564"</f>
        <v>20200128135017078564</v>
      </c>
      <c r="B367" t="s">
        <v>151</v>
      </c>
      <c r="C367" t="s">
        <v>151</v>
      </c>
      <c r="D367" t="s">
        <v>2198</v>
      </c>
      <c r="E367" t="str">
        <f>"700010096901"</f>
        <v>700010096901</v>
      </c>
      <c r="F367" t="s">
        <v>52</v>
      </c>
      <c r="G367">
        <v>900118990</v>
      </c>
      <c r="H367">
        <v>70001</v>
      </c>
      <c r="I367" t="s">
        <v>869</v>
      </c>
      <c r="J367">
        <v>2761605</v>
      </c>
      <c r="K367" t="s">
        <v>54</v>
      </c>
      <c r="L367">
        <v>1104010331</v>
      </c>
      <c r="M367" t="s">
        <v>2199</v>
      </c>
      <c r="N367" t="s">
        <v>2200</v>
      </c>
      <c r="O367" t="s">
        <v>84</v>
      </c>
      <c r="P367" t="s">
        <v>179</v>
      </c>
      <c r="Q367" t="s">
        <v>2201</v>
      </c>
      <c r="R367" t="s">
        <v>54</v>
      </c>
      <c r="S367">
        <v>1099964595</v>
      </c>
      <c r="T367" t="s">
        <v>1954</v>
      </c>
      <c r="U367" t="s">
        <v>299</v>
      </c>
      <c r="V367" t="s">
        <v>775</v>
      </c>
      <c r="W367" t="s">
        <v>938</v>
      </c>
      <c r="X367" t="s">
        <v>135</v>
      </c>
      <c r="Y367" t="s">
        <v>330</v>
      </c>
      <c r="Z367">
        <v>11</v>
      </c>
      <c r="AA367" t="s">
        <v>87</v>
      </c>
      <c r="AB367" t="s">
        <v>56</v>
      </c>
      <c r="AC367" t="s">
        <v>56</v>
      </c>
      <c r="AD367">
        <v>0</v>
      </c>
      <c r="AE367" t="s">
        <v>66</v>
      </c>
      <c r="AF367" t="s">
        <v>56</v>
      </c>
      <c r="AG367" t="s">
        <v>56</v>
      </c>
      <c r="AH367" t="s">
        <v>56</v>
      </c>
      <c r="AI367" t="s">
        <v>56</v>
      </c>
      <c r="AJ367" t="s">
        <v>122</v>
      </c>
      <c r="AK367" t="s">
        <v>123</v>
      </c>
      <c r="AL367" t="s">
        <v>2202</v>
      </c>
      <c r="AM367" t="s">
        <v>2203</v>
      </c>
      <c r="AN367" t="s">
        <v>56</v>
      </c>
      <c r="AO367" t="s">
        <v>56</v>
      </c>
      <c r="AP367" t="s">
        <v>56</v>
      </c>
      <c r="AQ367" t="s">
        <v>71</v>
      </c>
      <c r="AR367" t="s">
        <v>56</v>
      </c>
      <c r="AS367" t="s">
        <v>56</v>
      </c>
      <c r="AT367" t="s">
        <v>56</v>
      </c>
      <c r="AU367" t="s">
        <v>56</v>
      </c>
      <c r="AV367" t="s">
        <v>56</v>
      </c>
      <c r="AW367" t="s">
        <v>56</v>
      </c>
      <c r="AX367">
        <v>4</v>
      </c>
    </row>
    <row r="368" spans="1:50" x14ac:dyDescent="0.25">
      <c r="A368" t="str">
        <f>"20200131115017162609"</f>
        <v>20200131115017162609</v>
      </c>
      <c r="B368" t="s">
        <v>110</v>
      </c>
      <c r="C368" t="s">
        <v>110</v>
      </c>
      <c r="D368" t="s">
        <v>2204</v>
      </c>
      <c r="E368" t="str">
        <f>"200010038901"</f>
        <v>200010038901</v>
      </c>
      <c r="F368" t="s">
        <v>52</v>
      </c>
      <c r="G368">
        <v>824004867</v>
      </c>
      <c r="H368">
        <v>20001</v>
      </c>
      <c r="I368" t="s">
        <v>1232</v>
      </c>
      <c r="J368" t="s">
        <v>1233</v>
      </c>
      <c r="K368" t="s">
        <v>54</v>
      </c>
      <c r="L368">
        <v>8711046</v>
      </c>
      <c r="M368" t="s">
        <v>261</v>
      </c>
      <c r="N368" t="s">
        <v>164</v>
      </c>
      <c r="O368" t="s">
        <v>343</v>
      </c>
      <c r="P368" t="s">
        <v>362</v>
      </c>
      <c r="Q368">
        <v>11109</v>
      </c>
      <c r="R368" t="s">
        <v>54</v>
      </c>
      <c r="S368">
        <v>26706758</v>
      </c>
      <c r="T368" t="s">
        <v>2205</v>
      </c>
      <c r="U368" t="s">
        <v>62</v>
      </c>
      <c r="V368" t="s">
        <v>2206</v>
      </c>
      <c r="W368" t="s">
        <v>2207</v>
      </c>
      <c r="X368" t="s">
        <v>462</v>
      </c>
      <c r="Y368" t="s">
        <v>86</v>
      </c>
      <c r="Z368">
        <v>12</v>
      </c>
      <c r="AA368" t="s">
        <v>65</v>
      </c>
      <c r="AB368" t="s">
        <v>56</v>
      </c>
      <c r="AC368" t="s">
        <v>56</v>
      </c>
      <c r="AD368">
        <v>0</v>
      </c>
      <c r="AE368" t="s">
        <v>66</v>
      </c>
      <c r="AF368" t="s">
        <v>56</v>
      </c>
      <c r="AG368" t="s">
        <v>56</v>
      </c>
      <c r="AH368" t="s">
        <v>56</v>
      </c>
      <c r="AI368" t="s">
        <v>56</v>
      </c>
      <c r="AJ368" t="s">
        <v>1330</v>
      </c>
      <c r="AK368" t="s">
        <v>1331</v>
      </c>
      <c r="AL368" t="s">
        <v>56</v>
      </c>
      <c r="AM368" t="s">
        <v>56</v>
      </c>
      <c r="AN368" t="s">
        <v>56</v>
      </c>
      <c r="AO368" t="s">
        <v>56</v>
      </c>
      <c r="AP368" t="s">
        <v>56</v>
      </c>
      <c r="AQ368" t="s">
        <v>71</v>
      </c>
      <c r="AR368" t="s">
        <v>56</v>
      </c>
      <c r="AS368" t="s">
        <v>56</v>
      </c>
      <c r="AT368" t="s">
        <v>56</v>
      </c>
      <c r="AU368" t="s">
        <v>56</v>
      </c>
      <c r="AV368" t="s">
        <v>56</v>
      </c>
      <c r="AW368" t="s">
        <v>56</v>
      </c>
      <c r="AX368">
        <v>4</v>
      </c>
    </row>
    <row r="369" spans="1:50" x14ac:dyDescent="0.25">
      <c r="A369" t="str">
        <f>"20200128113017081437"</f>
        <v>20200128113017081437</v>
      </c>
      <c r="B369" t="s">
        <v>151</v>
      </c>
      <c r="C369" t="s">
        <v>151</v>
      </c>
      <c r="D369" t="s">
        <v>2208</v>
      </c>
      <c r="E369" t="str">
        <f>"080010380001"</f>
        <v>080010380001</v>
      </c>
      <c r="F369" t="s">
        <v>52</v>
      </c>
      <c r="G369">
        <v>900665930</v>
      </c>
      <c r="H369" t="s">
        <v>112</v>
      </c>
      <c r="I369" t="s">
        <v>113</v>
      </c>
      <c r="J369">
        <v>3175759202</v>
      </c>
      <c r="K369" t="s">
        <v>54</v>
      </c>
      <c r="L369">
        <v>1129501755</v>
      </c>
      <c r="M369" t="s">
        <v>672</v>
      </c>
      <c r="N369" t="s">
        <v>638</v>
      </c>
      <c r="O369" t="s">
        <v>673</v>
      </c>
      <c r="P369" t="s">
        <v>629</v>
      </c>
      <c r="Q369">
        <v>1326505</v>
      </c>
      <c r="R369" t="s">
        <v>54</v>
      </c>
      <c r="S369">
        <v>26661225</v>
      </c>
      <c r="T369" t="s">
        <v>979</v>
      </c>
      <c r="U369" t="s">
        <v>62</v>
      </c>
      <c r="V369" t="s">
        <v>560</v>
      </c>
      <c r="W369" t="s">
        <v>775</v>
      </c>
      <c r="X369" t="s">
        <v>120</v>
      </c>
      <c r="Y369" t="s">
        <v>121</v>
      </c>
      <c r="Z369">
        <v>12</v>
      </c>
      <c r="AA369" t="s">
        <v>65</v>
      </c>
      <c r="AB369" t="s">
        <v>56</v>
      </c>
      <c r="AC369" t="s">
        <v>56</v>
      </c>
      <c r="AD369">
        <v>0</v>
      </c>
      <c r="AE369" t="s">
        <v>66</v>
      </c>
      <c r="AF369" t="s">
        <v>56</v>
      </c>
      <c r="AG369" t="s">
        <v>56</v>
      </c>
      <c r="AH369" t="s">
        <v>56</v>
      </c>
      <c r="AI369" t="s">
        <v>56</v>
      </c>
      <c r="AJ369" t="s">
        <v>255</v>
      </c>
      <c r="AK369" t="s">
        <v>256</v>
      </c>
      <c r="AL369" t="s">
        <v>356</v>
      </c>
      <c r="AM369" t="s">
        <v>357</v>
      </c>
      <c r="AN369" t="s">
        <v>56</v>
      </c>
      <c r="AO369" t="s">
        <v>56</v>
      </c>
      <c r="AP369" t="s">
        <v>56</v>
      </c>
      <c r="AQ369" t="s">
        <v>71</v>
      </c>
      <c r="AR369" t="s">
        <v>56</v>
      </c>
      <c r="AS369" t="s">
        <v>56</v>
      </c>
      <c r="AT369" t="s">
        <v>56</v>
      </c>
      <c r="AU369" t="s">
        <v>56</v>
      </c>
      <c r="AV369" t="s">
        <v>56</v>
      </c>
      <c r="AW369" t="s">
        <v>56</v>
      </c>
      <c r="AX369">
        <v>4</v>
      </c>
    </row>
    <row r="370" spans="1:50" x14ac:dyDescent="0.25">
      <c r="A370" t="str">
        <f>"20200124153017010343"</f>
        <v>20200124153017010343</v>
      </c>
      <c r="B370" t="s">
        <v>201</v>
      </c>
      <c r="C370" t="s">
        <v>201</v>
      </c>
      <c r="D370" t="s">
        <v>2209</v>
      </c>
      <c r="E370" t="str">
        <f>"080010380001"</f>
        <v>080010380001</v>
      </c>
      <c r="F370" t="s">
        <v>52</v>
      </c>
      <c r="G370">
        <v>900665930</v>
      </c>
      <c r="H370" t="s">
        <v>112</v>
      </c>
      <c r="I370" t="s">
        <v>113</v>
      </c>
      <c r="J370">
        <v>3175759202</v>
      </c>
      <c r="K370" t="s">
        <v>54</v>
      </c>
      <c r="L370">
        <v>1045724464</v>
      </c>
      <c r="M370" t="s">
        <v>59</v>
      </c>
      <c r="N370" t="s">
        <v>114</v>
      </c>
      <c r="O370" t="s">
        <v>115</v>
      </c>
      <c r="P370" t="s">
        <v>116</v>
      </c>
      <c r="Q370">
        <v>1045724464</v>
      </c>
      <c r="R370" t="s">
        <v>54</v>
      </c>
      <c r="S370">
        <v>26661225</v>
      </c>
      <c r="T370" t="s">
        <v>979</v>
      </c>
      <c r="U370" t="s">
        <v>62</v>
      </c>
      <c r="V370" t="s">
        <v>560</v>
      </c>
      <c r="W370" t="s">
        <v>775</v>
      </c>
      <c r="X370" t="s">
        <v>120</v>
      </c>
      <c r="Y370" t="s">
        <v>121</v>
      </c>
      <c r="Z370">
        <v>12</v>
      </c>
      <c r="AA370" t="s">
        <v>65</v>
      </c>
      <c r="AB370" t="s">
        <v>56</v>
      </c>
      <c r="AC370" t="s">
        <v>56</v>
      </c>
      <c r="AD370">
        <v>0</v>
      </c>
      <c r="AE370" t="s">
        <v>66</v>
      </c>
      <c r="AF370" t="s">
        <v>56</v>
      </c>
      <c r="AG370" t="s">
        <v>56</v>
      </c>
      <c r="AH370" t="s">
        <v>56</v>
      </c>
      <c r="AI370" t="s">
        <v>56</v>
      </c>
      <c r="AJ370" t="s">
        <v>1250</v>
      </c>
      <c r="AK370" t="s">
        <v>1251</v>
      </c>
      <c r="AL370" t="s">
        <v>56</v>
      </c>
      <c r="AM370" t="s">
        <v>56</v>
      </c>
      <c r="AN370" t="s">
        <v>56</v>
      </c>
      <c r="AO370" t="s">
        <v>56</v>
      </c>
      <c r="AP370" t="s">
        <v>56</v>
      </c>
      <c r="AQ370" t="s">
        <v>71</v>
      </c>
      <c r="AR370" t="s">
        <v>56</v>
      </c>
      <c r="AS370" t="s">
        <v>56</v>
      </c>
      <c r="AT370" t="s">
        <v>56</v>
      </c>
      <c r="AU370" t="s">
        <v>56</v>
      </c>
      <c r="AV370" t="s">
        <v>56</v>
      </c>
      <c r="AW370" t="s">
        <v>56</v>
      </c>
      <c r="AX370">
        <v>4</v>
      </c>
    </row>
    <row r="371" spans="1:50" x14ac:dyDescent="0.25">
      <c r="A371" t="str">
        <f>"20200124112017019198"</f>
        <v>20200124112017019198</v>
      </c>
      <c r="B371" t="s">
        <v>201</v>
      </c>
      <c r="C371" t="s">
        <v>201</v>
      </c>
      <c r="D371" t="s">
        <v>2210</v>
      </c>
      <c r="E371" t="str">
        <f>"080010054401"</f>
        <v>080010054401</v>
      </c>
      <c r="F371" t="s">
        <v>52</v>
      </c>
      <c r="G371">
        <v>800194798</v>
      </c>
      <c r="H371" t="s">
        <v>112</v>
      </c>
      <c r="I371" t="s">
        <v>616</v>
      </c>
      <c r="J371" t="s">
        <v>56</v>
      </c>
      <c r="K371" t="s">
        <v>54</v>
      </c>
      <c r="L371">
        <v>22465534</v>
      </c>
      <c r="M371" t="s">
        <v>2211</v>
      </c>
      <c r="N371" t="s">
        <v>56</v>
      </c>
      <c r="O371" t="s">
        <v>2212</v>
      </c>
      <c r="P371" t="s">
        <v>402</v>
      </c>
      <c r="Q371">
        <v>5166</v>
      </c>
      <c r="R371" t="s">
        <v>237</v>
      </c>
      <c r="S371">
        <v>1143244590</v>
      </c>
      <c r="T371" t="s">
        <v>504</v>
      </c>
      <c r="U371" t="s">
        <v>404</v>
      </c>
      <c r="V371" t="s">
        <v>2213</v>
      </c>
      <c r="W371" t="s">
        <v>1550</v>
      </c>
      <c r="X371" t="s">
        <v>120</v>
      </c>
      <c r="Y371" t="s">
        <v>121</v>
      </c>
      <c r="Z371">
        <v>12</v>
      </c>
      <c r="AA371" t="s">
        <v>65</v>
      </c>
      <c r="AB371" t="s">
        <v>56</v>
      </c>
      <c r="AC371" t="s">
        <v>56</v>
      </c>
      <c r="AD371">
        <v>0</v>
      </c>
      <c r="AE371" t="s">
        <v>66</v>
      </c>
      <c r="AF371" t="s">
        <v>56</v>
      </c>
      <c r="AG371" t="s">
        <v>56</v>
      </c>
      <c r="AH371" t="s">
        <v>56</v>
      </c>
      <c r="AI371" t="s">
        <v>56</v>
      </c>
      <c r="AJ371" t="s">
        <v>2214</v>
      </c>
      <c r="AK371" t="s">
        <v>2215</v>
      </c>
      <c r="AL371" t="s">
        <v>56</v>
      </c>
      <c r="AM371" t="s">
        <v>56</v>
      </c>
      <c r="AN371" t="s">
        <v>56</v>
      </c>
      <c r="AO371" t="s">
        <v>56</v>
      </c>
      <c r="AP371" t="s">
        <v>56</v>
      </c>
      <c r="AQ371" t="s">
        <v>71</v>
      </c>
      <c r="AR371" t="s">
        <v>56</v>
      </c>
      <c r="AS371" t="s">
        <v>56</v>
      </c>
      <c r="AT371" t="s">
        <v>56</v>
      </c>
      <c r="AU371" t="s">
        <v>56</v>
      </c>
      <c r="AV371" t="s">
        <v>56</v>
      </c>
      <c r="AW371" t="s">
        <v>56</v>
      </c>
      <c r="AX371">
        <v>4</v>
      </c>
    </row>
    <row r="372" spans="1:50" x14ac:dyDescent="0.25">
      <c r="A372" t="str">
        <f>"20200128158017097754"</f>
        <v>20200128158017097754</v>
      </c>
      <c r="B372" t="s">
        <v>151</v>
      </c>
      <c r="C372" t="s">
        <v>151</v>
      </c>
      <c r="D372" t="s">
        <v>2216</v>
      </c>
      <c r="E372" t="str">
        <f>"200010018301"</f>
        <v>200010018301</v>
      </c>
      <c r="F372" t="s">
        <v>52</v>
      </c>
      <c r="G372">
        <v>824002277</v>
      </c>
      <c r="H372">
        <v>20001</v>
      </c>
      <c r="I372" t="s">
        <v>2217</v>
      </c>
      <c r="J372">
        <v>5806494</v>
      </c>
      <c r="K372" t="s">
        <v>54</v>
      </c>
      <c r="L372">
        <v>98557224</v>
      </c>
      <c r="M372" t="s">
        <v>2218</v>
      </c>
      <c r="N372" t="s">
        <v>259</v>
      </c>
      <c r="O372" t="s">
        <v>1385</v>
      </c>
      <c r="P372" t="s">
        <v>2219</v>
      </c>
      <c r="Q372">
        <v>98557224</v>
      </c>
      <c r="R372" t="s">
        <v>54</v>
      </c>
      <c r="S372">
        <v>26916408</v>
      </c>
      <c r="T372" t="s">
        <v>117</v>
      </c>
      <c r="U372" t="s">
        <v>2220</v>
      </c>
      <c r="V372" t="s">
        <v>2221</v>
      </c>
      <c r="W372" t="s">
        <v>487</v>
      </c>
      <c r="X372" t="s">
        <v>849</v>
      </c>
      <c r="Y372" t="s">
        <v>86</v>
      </c>
      <c r="Z372">
        <v>22</v>
      </c>
      <c r="AA372" t="s">
        <v>102</v>
      </c>
      <c r="AB372">
        <v>0</v>
      </c>
      <c r="AC372" t="s">
        <v>66</v>
      </c>
      <c r="AD372">
        <v>0</v>
      </c>
      <c r="AE372" t="s">
        <v>66</v>
      </c>
      <c r="AF372" t="s">
        <v>56</v>
      </c>
      <c r="AG372" t="s">
        <v>56</v>
      </c>
      <c r="AH372" t="s">
        <v>56</v>
      </c>
      <c r="AI372" t="s">
        <v>56</v>
      </c>
      <c r="AJ372" t="s">
        <v>1995</v>
      </c>
      <c r="AK372" t="s">
        <v>1996</v>
      </c>
      <c r="AL372" t="s">
        <v>56</v>
      </c>
      <c r="AM372" t="s">
        <v>56</v>
      </c>
      <c r="AN372" t="s">
        <v>56</v>
      </c>
      <c r="AO372" t="s">
        <v>56</v>
      </c>
      <c r="AP372" t="s">
        <v>56</v>
      </c>
      <c r="AQ372" t="s">
        <v>71</v>
      </c>
      <c r="AR372" t="s">
        <v>56</v>
      </c>
      <c r="AS372" t="s">
        <v>56</v>
      </c>
      <c r="AT372" t="s">
        <v>56</v>
      </c>
      <c r="AU372" t="s">
        <v>56</v>
      </c>
      <c r="AV372" t="s">
        <v>56</v>
      </c>
      <c r="AW372" t="s">
        <v>56</v>
      </c>
      <c r="AX372">
        <v>4</v>
      </c>
    </row>
    <row r="373" spans="1:50" x14ac:dyDescent="0.25">
      <c r="A373" t="str">
        <f>"20200130131017140829"</f>
        <v>20200130131017140829</v>
      </c>
      <c r="B373" t="s">
        <v>124</v>
      </c>
      <c r="C373" t="s">
        <v>124</v>
      </c>
      <c r="D373" t="s">
        <v>2222</v>
      </c>
      <c r="E373" t="str">
        <f>"761470728201"</f>
        <v>761470728201</v>
      </c>
      <c r="F373" t="s">
        <v>52</v>
      </c>
      <c r="G373">
        <v>900247710</v>
      </c>
      <c r="H373">
        <v>76147</v>
      </c>
      <c r="I373" t="s">
        <v>526</v>
      </c>
      <c r="J373">
        <v>2108988</v>
      </c>
      <c r="K373" t="s">
        <v>54</v>
      </c>
      <c r="L373">
        <v>18615571</v>
      </c>
      <c r="M373" t="s">
        <v>164</v>
      </c>
      <c r="N373" t="s">
        <v>527</v>
      </c>
      <c r="O373" t="s">
        <v>528</v>
      </c>
      <c r="P373" t="s">
        <v>249</v>
      </c>
      <c r="Q373" t="s">
        <v>529</v>
      </c>
      <c r="R373" t="s">
        <v>54</v>
      </c>
      <c r="S373">
        <v>31395003</v>
      </c>
      <c r="T373" t="s">
        <v>2223</v>
      </c>
      <c r="U373" t="s">
        <v>62</v>
      </c>
      <c r="V373" t="s">
        <v>1301</v>
      </c>
      <c r="W373" t="s">
        <v>62</v>
      </c>
      <c r="X373" t="s">
        <v>277</v>
      </c>
      <c r="Y373" t="s">
        <v>64</v>
      </c>
      <c r="Z373">
        <v>12</v>
      </c>
      <c r="AA373" t="s">
        <v>65</v>
      </c>
      <c r="AB373" t="s">
        <v>56</v>
      </c>
      <c r="AC373" t="s">
        <v>56</v>
      </c>
      <c r="AD373">
        <v>0</v>
      </c>
      <c r="AE373" t="s">
        <v>66</v>
      </c>
      <c r="AF373" t="s">
        <v>56</v>
      </c>
      <c r="AG373" t="s">
        <v>56</v>
      </c>
      <c r="AH373" t="s">
        <v>56</v>
      </c>
      <c r="AI373" t="s">
        <v>56</v>
      </c>
      <c r="AJ373" t="s">
        <v>536</v>
      </c>
      <c r="AK373" t="s">
        <v>537</v>
      </c>
      <c r="AL373" t="s">
        <v>534</v>
      </c>
      <c r="AM373" t="s">
        <v>535</v>
      </c>
      <c r="AN373" t="s">
        <v>56</v>
      </c>
      <c r="AO373" t="s">
        <v>56</v>
      </c>
      <c r="AP373" t="s">
        <v>56</v>
      </c>
      <c r="AQ373" t="s">
        <v>71</v>
      </c>
      <c r="AR373" t="s">
        <v>56</v>
      </c>
      <c r="AS373" t="s">
        <v>56</v>
      </c>
      <c r="AT373" t="s">
        <v>56</v>
      </c>
      <c r="AU373" t="s">
        <v>56</v>
      </c>
      <c r="AV373" t="s">
        <v>56</v>
      </c>
      <c r="AW373" t="s">
        <v>56</v>
      </c>
      <c r="AX373">
        <v>4</v>
      </c>
    </row>
    <row r="374" spans="1:50" x14ac:dyDescent="0.25">
      <c r="A374" t="str">
        <f>"20200128139017089780"</f>
        <v>20200128139017089780</v>
      </c>
      <c r="B374" t="s">
        <v>151</v>
      </c>
      <c r="C374" t="s">
        <v>151</v>
      </c>
      <c r="D374" t="s">
        <v>2224</v>
      </c>
      <c r="E374" t="str">
        <f>"080010122201"</f>
        <v>080010122201</v>
      </c>
      <c r="F374" t="s">
        <v>52</v>
      </c>
      <c r="G374">
        <v>890116783</v>
      </c>
      <c r="H374" t="s">
        <v>112</v>
      </c>
      <c r="I374" t="s">
        <v>1796</v>
      </c>
      <c r="J374">
        <v>3781220</v>
      </c>
      <c r="K374" t="s">
        <v>54</v>
      </c>
      <c r="L374">
        <v>78018571</v>
      </c>
      <c r="M374" t="s">
        <v>291</v>
      </c>
      <c r="N374" t="s">
        <v>261</v>
      </c>
      <c r="O374" t="s">
        <v>1976</v>
      </c>
      <c r="P374" t="s">
        <v>293</v>
      </c>
      <c r="Q374" t="s">
        <v>1977</v>
      </c>
      <c r="R374" t="s">
        <v>54</v>
      </c>
      <c r="S374">
        <v>26785057</v>
      </c>
      <c r="T374" t="s">
        <v>275</v>
      </c>
      <c r="U374" t="s">
        <v>62</v>
      </c>
      <c r="V374" t="s">
        <v>119</v>
      </c>
      <c r="W374" t="s">
        <v>1168</v>
      </c>
      <c r="X374" t="s">
        <v>1045</v>
      </c>
      <c r="Y374" t="s">
        <v>345</v>
      </c>
      <c r="Z374">
        <v>12</v>
      </c>
      <c r="AA374" t="s">
        <v>65</v>
      </c>
      <c r="AB374" t="s">
        <v>56</v>
      </c>
      <c r="AC374" t="s">
        <v>56</v>
      </c>
      <c r="AD374">
        <v>0</v>
      </c>
      <c r="AE374" t="s">
        <v>66</v>
      </c>
      <c r="AF374" t="s">
        <v>56</v>
      </c>
      <c r="AG374" t="s">
        <v>56</v>
      </c>
      <c r="AH374" t="s">
        <v>56</v>
      </c>
      <c r="AI374" t="s">
        <v>56</v>
      </c>
      <c r="AJ374" t="s">
        <v>2225</v>
      </c>
      <c r="AK374" t="s">
        <v>2226</v>
      </c>
      <c r="AL374" t="s">
        <v>56</v>
      </c>
      <c r="AM374" t="s">
        <v>56</v>
      </c>
      <c r="AN374" t="s">
        <v>56</v>
      </c>
      <c r="AO374" t="s">
        <v>56</v>
      </c>
      <c r="AP374" t="s">
        <v>56</v>
      </c>
      <c r="AQ374" t="s">
        <v>71</v>
      </c>
      <c r="AR374" t="s">
        <v>56</v>
      </c>
      <c r="AS374" t="s">
        <v>56</v>
      </c>
      <c r="AT374" t="s">
        <v>56</v>
      </c>
      <c r="AU374" t="s">
        <v>56</v>
      </c>
      <c r="AV374" t="s">
        <v>56</v>
      </c>
      <c r="AW374" t="s">
        <v>56</v>
      </c>
      <c r="AX374">
        <v>4</v>
      </c>
    </row>
    <row r="375" spans="1:50" x14ac:dyDescent="0.25">
      <c r="A375" t="str">
        <f>"20200130192017142824"</f>
        <v>20200130192017142824</v>
      </c>
      <c r="B375" t="s">
        <v>124</v>
      </c>
      <c r="C375" t="s">
        <v>124</v>
      </c>
      <c r="D375" t="s">
        <v>2227</v>
      </c>
      <c r="E375" t="str">
        <f>"200010083101"</f>
        <v>200010083101</v>
      </c>
      <c r="F375" t="s">
        <v>52</v>
      </c>
      <c r="G375">
        <v>900066797</v>
      </c>
      <c r="H375">
        <v>20001</v>
      </c>
      <c r="I375" t="s">
        <v>457</v>
      </c>
      <c r="J375" t="s">
        <v>458</v>
      </c>
      <c r="K375" t="s">
        <v>54</v>
      </c>
      <c r="L375">
        <v>49760462</v>
      </c>
      <c r="M375" t="s">
        <v>459</v>
      </c>
      <c r="N375" t="s">
        <v>117</v>
      </c>
      <c r="O375" t="s">
        <v>460</v>
      </c>
      <c r="P375" t="s">
        <v>403</v>
      </c>
      <c r="Q375">
        <v>8550</v>
      </c>
      <c r="R375" t="s">
        <v>54</v>
      </c>
      <c r="S375">
        <v>49609289</v>
      </c>
      <c r="T375" t="s">
        <v>1823</v>
      </c>
      <c r="U375" t="s">
        <v>177</v>
      </c>
      <c r="V375" t="s">
        <v>1789</v>
      </c>
      <c r="W375" t="s">
        <v>2228</v>
      </c>
      <c r="X375" t="s">
        <v>462</v>
      </c>
      <c r="Y375" t="s">
        <v>86</v>
      </c>
      <c r="Z375">
        <v>12</v>
      </c>
      <c r="AA375" t="s">
        <v>65</v>
      </c>
      <c r="AB375" t="s">
        <v>56</v>
      </c>
      <c r="AC375" t="s">
        <v>56</v>
      </c>
      <c r="AD375">
        <v>0</v>
      </c>
      <c r="AE375" t="s">
        <v>66</v>
      </c>
      <c r="AF375" t="s">
        <v>56</v>
      </c>
      <c r="AG375" t="s">
        <v>56</v>
      </c>
      <c r="AH375" t="s">
        <v>56</v>
      </c>
      <c r="AI375" t="s">
        <v>56</v>
      </c>
      <c r="AJ375" t="s">
        <v>463</v>
      </c>
      <c r="AK375" t="s">
        <v>464</v>
      </c>
      <c r="AL375" t="s">
        <v>56</v>
      </c>
      <c r="AM375" t="s">
        <v>56</v>
      </c>
      <c r="AN375" t="s">
        <v>56</v>
      </c>
      <c r="AO375" t="s">
        <v>56</v>
      </c>
      <c r="AP375" t="s">
        <v>56</v>
      </c>
      <c r="AQ375" t="s">
        <v>71</v>
      </c>
      <c r="AR375" t="s">
        <v>56</v>
      </c>
      <c r="AS375" t="s">
        <v>56</v>
      </c>
      <c r="AT375" t="s">
        <v>56</v>
      </c>
      <c r="AU375" t="s">
        <v>56</v>
      </c>
      <c r="AV375" t="s">
        <v>56</v>
      </c>
      <c r="AW375" t="s">
        <v>56</v>
      </c>
      <c r="AX375">
        <v>4</v>
      </c>
    </row>
    <row r="376" spans="1:50" x14ac:dyDescent="0.25">
      <c r="A376" t="str">
        <f>"20200128137017079528"</f>
        <v>20200128137017079528</v>
      </c>
      <c r="B376" t="s">
        <v>151</v>
      </c>
      <c r="C376" t="s">
        <v>151</v>
      </c>
      <c r="D376" t="s">
        <v>2229</v>
      </c>
      <c r="E376" t="str">
        <f>"086380050301"</f>
        <v>086380050301</v>
      </c>
      <c r="F376" t="s">
        <v>52</v>
      </c>
      <c r="G376">
        <v>900008600</v>
      </c>
      <c r="H376" t="s">
        <v>246</v>
      </c>
      <c r="I376" t="s">
        <v>732</v>
      </c>
      <c r="J376" t="s">
        <v>733</v>
      </c>
      <c r="K376" t="s">
        <v>54</v>
      </c>
      <c r="L376">
        <v>1140826415</v>
      </c>
      <c r="M376" t="s">
        <v>141</v>
      </c>
      <c r="N376" t="s">
        <v>1407</v>
      </c>
      <c r="O376" t="s">
        <v>2230</v>
      </c>
      <c r="P376" t="s">
        <v>2231</v>
      </c>
      <c r="Q376" t="s">
        <v>2232</v>
      </c>
      <c r="R376" t="s">
        <v>54</v>
      </c>
      <c r="S376">
        <v>861487</v>
      </c>
      <c r="T376" t="s">
        <v>127</v>
      </c>
      <c r="U376" t="s">
        <v>132</v>
      </c>
      <c r="V376" t="s">
        <v>568</v>
      </c>
      <c r="W376" t="s">
        <v>99</v>
      </c>
      <c r="X376" t="s">
        <v>590</v>
      </c>
      <c r="Y376" t="s">
        <v>121</v>
      </c>
      <c r="Z376">
        <v>12</v>
      </c>
      <c r="AA376" t="s">
        <v>65</v>
      </c>
      <c r="AB376" t="s">
        <v>56</v>
      </c>
      <c r="AC376" t="s">
        <v>56</v>
      </c>
      <c r="AD376">
        <v>0</v>
      </c>
      <c r="AE376" t="s">
        <v>66</v>
      </c>
      <c r="AF376" t="s">
        <v>56</v>
      </c>
      <c r="AG376" t="s">
        <v>56</v>
      </c>
      <c r="AH376" t="s">
        <v>56</v>
      </c>
      <c r="AI376" t="s">
        <v>56</v>
      </c>
      <c r="AJ376" t="s">
        <v>545</v>
      </c>
      <c r="AK376" t="s">
        <v>546</v>
      </c>
      <c r="AL376" t="s">
        <v>56</v>
      </c>
      <c r="AM376" t="s">
        <v>56</v>
      </c>
      <c r="AN376" t="s">
        <v>56</v>
      </c>
      <c r="AO376" t="s">
        <v>56</v>
      </c>
      <c r="AP376" t="s">
        <v>56</v>
      </c>
      <c r="AQ376" t="s">
        <v>71</v>
      </c>
      <c r="AR376" t="s">
        <v>56</v>
      </c>
      <c r="AS376" t="s">
        <v>56</v>
      </c>
      <c r="AT376" t="s">
        <v>56</v>
      </c>
      <c r="AU376" t="s">
        <v>56</v>
      </c>
      <c r="AV376" t="s">
        <v>56</v>
      </c>
      <c r="AW376" t="s">
        <v>56</v>
      </c>
      <c r="AX376">
        <v>4</v>
      </c>
    </row>
    <row r="377" spans="1:50" x14ac:dyDescent="0.25">
      <c r="A377" t="str">
        <f>"20200124197017001906"</f>
        <v>20200124197017001906</v>
      </c>
      <c r="B377" t="s">
        <v>201</v>
      </c>
      <c r="C377" t="s">
        <v>201</v>
      </c>
      <c r="D377" t="s">
        <v>2233</v>
      </c>
      <c r="E377" t="str">
        <f>"700010146401"</f>
        <v>700010146401</v>
      </c>
      <c r="F377" t="s">
        <v>52</v>
      </c>
      <c r="G377">
        <v>900581036</v>
      </c>
      <c r="H377">
        <v>70001</v>
      </c>
      <c r="I377" t="s">
        <v>387</v>
      </c>
      <c r="J377">
        <v>2807683</v>
      </c>
      <c r="K377" t="s">
        <v>54</v>
      </c>
      <c r="L377">
        <v>78019716</v>
      </c>
      <c r="M377" t="s">
        <v>897</v>
      </c>
      <c r="N377" t="s">
        <v>291</v>
      </c>
      <c r="O377" t="s">
        <v>109</v>
      </c>
      <c r="P377" t="s">
        <v>324</v>
      </c>
      <c r="Q377">
        <v>15348</v>
      </c>
      <c r="R377" t="s">
        <v>54</v>
      </c>
      <c r="S377">
        <v>9308845</v>
      </c>
      <c r="T377" t="s">
        <v>94</v>
      </c>
      <c r="U377" t="s">
        <v>132</v>
      </c>
      <c r="V377" t="s">
        <v>2172</v>
      </c>
      <c r="W377" t="s">
        <v>1294</v>
      </c>
      <c r="X377" t="s">
        <v>394</v>
      </c>
      <c r="Y377" t="s">
        <v>330</v>
      </c>
      <c r="Z377">
        <v>11</v>
      </c>
      <c r="AA377" t="s">
        <v>87</v>
      </c>
      <c r="AB377" t="s">
        <v>56</v>
      </c>
      <c r="AC377" t="s">
        <v>56</v>
      </c>
      <c r="AD377">
        <v>0</v>
      </c>
      <c r="AE377" t="s">
        <v>66</v>
      </c>
      <c r="AF377" t="s">
        <v>56</v>
      </c>
      <c r="AG377" t="s">
        <v>56</v>
      </c>
      <c r="AH377" t="s">
        <v>56</v>
      </c>
      <c r="AI377" t="s">
        <v>56</v>
      </c>
      <c r="AJ377" t="s">
        <v>395</v>
      </c>
      <c r="AK377" t="s">
        <v>396</v>
      </c>
      <c r="AL377" t="s">
        <v>56</v>
      </c>
      <c r="AM377" t="s">
        <v>56</v>
      </c>
      <c r="AN377" t="s">
        <v>56</v>
      </c>
      <c r="AO377" t="s">
        <v>56</v>
      </c>
      <c r="AP377" t="s">
        <v>56</v>
      </c>
      <c r="AQ377" t="s">
        <v>71</v>
      </c>
      <c r="AR377" t="s">
        <v>56</v>
      </c>
      <c r="AS377" t="s">
        <v>56</v>
      </c>
      <c r="AT377" t="s">
        <v>56</v>
      </c>
      <c r="AU377" t="s">
        <v>56</v>
      </c>
      <c r="AV377" t="s">
        <v>56</v>
      </c>
      <c r="AW377" t="s">
        <v>56</v>
      </c>
      <c r="AX377">
        <v>4</v>
      </c>
    </row>
    <row r="378" spans="1:50" x14ac:dyDescent="0.25">
      <c r="A378" t="str">
        <f>"20200129167017117561"</f>
        <v>20200129167017117561</v>
      </c>
      <c r="B378" t="s">
        <v>72</v>
      </c>
      <c r="C378" t="s">
        <v>72</v>
      </c>
      <c r="D378" t="s">
        <v>2234</v>
      </c>
      <c r="E378" t="str">
        <f>"700010018501"</f>
        <v>700010018501</v>
      </c>
      <c r="F378" t="s">
        <v>52</v>
      </c>
      <c r="G378">
        <v>823002342</v>
      </c>
      <c r="H378">
        <v>70001</v>
      </c>
      <c r="I378" t="s">
        <v>1932</v>
      </c>
      <c r="J378">
        <v>2820285</v>
      </c>
      <c r="K378" t="s">
        <v>54</v>
      </c>
      <c r="L378">
        <v>92502319</v>
      </c>
      <c r="M378" t="s">
        <v>76</v>
      </c>
      <c r="N378" t="s">
        <v>1933</v>
      </c>
      <c r="O378" t="s">
        <v>691</v>
      </c>
      <c r="P378" t="s">
        <v>373</v>
      </c>
      <c r="Q378">
        <v>15694</v>
      </c>
      <c r="R378" t="s">
        <v>54</v>
      </c>
      <c r="S378">
        <v>33197665</v>
      </c>
      <c r="T378" t="s">
        <v>2235</v>
      </c>
      <c r="U378" t="s">
        <v>117</v>
      </c>
      <c r="V378" t="s">
        <v>57</v>
      </c>
      <c r="W378" t="s">
        <v>403</v>
      </c>
      <c r="X378" t="s">
        <v>183</v>
      </c>
      <c r="Y378" t="s">
        <v>101</v>
      </c>
      <c r="Z378">
        <v>12</v>
      </c>
      <c r="AA378" t="s">
        <v>65</v>
      </c>
      <c r="AB378" t="s">
        <v>56</v>
      </c>
      <c r="AC378" t="s">
        <v>56</v>
      </c>
      <c r="AD378">
        <v>0</v>
      </c>
      <c r="AE378" t="s">
        <v>66</v>
      </c>
      <c r="AF378" t="s">
        <v>56</v>
      </c>
      <c r="AG378" t="s">
        <v>56</v>
      </c>
      <c r="AH378" t="s">
        <v>56</v>
      </c>
      <c r="AI378" t="s">
        <v>56</v>
      </c>
      <c r="AJ378" t="s">
        <v>171</v>
      </c>
      <c r="AK378" t="s">
        <v>172</v>
      </c>
      <c r="AL378" t="s">
        <v>56</v>
      </c>
      <c r="AM378" t="s">
        <v>56</v>
      </c>
      <c r="AN378" t="s">
        <v>56</v>
      </c>
      <c r="AO378" t="s">
        <v>56</v>
      </c>
      <c r="AP378" t="s">
        <v>56</v>
      </c>
      <c r="AQ378" t="s">
        <v>71</v>
      </c>
      <c r="AR378" t="s">
        <v>56</v>
      </c>
      <c r="AS378" t="s">
        <v>56</v>
      </c>
      <c r="AT378" t="s">
        <v>56</v>
      </c>
      <c r="AU378" t="s">
        <v>56</v>
      </c>
      <c r="AV378" t="s">
        <v>56</v>
      </c>
      <c r="AW378" t="s">
        <v>56</v>
      </c>
      <c r="AX378">
        <v>4</v>
      </c>
    </row>
    <row r="379" spans="1:50" x14ac:dyDescent="0.25">
      <c r="A379" t="str">
        <f>"20200125193017027856"</f>
        <v>20200125193017027856</v>
      </c>
      <c r="B379" t="s">
        <v>752</v>
      </c>
      <c r="C379" t="s">
        <v>752</v>
      </c>
      <c r="D379" t="s">
        <v>2236</v>
      </c>
      <c r="E379" t="str">
        <f>"080010003601"</f>
        <v>080010003601</v>
      </c>
      <c r="F379" t="s">
        <v>52</v>
      </c>
      <c r="G379">
        <v>802000955</v>
      </c>
      <c r="H379" t="s">
        <v>112</v>
      </c>
      <c r="I379" t="s">
        <v>218</v>
      </c>
      <c r="J379" t="s">
        <v>56</v>
      </c>
      <c r="K379" t="s">
        <v>54</v>
      </c>
      <c r="L379">
        <v>1051357508</v>
      </c>
      <c r="M379" t="s">
        <v>644</v>
      </c>
      <c r="N379" t="s">
        <v>645</v>
      </c>
      <c r="O379" t="s">
        <v>646</v>
      </c>
      <c r="P379" t="s">
        <v>647</v>
      </c>
      <c r="Q379">
        <v>81153</v>
      </c>
      <c r="R379" t="s">
        <v>54</v>
      </c>
      <c r="S379">
        <v>22595843</v>
      </c>
      <c r="T379" t="s">
        <v>2159</v>
      </c>
      <c r="U379" t="s">
        <v>62</v>
      </c>
      <c r="V379" t="s">
        <v>298</v>
      </c>
      <c r="W379" t="s">
        <v>2237</v>
      </c>
      <c r="X379" t="s">
        <v>569</v>
      </c>
      <c r="Y379" t="s">
        <v>121</v>
      </c>
      <c r="Z379">
        <v>12</v>
      </c>
      <c r="AA379" t="s">
        <v>65</v>
      </c>
      <c r="AB379" t="s">
        <v>56</v>
      </c>
      <c r="AC379" t="s">
        <v>56</v>
      </c>
      <c r="AD379">
        <v>0</v>
      </c>
      <c r="AE379" t="s">
        <v>66</v>
      </c>
      <c r="AF379" t="s">
        <v>56</v>
      </c>
      <c r="AG379" t="s">
        <v>56</v>
      </c>
      <c r="AH379" t="s">
        <v>56</v>
      </c>
      <c r="AI379" t="s">
        <v>56</v>
      </c>
      <c r="AJ379" t="s">
        <v>228</v>
      </c>
      <c r="AK379" t="s">
        <v>229</v>
      </c>
      <c r="AL379" t="s">
        <v>56</v>
      </c>
      <c r="AM379" t="s">
        <v>56</v>
      </c>
      <c r="AN379" t="s">
        <v>56</v>
      </c>
      <c r="AO379" t="s">
        <v>56</v>
      </c>
      <c r="AP379" t="s">
        <v>56</v>
      </c>
      <c r="AQ379" t="s">
        <v>71</v>
      </c>
      <c r="AR379" t="s">
        <v>56</v>
      </c>
      <c r="AS379" t="s">
        <v>56</v>
      </c>
      <c r="AT379" t="s">
        <v>56</v>
      </c>
      <c r="AU379" t="s">
        <v>56</v>
      </c>
      <c r="AV379" t="s">
        <v>56</v>
      </c>
      <c r="AW379" t="s">
        <v>56</v>
      </c>
      <c r="AX379">
        <v>4</v>
      </c>
    </row>
    <row r="380" spans="1:50" x14ac:dyDescent="0.25">
      <c r="A380" t="str">
        <f>"20200129114017099997"</f>
        <v>20200129114017099997</v>
      </c>
      <c r="B380" t="s">
        <v>72</v>
      </c>
      <c r="C380" t="s">
        <v>72</v>
      </c>
      <c r="D380" t="s">
        <v>2238</v>
      </c>
      <c r="E380" t="str">
        <f>"200010162601"</f>
        <v>200010162601</v>
      </c>
      <c r="F380" t="s">
        <v>52</v>
      </c>
      <c r="G380">
        <v>900552539</v>
      </c>
      <c r="H380">
        <v>20001</v>
      </c>
      <c r="I380" t="s">
        <v>140</v>
      </c>
      <c r="J380">
        <v>3003009498</v>
      </c>
      <c r="K380" t="s">
        <v>54</v>
      </c>
      <c r="L380">
        <v>1129572448</v>
      </c>
      <c r="M380" t="s">
        <v>141</v>
      </c>
      <c r="N380" t="s">
        <v>142</v>
      </c>
      <c r="O380" t="s">
        <v>143</v>
      </c>
      <c r="P380" t="s">
        <v>144</v>
      </c>
      <c r="Q380">
        <v>86169</v>
      </c>
      <c r="R380" t="s">
        <v>237</v>
      </c>
      <c r="S380">
        <v>1066350325</v>
      </c>
      <c r="T380" t="s">
        <v>106</v>
      </c>
      <c r="U380" t="s">
        <v>2095</v>
      </c>
      <c r="V380" t="s">
        <v>1711</v>
      </c>
      <c r="W380" t="s">
        <v>298</v>
      </c>
      <c r="X380" t="s">
        <v>704</v>
      </c>
      <c r="Y380" t="s">
        <v>86</v>
      </c>
      <c r="Z380">
        <v>22</v>
      </c>
      <c r="AA380" t="s">
        <v>102</v>
      </c>
      <c r="AB380">
        <v>0</v>
      </c>
      <c r="AC380" t="s">
        <v>66</v>
      </c>
      <c r="AD380">
        <v>0</v>
      </c>
      <c r="AE380" t="s">
        <v>66</v>
      </c>
      <c r="AF380" t="s">
        <v>56</v>
      </c>
      <c r="AG380" t="s">
        <v>56</v>
      </c>
      <c r="AH380" t="s">
        <v>56</v>
      </c>
      <c r="AI380" t="s">
        <v>56</v>
      </c>
      <c r="AJ380" t="s">
        <v>2239</v>
      </c>
      <c r="AK380" t="s">
        <v>2240</v>
      </c>
      <c r="AL380" t="s">
        <v>56</v>
      </c>
      <c r="AM380" t="s">
        <v>56</v>
      </c>
      <c r="AN380" t="s">
        <v>56</v>
      </c>
      <c r="AO380" t="s">
        <v>56</v>
      </c>
      <c r="AP380" t="s">
        <v>56</v>
      </c>
      <c r="AQ380" t="s">
        <v>71</v>
      </c>
      <c r="AR380" t="s">
        <v>56</v>
      </c>
      <c r="AS380" t="s">
        <v>56</v>
      </c>
      <c r="AT380" t="s">
        <v>56</v>
      </c>
      <c r="AU380" t="s">
        <v>56</v>
      </c>
      <c r="AV380" t="s">
        <v>56</v>
      </c>
      <c r="AW380" t="s">
        <v>56</v>
      </c>
      <c r="AX380">
        <v>4</v>
      </c>
    </row>
    <row r="381" spans="1:50" x14ac:dyDescent="0.25">
      <c r="A381" t="str">
        <f>"20200128113017097028"</f>
        <v>20200128113017097028</v>
      </c>
      <c r="B381" t="s">
        <v>151</v>
      </c>
      <c r="C381" t="s">
        <v>151</v>
      </c>
      <c r="D381" t="s">
        <v>2241</v>
      </c>
      <c r="E381" t="str">
        <f>"700010016301"</f>
        <v>700010016301</v>
      </c>
      <c r="F381" t="s">
        <v>52</v>
      </c>
      <c r="G381">
        <v>823002800</v>
      </c>
      <c r="H381">
        <v>70001</v>
      </c>
      <c r="I381" t="s">
        <v>603</v>
      </c>
      <c r="J381">
        <v>3126692716</v>
      </c>
      <c r="K381" t="s">
        <v>54</v>
      </c>
      <c r="L381">
        <v>72199805</v>
      </c>
      <c r="M381" t="s">
        <v>2242</v>
      </c>
      <c r="N381" t="s">
        <v>492</v>
      </c>
      <c r="O381" t="s">
        <v>2243</v>
      </c>
      <c r="P381" t="s">
        <v>938</v>
      </c>
      <c r="Q381" t="s">
        <v>2244</v>
      </c>
      <c r="R381" t="s">
        <v>54</v>
      </c>
      <c r="S381">
        <v>950595</v>
      </c>
      <c r="T381" t="s">
        <v>1928</v>
      </c>
      <c r="U381" t="s">
        <v>76</v>
      </c>
      <c r="V381" t="s">
        <v>2009</v>
      </c>
      <c r="W381" t="s">
        <v>560</v>
      </c>
      <c r="X381" t="s">
        <v>605</v>
      </c>
      <c r="Y381" t="s">
        <v>330</v>
      </c>
      <c r="Z381">
        <v>22</v>
      </c>
      <c r="AA381" t="s">
        <v>102</v>
      </c>
      <c r="AB381">
        <v>0</v>
      </c>
      <c r="AC381" t="s">
        <v>66</v>
      </c>
      <c r="AD381">
        <v>0</v>
      </c>
      <c r="AE381" t="s">
        <v>66</v>
      </c>
      <c r="AF381" t="s">
        <v>56</v>
      </c>
      <c r="AG381" t="s">
        <v>56</v>
      </c>
      <c r="AH381" t="s">
        <v>56</v>
      </c>
      <c r="AI381" t="s">
        <v>56</v>
      </c>
      <c r="AJ381" t="s">
        <v>2245</v>
      </c>
      <c r="AK381" t="s">
        <v>2246</v>
      </c>
      <c r="AL381" t="s">
        <v>171</v>
      </c>
      <c r="AM381" t="s">
        <v>172</v>
      </c>
      <c r="AN381" t="s">
        <v>56</v>
      </c>
      <c r="AO381" t="s">
        <v>56</v>
      </c>
      <c r="AP381" t="s">
        <v>56</v>
      </c>
      <c r="AQ381" t="s">
        <v>71</v>
      </c>
      <c r="AR381" t="s">
        <v>56</v>
      </c>
      <c r="AS381" t="s">
        <v>56</v>
      </c>
      <c r="AT381" t="s">
        <v>56</v>
      </c>
      <c r="AU381" t="s">
        <v>56</v>
      </c>
      <c r="AV381" t="s">
        <v>56</v>
      </c>
      <c r="AW381" t="s">
        <v>56</v>
      </c>
      <c r="AX381">
        <v>4</v>
      </c>
    </row>
    <row r="382" spans="1:50" x14ac:dyDescent="0.25">
      <c r="A382" t="str">
        <f>"20200130186017138019"</f>
        <v>20200130186017138019</v>
      </c>
      <c r="B382" t="s">
        <v>124</v>
      </c>
      <c r="C382" t="s">
        <v>124</v>
      </c>
      <c r="D382" t="s">
        <v>2247</v>
      </c>
      <c r="E382" t="str">
        <f>"700010016301"</f>
        <v>700010016301</v>
      </c>
      <c r="F382" t="s">
        <v>52</v>
      </c>
      <c r="G382">
        <v>823002800</v>
      </c>
      <c r="H382">
        <v>70001</v>
      </c>
      <c r="I382" t="s">
        <v>603</v>
      </c>
      <c r="J382">
        <v>3126692716</v>
      </c>
      <c r="K382" t="s">
        <v>54</v>
      </c>
      <c r="L382">
        <v>72021125</v>
      </c>
      <c r="M382" t="s">
        <v>854</v>
      </c>
      <c r="N382" t="s">
        <v>155</v>
      </c>
      <c r="O382" t="s">
        <v>2248</v>
      </c>
      <c r="P382" t="s">
        <v>2249</v>
      </c>
      <c r="Q382" t="s">
        <v>2250</v>
      </c>
      <c r="R382" t="s">
        <v>54</v>
      </c>
      <c r="S382">
        <v>950595</v>
      </c>
      <c r="T382" t="s">
        <v>1928</v>
      </c>
      <c r="U382" t="s">
        <v>76</v>
      </c>
      <c r="V382" t="s">
        <v>2009</v>
      </c>
      <c r="W382" t="s">
        <v>560</v>
      </c>
      <c r="X382" t="s">
        <v>605</v>
      </c>
      <c r="Y382" t="s">
        <v>330</v>
      </c>
      <c r="Z382">
        <v>22</v>
      </c>
      <c r="AA382" t="s">
        <v>102</v>
      </c>
      <c r="AB382">
        <v>0</v>
      </c>
      <c r="AC382" t="s">
        <v>66</v>
      </c>
      <c r="AD382">
        <v>0</v>
      </c>
      <c r="AE382" t="s">
        <v>66</v>
      </c>
      <c r="AF382" t="s">
        <v>56</v>
      </c>
      <c r="AG382" t="s">
        <v>56</v>
      </c>
      <c r="AH382" t="s">
        <v>56</v>
      </c>
      <c r="AI382" t="s">
        <v>56</v>
      </c>
      <c r="AJ382" t="s">
        <v>1995</v>
      </c>
      <c r="AK382" t="s">
        <v>1996</v>
      </c>
      <c r="AL382" t="s">
        <v>56</v>
      </c>
      <c r="AM382" t="s">
        <v>56</v>
      </c>
      <c r="AN382" t="s">
        <v>56</v>
      </c>
      <c r="AO382" t="s">
        <v>56</v>
      </c>
      <c r="AP382" t="s">
        <v>56</v>
      </c>
      <c r="AQ382" t="s">
        <v>71</v>
      </c>
      <c r="AR382" t="s">
        <v>56</v>
      </c>
      <c r="AS382" t="s">
        <v>56</v>
      </c>
      <c r="AT382" t="s">
        <v>56</v>
      </c>
      <c r="AU382" t="s">
        <v>56</v>
      </c>
      <c r="AV382" t="s">
        <v>56</v>
      </c>
      <c r="AW382" t="s">
        <v>56</v>
      </c>
      <c r="AX382">
        <v>4</v>
      </c>
    </row>
    <row r="383" spans="1:50" x14ac:dyDescent="0.25">
      <c r="A383" t="str">
        <f>"20200130147017128637"</f>
        <v>20200130147017128637</v>
      </c>
      <c r="B383" t="s">
        <v>124</v>
      </c>
      <c r="C383" t="s">
        <v>124</v>
      </c>
      <c r="D383" t="s">
        <v>2251</v>
      </c>
      <c r="E383" t="str">
        <f>"700010151301"</f>
        <v>700010151301</v>
      </c>
      <c r="F383" t="s">
        <v>52</v>
      </c>
      <c r="G383">
        <v>830510991</v>
      </c>
      <c r="H383">
        <v>70001</v>
      </c>
      <c r="I383" t="s">
        <v>945</v>
      </c>
      <c r="J383">
        <v>2806901</v>
      </c>
      <c r="K383" t="s">
        <v>54</v>
      </c>
      <c r="L383">
        <v>56057880</v>
      </c>
      <c r="M383" t="s">
        <v>117</v>
      </c>
      <c r="N383" t="s">
        <v>76</v>
      </c>
      <c r="O383" t="s">
        <v>425</v>
      </c>
      <c r="P383" t="s">
        <v>252</v>
      </c>
      <c r="Q383">
        <v>70027</v>
      </c>
      <c r="R383" t="s">
        <v>54</v>
      </c>
      <c r="S383">
        <v>1104437260</v>
      </c>
      <c r="T383" t="s">
        <v>1721</v>
      </c>
      <c r="U383" t="s">
        <v>117</v>
      </c>
      <c r="V383" t="s">
        <v>263</v>
      </c>
      <c r="W383" t="s">
        <v>957</v>
      </c>
      <c r="X383" t="s">
        <v>2252</v>
      </c>
      <c r="Y383" t="s">
        <v>330</v>
      </c>
      <c r="Z383">
        <v>22</v>
      </c>
      <c r="AA383" t="s">
        <v>102</v>
      </c>
      <c r="AB383">
        <v>0</v>
      </c>
      <c r="AC383" t="s">
        <v>66</v>
      </c>
      <c r="AD383">
        <v>0</v>
      </c>
      <c r="AE383" t="s">
        <v>66</v>
      </c>
      <c r="AF383" t="s">
        <v>56</v>
      </c>
      <c r="AG383" t="s">
        <v>56</v>
      </c>
      <c r="AH383" t="s">
        <v>56</v>
      </c>
      <c r="AI383" t="s">
        <v>56</v>
      </c>
      <c r="AJ383" t="s">
        <v>2081</v>
      </c>
      <c r="AK383" t="s">
        <v>2082</v>
      </c>
      <c r="AL383" t="s">
        <v>56</v>
      </c>
      <c r="AM383" t="s">
        <v>56</v>
      </c>
      <c r="AN383" t="s">
        <v>56</v>
      </c>
      <c r="AO383" t="s">
        <v>56</v>
      </c>
      <c r="AP383" t="s">
        <v>56</v>
      </c>
      <c r="AQ383" t="s">
        <v>71</v>
      </c>
      <c r="AR383" t="s">
        <v>56</v>
      </c>
      <c r="AS383" t="s">
        <v>56</v>
      </c>
      <c r="AT383" t="s">
        <v>56</v>
      </c>
      <c r="AU383" t="s">
        <v>56</v>
      </c>
      <c r="AV383" t="s">
        <v>56</v>
      </c>
      <c r="AW383" t="s">
        <v>56</v>
      </c>
      <c r="AX383">
        <v>4</v>
      </c>
    </row>
    <row r="384" spans="1:50" x14ac:dyDescent="0.25">
      <c r="A384" t="str">
        <f>"20200126126017037377"</f>
        <v>20200126126017037377</v>
      </c>
      <c r="B384" t="s">
        <v>244</v>
      </c>
      <c r="C384" t="s">
        <v>244</v>
      </c>
      <c r="D384" t="s">
        <v>2253</v>
      </c>
      <c r="E384" t="str">
        <f>"080010349401"</f>
        <v>080010349401</v>
      </c>
      <c r="F384" t="s">
        <v>52</v>
      </c>
      <c r="G384">
        <v>900458308</v>
      </c>
      <c r="H384" t="s">
        <v>112</v>
      </c>
      <c r="I384" t="s">
        <v>370</v>
      </c>
      <c r="J384" t="s">
        <v>371</v>
      </c>
      <c r="K384" t="s">
        <v>54</v>
      </c>
      <c r="L384">
        <v>1143378811</v>
      </c>
      <c r="M384" t="s">
        <v>372</v>
      </c>
      <c r="N384" t="s">
        <v>373</v>
      </c>
      <c r="O384" t="s">
        <v>109</v>
      </c>
      <c r="P384" t="s">
        <v>374</v>
      </c>
      <c r="Q384">
        <v>1143378811</v>
      </c>
      <c r="R384" t="s">
        <v>54</v>
      </c>
      <c r="S384">
        <v>3828056</v>
      </c>
      <c r="T384" t="s">
        <v>128</v>
      </c>
      <c r="U384" t="s">
        <v>2218</v>
      </c>
      <c r="V384" t="s">
        <v>2254</v>
      </c>
      <c r="W384" t="s">
        <v>1789</v>
      </c>
      <c r="X384" t="s">
        <v>120</v>
      </c>
      <c r="Y384" t="s">
        <v>121</v>
      </c>
      <c r="Z384">
        <v>12</v>
      </c>
      <c r="AA384" t="s">
        <v>65</v>
      </c>
      <c r="AB384" t="s">
        <v>56</v>
      </c>
      <c r="AC384" t="s">
        <v>56</v>
      </c>
      <c r="AD384">
        <v>0</v>
      </c>
      <c r="AE384" t="s">
        <v>66</v>
      </c>
      <c r="AF384" t="s">
        <v>56</v>
      </c>
      <c r="AG384" t="s">
        <v>56</v>
      </c>
      <c r="AH384" t="s">
        <v>56</v>
      </c>
      <c r="AI384" t="s">
        <v>56</v>
      </c>
      <c r="AJ384" t="s">
        <v>356</v>
      </c>
      <c r="AK384" t="s">
        <v>357</v>
      </c>
      <c r="AL384" t="s">
        <v>255</v>
      </c>
      <c r="AM384" t="s">
        <v>256</v>
      </c>
      <c r="AN384" t="s">
        <v>56</v>
      </c>
      <c r="AO384" t="s">
        <v>56</v>
      </c>
      <c r="AP384" t="s">
        <v>56</v>
      </c>
      <c r="AQ384" t="s">
        <v>71</v>
      </c>
      <c r="AR384" t="s">
        <v>56</v>
      </c>
      <c r="AS384" t="s">
        <v>56</v>
      </c>
      <c r="AT384" t="s">
        <v>56</v>
      </c>
      <c r="AU384" t="s">
        <v>56</v>
      </c>
      <c r="AV384" t="s">
        <v>56</v>
      </c>
      <c r="AW384" t="s">
        <v>56</v>
      </c>
      <c r="AX384">
        <v>4</v>
      </c>
    </row>
    <row r="385" spans="1:50" x14ac:dyDescent="0.25">
      <c r="A385" t="str">
        <f>"20200131141017158560"</f>
        <v>20200131141017158560</v>
      </c>
      <c r="B385" t="s">
        <v>110</v>
      </c>
      <c r="C385" t="s">
        <v>110</v>
      </c>
      <c r="D385" t="s">
        <v>2255</v>
      </c>
      <c r="E385" t="str">
        <f>"270010070801"</f>
        <v>270010070801</v>
      </c>
      <c r="F385" t="s">
        <v>52</v>
      </c>
      <c r="G385">
        <v>900488067</v>
      </c>
      <c r="H385">
        <v>27001</v>
      </c>
      <c r="I385" t="s">
        <v>1854</v>
      </c>
      <c r="J385">
        <v>6708703</v>
      </c>
      <c r="K385" t="s">
        <v>54</v>
      </c>
      <c r="L385">
        <v>1151937502</v>
      </c>
      <c r="M385" t="s">
        <v>600</v>
      </c>
      <c r="N385" t="s">
        <v>97</v>
      </c>
      <c r="O385" t="s">
        <v>1855</v>
      </c>
      <c r="P385" t="s">
        <v>801</v>
      </c>
      <c r="Q385" t="s">
        <v>1856</v>
      </c>
      <c r="R385" t="s">
        <v>54</v>
      </c>
      <c r="S385">
        <v>22178569</v>
      </c>
      <c r="T385" t="s">
        <v>117</v>
      </c>
      <c r="U385" t="s">
        <v>803</v>
      </c>
      <c r="V385" t="s">
        <v>442</v>
      </c>
      <c r="W385" t="s">
        <v>1506</v>
      </c>
      <c r="X385" t="s">
        <v>860</v>
      </c>
      <c r="Y385" t="s">
        <v>717</v>
      </c>
      <c r="Z385">
        <v>11</v>
      </c>
      <c r="AA385" t="s">
        <v>87</v>
      </c>
      <c r="AB385" t="s">
        <v>56</v>
      </c>
      <c r="AC385" t="s">
        <v>56</v>
      </c>
      <c r="AD385">
        <v>0</v>
      </c>
      <c r="AE385" t="s">
        <v>66</v>
      </c>
      <c r="AF385" t="s">
        <v>56</v>
      </c>
      <c r="AG385" t="s">
        <v>56</v>
      </c>
      <c r="AH385" t="s">
        <v>56</v>
      </c>
      <c r="AI385" t="s">
        <v>56</v>
      </c>
      <c r="AJ385" t="s">
        <v>1861</v>
      </c>
      <c r="AK385" t="s">
        <v>1862</v>
      </c>
      <c r="AL385" t="s">
        <v>56</v>
      </c>
      <c r="AM385" t="s">
        <v>56</v>
      </c>
      <c r="AN385" t="s">
        <v>56</v>
      </c>
      <c r="AO385" t="s">
        <v>56</v>
      </c>
      <c r="AP385" t="s">
        <v>56</v>
      </c>
      <c r="AQ385" t="s">
        <v>71</v>
      </c>
      <c r="AR385" t="s">
        <v>56</v>
      </c>
      <c r="AS385" t="s">
        <v>56</v>
      </c>
      <c r="AT385" t="s">
        <v>56</v>
      </c>
      <c r="AU385" t="s">
        <v>56</v>
      </c>
      <c r="AV385" t="s">
        <v>56</v>
      </c>
      <c r="AW385" t="s">
        <v>56</v>
      </c>
      <c r="AX385">
        <v>4</v>
      </c>
    </row>
    <row r="386" spans="1:50" x14ac:dyDescent="0.25">
      <c r="A386" t="str">
        <f>"20200131156017176688"</f>
        <v>20200131156017176688</v>
      </c>
      <c r="B386" t="s">
        <v>110</v>
      </c>
      <c r="C386" t="s">
        <v>110</v>
      </c>
      <c r="D386" t="s">
        <v>2256</v>
      </c>
      <c r="E386" t="str">
        <f>"700010146401"</f>
        <v>700010146401</v>
      </c>
      <c r="F386" t="s">
        <v>52</v>
      </c>
      <c r="G386">
        <v>900581036</v>
      </c>
      <c r="H386">
        <v>70001</v>
      </c>
      <c r="I386" t="s">
        <v>387</v>
      </c>
      <c r="J386">
        <v>2807683</v>
      </c>
      <c r="K386" t="s">
        <v>54</v>
      </c>
      <c r="L386">
        <v>39049894</v>
      </c>
      <c r="M386" t="s">
        <v>2257</v>
      </c>
      <c r="N386" t="s">
        <v>296</v>
      </c>
      <c r="O386" t="s">
        <v>560</v>
      </c>
      <c r="P386" t="s">
        <v>775</v>
      </c>
      <c r="Q386">
        <v>18113</v>
      </c>
      <c r="R386" t="s">
        <v>237</v>
      </c>
      <c r="S386">
        <v>1103948065</v>
      </c>
      <c r="T386" t="s">
        <v>2258</v>
      </c>
      <c r="U386" t="s">
        <v>419</v>
      </c>
      <c r="V386" t="s">
        <v>707</v>
      </c>
      <c r="W386" t="s">
        <v>2259</v>
      </c>
      <c r="X386" t="s">
        <v>1635</v>
      </c>
      <c r="Y386" t="s">
        <v>330</v>
      </c>
      <c r="Z386">
        <v>12</v>
      </c>
      <c r="AA386" t="s">
        <v>65</v>
      </c>
      <c r="AB386" t="s">
        <v>56</v>
      </c>
      <c r="AC386" t="s">
        <v>56</v>
      </c>
      <c r="AD386">
        <v>0</v>
      </c>
      <c r="AE386" t="s">
        <v>66</v>
      </c>
      <c r="AF386" t="s">
        <v>56</v>
      </c>
      <c r="AG386" t="s">
        <v>56</v>
      </c>
      <c r="AH386" t="s">
        <v>56</v>
      </c>
      <c r="AI386" t="s">
        <v>56</v>
      </c>
      <c r="AJ386" t="s">
        <v>2260</v>
      </c>
      <c r="AK386" t="s">
        <v>2261</v>
      </c>
      <c r="AL386" t="s">
        <v>56</v>
      </c>
      <c r="AM386" t="s">
        <v>56</v>
      </c>
      <c r="AN386" t="s">
        <v>56</v>
      </c>
      <c r="AO386" t="s">
        <v>56</v>
      </c>
      <c r="AP386" t="s">
        <v>56</v>
      </c>
      <c r="AQ386" t="s">
        <v>71</v>
      </c>
      <c r="AR386" t="s">
        <v>56</v>
      </c>
      <c r="AS386" t="s">
        <v>56</v>
      </c>
      <c r="AT386" t="s">
        <v>56</v>
      </c>
      <c r="AU386" t="s">
        <v>56</v>
      </c>
      <c r="AV386" t="s">
        <v>56</v>
      </c>
      <c r="AW386" t="s">
        <v>56</v>
      </c>
      <c r="AX386">
        <v>4</v>
      </c>
    </row>
    <row r="387" spans="1:50" x14ac:dyDescent="0.25">
      <c r="A387" t="str">
        <f>"20200130147017150001"</f>
        <v>20200130147017150001</v>
      </c>
      <c r="B387" t="s">
        <v>124</v>
      </c>
      <c r="C387" t="s">
        <v>124</v>
      </c>
      <c r="D387" t="s">
        <v>2262</v>
      </c>
      <c r="E387" t="str">
        <f>"470580002301"</f>
        <v>470580002301</v>
      </c>
      <c r="F387" t="s">
        <v>52</v>
      </c>
      <c r="G387">
        <v>819001107</v>
      </c>
      <c r="H387">
        <v>47058</v>
      </c>
      <c r="I387" t="s">
        <v>626</v>
      </c>
      <c r="J387">
        <v>4258152</v>
      </c>
      <c r="K387" t="s">
        <v>54</v>
      </c>
      <c r="L387">
        <v>22585117</v>
      </c>
      <c r="M387" t="s">
        <v>577</v>
      </c>
      <c r="N387" t="s">
        <v>627</v>
      </c>
      <c r="O387" t="s">
        <v>194</v>
      </c>
      <c r="P387" t="s">
        <v>517</v>
      </c>
      <c r="Q387">
        <v>472587</v>
      </c>
      <c r="R387" t="s">
        <v>54</v>
      </c>
      <c r="S387">
        <v>39069587</v>
      </c>
      <c r="T387" t="s">
        <v>2263</v>
      </c>
      <c r="U387" t="s">
        <v>1993</v>
      </c>
      <c r="V387" t="s">
        <v>1619</v>
      </c>
      <c r="W387" t="s">
        <v>109</v>
      </c>
      <c r="X387" t="s">
        <v>344</v>
      </c>
      <c r="Y387" t="s">
        <v>345</v>
      </c>
      <c r="Z387">
        <v>12</v>
      </c>
      <c r="AA387" t="s">
        <v>65</v>
      </c>
      <c r="AB387" t="s">
        <v>56</v>
      </c>
      <c r="AC387" t="s">
        <v>56</v>
      </c>
      <c r="AD387">
        <v>0</v>
      </c>
      <c r="AE387" t="s">
        <v>66</v>
      </c>
      <c r="AF387" t="s">
        <v>56</v>
      </c>
      <c r="AG387" t="s">
        <v>56</v>
      </c>
      <c r="AH387" t="s">
        <v>56</v>
      </c>
      <c r="AI387" t="s">
        <v>56</v>
      </c>
      <c r="AJ387" t="s">
        <v>2021</v>
      </c>
      <c r="AK387" t="s">
        <v>2022</v>
      </c>
      <c r="AL387" t="s">
        <v>56</v>
      </c>
      <c r="AM387" t="s">
        <v>56</v>
      </c>
      <c r="AN387" t="s">
        <v>56</v>
      </c>
      <c r="AO387" t="s">
        <v>56</v>
      </c>
      <c r="AP387" t="s">
        <v>56</v>
      </c>
      <c r="AQ387" t="s">
        <v>71</v>
      </c>
      <c r="AR387" t="s">
        <v>56</v>
      </c>
      <c r="AS387" t="s">
        <v>56</v>
      </c>
      <c r="AT387" t="s">
        <v>56</v>
      </c>
      <c r="AU387" t="s">
        <v>56</v>
      </c>
      <c r="AV387" t="s">
        <v>56</v>
      </c>
      <c r="AW387" t="s">
        <v>56</v>
      </c>
      <c r="AX387">
        <v>4</v>
      </c>
    </row>
    <row r="388" spans="1:50" x14ac:dyDescent="0.25">
      <c r="A388" t="str">
        <f>"20200124117017013493"</f>
        <v>20200124117017013493</v>
      </c>
      <c r="B388" t="s">
        <v>201</v>
      </c>
      <c r="C388" t="s">
        <v>201</v>
      </c>
      <c r="D388" t="s">
        <v>2264</v>
      </c>
      <c r="E388" t="str">
        <f>"761470067210"</f>
        <v>761470067210</v>
      </c>
      <c r="F388" t="s">
        <v>52</v>
      </c>
      <c r="G388">
        <v>836000386</v>
      </c>
      <c r="H388">
        <v>76147</v>
      </c>
      <c r="I388" t="s">
        <v>1142</v>
      </c>
      <c r="J388" t="s">
        <v>1143</v>
      </c>
      <c r="K388" t="s">
        <v>54</v>
      </c>
      <c r="L388">
        <v>94312188</v>
      </c>
      <c r="M388" t="s">
        <v>757</v>
      </c>
      <c r="N388" t="s">
        <v>596</v>
      </c>
      <c r="O388" t="s">
        <v>2265</v>
      </c>
      <c r="P388" t="s">
        <v>2266</v>
      </c>
      <c r="Q388">
        <v>960616</v>
      </c>
      <c r="R388" t="s">
        <v>54</v>
      </c>
      <c r="S388">
        <v>29845687</v>
      </c>
      <c r="T388" t="s">
        <v>1205</v>
      </c>
      <c r="U388" t="s">
        <v>62</v>
      </c>
      <c r="V388" t="s">
        <v>707</v>
      </c>
      <c r="W388" t="s">
        <v>801</v>
      </c>
      <c r="X388" t="s">
        <v>277</v>
      </c>
      <c r="Y388" t="s">
        <v>64</v>
      </c>
      <c r="Z388">
        <v>11</v>
      </c>
      <c r="AA388" t="s">
        <v>87</v>
      </c>
      <c r="AB388" t="s">
        <v>56</v>
      </c>
      <c r="AC388" t="s">
        <v>56</v>
      </c>
      <c r="AD388">
        <v>0</v>
      </c>
      <c r="AE388" t="s">
        <v>66</v>
      </c>
      <c r="AF388" t="s">
        <v>56</v>
      </c>
      <c r="AG388" t="s">
        <v>56</v>
      </c>
      <c r="AH388" t="s">
        <v>56</v>
      </c>
      <c r="AI388" t="s">
        <v>56</v>
      </c>
      <c r="AJ388" t="s">
        <v>1316</v>
      </c>
      <c r="AK388" t="s">
        <v>1317</v>
      </c>
      <c r="AL388" t="s">
        <v>56</v>
      </c>
      <c r="AM388" t="s">
        <v>56</v>
      </c>
      <c r="AN388" t="s">
        <v>56</v>
      </c>
      <c r="AO388" t="s">
        <v>56</v>
      </c>
      <c r="AP388" t="s">
        <v>56</v>
      </c>
      <c r="AQ388" t="s">
        <v>71</v>
      </c>
      <c r="AR388" t="s">
        <v>56</v>
      </c>
      <c r="AS388" t="s">
        <v>56</v>
      </c>
      <c r="AT388" t="s">
        <v>56</v>
      </c>
      <c r="AU388" t="s">
        <v>56</v>
      </c>
      <c r="AV388" t="s">
        <v>56</v>
      </c>
      <c r="AW388" t="s">
        <v>56</v>
      </c>
      <c r="AX388">
        <v>4</v>
      </c>
    </row>
    <row r="389" spans="1:50" x14ac:dyDescent="0.25">
      <c r="A389" t="str">
        <f>"20200131138017159994"</f>
        <v>20200131138017159994</v>
      </c>
      <c r="B389" t="s">
        <v>110</v>
      </c>
      <c r="C389" t="s">
        <v>110</v>
      </c>
      <c r="D389" t="s">
        <v>2267</v>
      </c>
      <c r="E389" t="str">
        <f>"086380050301"</f>
        <v>086380050301</v>
      </c>
      <c r="F389" t="s">
        <v>52</v>
      </c>
      <c r="G389">
        <v>900008600</v>
      </c>
      <c r="H389" t="s">
        <v>246</v>
      </c>
      <c r="I389" t="s">
        <v>732</v>
      </c>
      <c r="J389" t="s">
        <v>733</v>
      </c>
      <c r="K389" t="s">
        <v>54</v>
      </c>
      <c r="L389">
        <v>17143468</v>
      </c>
      <c r="M389" t="s">
        <v>233</v>
      </c>
      <c r="N389" t="s">
        <v>2188</v>
      </c>
      <c r="O389" t="s">
        <v>986</v>
      </c>
      <c r="P389" t="s">
        <v>324</v>
      </c>
      <c r="Q389">
        <v>904</v>
      </c>
      <c r="R389" t="s">
        <v>237</v>
      </c>
      <c r="S389">
        <v>1042994931</v>
      </c>
      <c r="T389" t="s">
        <v>897</v>
      </c>
      <c r="U389" t="s">
        <v>223</v>
      </c>
      <c r="V389" t="s">
        <v>2268</v>
      </c>
      <c r="W389" t="s">
        <v>587</v>
      </c>
      <c r="X389" t="s">
        <v>590</v>
      </c>
      <c r="Y389" t="s">
        <v>121</v>
      </c>
      <c r="Z389">
        <v>12</v>
      </c>
      <c r="AA389" t="s">
        <v>65</v>
      </c>
      <c r="AB389" t="s">
        <v>56</v>
      </c>
      <c r="AC389" t="s">
        <v>56</v>
      </c>
      <c r="AD389">
        <v>0</v>
      </c>
      <c r="AE389" t="s">
        <v>66</v>
      </c>
      <c r="AF389" t="s">
        <v>56</v>
      </c>
      <c r="AG389" t="s">
        <v>56</v>
      </c>
      <c r="AH389" t="s">
        <v>56</v>
      </c>
      <c r="AI389" t="s">
        <v>56</v>
      </c>
      <c r="AJ389" t="s">
        <v>1373</v>
      </c>
      <c r="AK389" t="s">
        <v>1374</v>
      </c>
      <c r="AL389" t="s">
        <v>56</v>
      </c>
      <c r="AM389" t="s">
        <v>56</v>
      </c>
      <c r="AN389" t="s">
        <v>56</v>
      </c>
      <c r="AO389" t="s">
        <v>56</v>
      </c>
      <c r="AP389" t="s">
        <v>56</v>
      </c>
      <c r="AQ389" t="s">
        <v>71</v>
      </c>
      <c r="AR389" t="s">
        <v>56</v>
      </c>
      <c r="AS389" t="s">
        <v>56</v>
      </c>
      <c r="AT389" t="s">
        <v>56</v>
      </c>
      <c r="AU389" t="s">
        <v>56</v>
      </c>
      <c r="AV389" t="s">
        <v>56</v>
      </c>
      <c r="AW389" t="s">
        <v>56</v>
      </c>
      <c r="AX389">
        <v>4</v>
      </c>
    </row>
    <row r="390" spans="1:50" x14ac:dyDescent="0.25">
      <c r="A390" t="str">
        <f>"20200128103017086358"</f>
        <v>20200128103017086358</v>
      </c>
      <c r="B390" t="s">
        <v>151</v>
      </c>
      <c r="C390" t="s">
        <v>151</v>
      </c>
      <c r="D390" t="s">
        <v>2269</v>
      </c>
      <c r="E390" t="str">
        <f>"761470067210"</f>
        <v>761470067210</v>
      </c>
      <c r="F390" t="s">
        <v>52</v>
      </c>
      <c r="G390">
        <v>836000386</v>
      </c>
      <c r="H390">
        <v>76147</v>
      </c>
      <c r="I390" t="s">
        <v>1142</v>
      </c>
      <c r="J390" t="s">
        <v>1143</v>
      </c>
      <c r="K390" t="s">
        <v>54</v>
      </c>
      <c r="L390">
        <v>16213224</v>
      </c>
      <c r="M390" t="s">
        <v>492</v>
      </c>
      <c r="N390" t="s">
        <v>1144</v>
      </c>
      <c r="O390" t="s">
        <v>57</v>
      </c>
      <c r="P390" t="s">
        <v>276</v>
      </c>
      <c r="Q390">
        <v>734</v>
      </c>
      <c r="R390" t="s">
        <v>54</v>
      </c>
      <c r="S390">
        <v>29132876</v>
      </c>
      <c r="T390" t="s">
        <v>2270</v>
      </c>
      <c r="U390" t="s">
        <v>62</v>
      </c>
      <c r="V390" t="s">
        <v>2271</v>
      </c>
      <c r="W390" t="s">
        <v>2272</v>
      </c>
      <c r="X390" t="s">
        <v>277</v>
      </c>
      <c r="Y390" t="s">
        <v>64</v>
      </c>
      <c r="Z390">
        <v>21</v>
      </c>
      <c r="AA390" t="s">
        <v>1103</v>
      </c>
      <c r="AB390" t="s">
        <v>56</v>
      </c>
      <c r="AC390" t="s">
        <v>56</v>
      </c>
      <c r="AD390">
        <v>0</v>
      </c>
      <c r="AE390" t="s">
        <v>66</v>
      </c>
      <c r="AF390" t="s">
        <v>56</v>
      </c>
      <c r="AG390" t="s">
        <v>56</v>
      </c>
      <c r="AH390" t="s">
        <v>56</v>
      </c>
      <c r="AI390" t="s">
        <v>56</v>
      </c>
      <c r="AJ390" t="s">
        <v>255</v>
      </c>
      <c r="AK390" t="s">
        <v>256</v>
      </c>
      <c r="AL390" t="s">
        <v>2273</v>
      </c>
      <c r="AM390" t="s">
        <v>2274</v>
      </c>
      <c r="AN390" t="s">
        <v>56</v>
      </c>
      <c r="AO390" t="s">
        <v>56</v>
      </c>
      <c r="AP390" t="s">
        <v>56</v>
      </c>
      <c r="AQ390" t="s">
        <v>71</v>
      </c>
      <c r="AR390" t="s">
        <v>56</v>
      </c>
      <c r="AS390" t="s">
        <v>56</v>
      </c>
      <c r="AT390" t="s">
        <v>56</v>
      </c>
      <c r="AU390" t="s">
        <v>56</v>
      </c>
      <c r="AV390" t="s">
        <v>56</v>
      </c>
      <c r="AW390" t="s">
        <v>56</v>
      </c>
      <c r="AX390">
        <v>4</v>
      </c>
    </row>
    <row r="391" spans="1:50" x14ac:dyDescent="0.25">
      <c r="A391" t="str">
        <f>"20200128165017086456"</f>
        <v>20200128165017086456</v>
      </c>
      <c r="B391" t="s">
        <v>151</v>
      </c>
      <c r="C391" t="s">
        <v>151</v>
      </c>
      <c r="D391" t="s">
        <v>2275</v>
      </c>
      <c r="E391" t="str">
        <f>"761470067210"</f>
        <v>761470067210</v>
      </c>
      <c r="F391" t="s">
        <v>52</v>
      </c>
      <c r="G391">
        <v>836000386</v>
      </c>
      <c r="H391">
        <v>76147</v>
      </c>
      <c r="I391" t="s">
        <v>1142</v>
      </c>
      <c r="J391" t="s">
        <v>1143</v>
      </c>
      <c r="K391" t="s">
        <v>54</v>
      </c>
      <c r="L391">
        <v>16213224</v>
      </c>
      <c r="M391" t="s">
        <v>492</v>
      </c>
      <c r="N391" t="s">
        <v>1144</v>
      </c>
      <c r="O391" t="s">
        <v>57</v>
      </c>
      <c r="P391" t="s">
        <v>276</v>
      </c>
      <c r="Q391">
        <v>734</v>
      </c>
      <c r="R391" t="s">
        <v>54</v>
      </c>
      <c r="S391">
        <v>29132876</v>
      </c>
      <c r="T391" t="s">
        <v>2270</v>
      </c>
      <c r="U391" t="s">
        <v>62</v>
      </c>
      <c r="V391" t="s">
        <v>2271</v>
      </c>
      <c r="W391" t="s">
        <v>2272</v>
      </c>
      <c r="X391" t="s">
        <v>277</v>
      </c>
      <c r="Y391" t="s">
        <v>64</v>
      </c>
      <c r="Z391">
        <v>21</v>
      </c>
      <c r="AA391" t="s">
        <v>1103</v>
      </c>
      <c r="AB391" t="s">
        <v>56</v>
      </c>
      <c r="AC391" t="s">
        <v>56</v>
      </c>
      <c r="AD391">
        <v>0</v>
      </c>
      <c r="AE391" t="s">
        <v>66</v>
      </c>
      <c r="AF391" t="s">
        <v>56</v>
      </c>
      <c r="AG391" t="s">
        <v>56</v>
      </c>
      <c r="AH391" t="s">
        <v>56</v>
      </c>
      <c r="AI391" t="s">
        <v>56</v>
      </c>
      <c r="AJ391" t="s">
        <v>255</v>
      </c>
      <c r="AK391" t="s">
        <v>256</v>
      </c>
      <c r="AL391" t="s">
        <v>2273</v>
      </c>
      <c r="AM391" t="s">
        <v>2274</v>
      </c>
      <c r="AN391" t="s">
        <v>56</v>
      </c>
      <c r="AO391" t="s">
        <v>56</v>
      </c>
      <c r="AP391" t="s">
        <v>56</v>
      </c>
      <c r="AQ391" t="s">
        <v>71</v>
      </c>
      <c r="AR391" t="s">
        <v>56</v>
      </c>
      <c r="AS391" t="s">
        <v>56</v>
      </c>
      <c r="AT391" t="s">
        <v>56</v>
      </c>
      <c r="AU391" t="s">
        <v>56</v>
      </c>
      <c r="AV391" t="s">
        <v>56</v>
      </c>
      <c r="AW391" t="s">
        <v>56</v>
      </c>
      <c r="AX391">
        <v>4</v>
      </c>
    </row>
    <row r="392" spans="1:50" x14ac:dyDescent="0.25">
      <c r="A392" t="str">
        <f>"20200130173017146261"</f>
        <v>20200130173017146261</v>
      </c>
      <c r="B392" t="s">
        <v>124</v>
      </c>
      <c r="C392" t="s">
        <v>124</v>
      </c>
      <c r="D392" t="s">
        <v>2276</v>
      </c>
      <c r="E392" t="str">
        <f>"700010016301"</f>
        <v>700010016301</v>
      </c>
      <c r="F392" t="s">
        <v>52</v>
      </c>
      <c r="G392">
        <v>823002800</v>
      </c>
      <c r="H392">
        <v>70001</v>
      </c>
      <c r="I392" t="s">
        <v>603</v>
      </c>
      <c r="J392">
        <v>3126692716</v>
      </c>
      <c r="K392" t="s">
        <v>54</v>
      </c>
      <c r="L392">
        <v>33205215</v>
      </c>
      <c r="M392" t="s">
        <v>117</v>
      </c>
      <c r="N392" t="s">
        <v>600</v>
      </c>
      <c r="O392" t="s">
        <v>194</v>
      </c>
      <c r="P392" t="s">
        <v>774</v>
      </c>
      <c r="Q392">
        <v>159196</v>
      </c>
      <c r="R392" t="s">
        <v>54</v>
      </c>
      <c r="S392">
        <v>23075943</v>
      </c>
      <c r="T392" t="s">
        <v>470</v>
      </c>
      <c r="U392" t="s">
        <v>1000</v>
      </c>
      <c r="V392" t="s">
        <v>707</v>
      </c>
      <c r="W392" t="s">
        <v>472</v>
      </c>
      <c r="X392" t="s">
        <v>2277</v>
      </c>
      <c r="Y392" t="s">
        <v>101</v>
      </c>
      <c r="Z392">
        <v>12</v>
      </c>
      <c r="AA392" t="s">
        <v>65</v>
      </c>
      <c r="AB392" t="s">
        <v>56</v>
      </c>
      <c r="AC392" t="s">
        <v>56</v>
      </c>
      <c r="AD392">
        <v>0</v>
      </c>
      <c r="AE392" t="s">
        <v>66</v>
      </c>
      <c r="AF392" t="s">
        <v>56</v>
      </c>
      <c r="AG392" t="s">
        <v>56</v>
      </c>
      <c r="AH392" t="s">
        <v>56</v>
      </c>
      <c r="AI392" t="s">
        <v>56</v>
      </c>
      <c r="AJ392" t="s">
        <v>536</v>
      </c>
      <c r="AK392" t="s">
        <v>537</v>
      </c>
      <c r="AL392" t="s">
        <v>56</v>
      </c>
      <c r="AM392" t="s">
        <v>56</v>
      </c>
      <c r="AN392" t="s">
        <v>56</v>
      </c>
      <c r="AO392" t="s">
        <v>56</v>
      </c>
      <c r="AP392" t="s">
        <v>56</v>
      </c>
      <c r="AQ392" t="s">
        <v>71</v>
      </c>
      <c r="AR392" t="s">
        <v>56</v>
      </c>
      <c r="AS392" t="s">
        <v>56</v>
      </c>
      <c r="AT392" t="s">
        <v>56</v>
      </c>
      <c r="AU392" t="s">
        <v>56</v>
      </c>
      <c r="AV392" t="s">
        <v>56</v>
      </c>
      <c r="AW392" t="s">
        <v>56</v>
      </c>
      <c r="AX392">
        <v>4</v>
      </c>
    </row>
    <row r="393" spans="1:50" x14ac:dyDescent="0.25">
      <c r="A393" t="str">
        <f>"20200130118017146446"</f>
        <v>20200130118017146446</v>
      </c>
      <c r="B393" t="s">
        <v>124</v>
      </c>
      <c r="C393" t="s">
        <v>124</v>
      </c>
      <c r="D393" t="s">
        <v>2278</v>
      </c>
      <c r="E393" t="str">
        <f>"700010016301"</f>
        <v>700010016301</v>
      </c>
      <c r="F393" t="s">
        <v>52</v>
      </c>
      <c r="G393">
        <v>823002800</v>
      </c>
      <c r="H393">
        <v>70001</v>
      </c>
      <c r="I393" t="s">
        <v>603</v>
      </c>
      <c r="J393">
        <v>3126692716</v>
      </c>
      <c r="K393" t="s">
        <v>54</v>
      </c>
      <c r="L393">
        <v>33205215</v>
      </c>
      <c r="M393" t="s">
        <v>117</v>
      </c>
      <c r="N393" t="s">
        <v>600</v>
      </c>
      <c r="O393" t="s">
        <v>194</v>
      </c>
      <c r="P393" t="s">
        <v>774</v>
      </c>
      <c r="Q393">
        <v>159196</v>
      </c>
      <c r="R393" t="s">
        <v>54</v>
      </c>
      <c r="S393">
        <v>23075943</v>
      </c>
      <c r="T393" t="s">
        <v>470</v>
      </c>
      <c r="U393" t="s">
        <v>1000</v>
      </c>
      <c r="V393" t="s">
        <v>707</v>
      </c>
      <c r="W393" t="s">
        <v>472</v>
      </c>
      <c r="X393" t="s">
        <v>2277</v>
      </c>
      <c r="Y393" t="s">
        <v>101</v>
      </c>
      <c r="Z393">
        <v>12</v>
      </c>
      <c r="AA393" t="s">
        <v>65</v>
      </c>
      <c r="AB393" t="s">
        <v>56</v>
      </c>
      <c r="AC393" t="s">
        <v>56</v>
      </c>
      <c r="AD393">
        <v>0</v>
      </c>
      <c r="AE393" t="s">
        <v>66</v>
      </c>
      <c r="AF393" t="s">
        <v>56</v>
      </c>
      <c r="AG393" t="s">
        <v>56</v>
      </c>
      <c r="AH393" t="s">
        <v>56</v>
      </c>
      <c r="AI393" t="s">
        <v>56</v>
      </c>
      <c r="AJ393" t="s">
        <v>536</v>
      </c>
      <c r="AK393" t="s">
        <v>537</v>
      </c>
      <c r="AL393" t="s">
        <v>56</v>
      </c>
      <c r="AM393" t="s">
        <v>56</v>
      </c>
      <c r="AN393" t="s">
        <v>56</v>
      </c>
      <c r="AO393" t="s">
        <v>56</v>
      </c>
      <c r="AP393" t="s">
        <v>56</v>
      </c>
      <c r="AQ393" t="s">
        <v>71</v>
      </c>
      <c r="AR393" t="s">
        <v>56</v>
      </c>
      <c r="AS393" t="s">
        <v>56</v>
      </c>
      <c r="AT393" t="s">
        <v>56</v>
      </c>
      <c r="AU393" t="s">
        <v>56</v>
      </c>
      <c r="AV393" t="s">
        <v>56</v>
      </c>
      <c r="AW393" t="s">
        <v>56</v>
      </c>
      <c r="AX393">
        <v>4</v>
      </c>
    </row>
    <row r="394" spans="1:50" x14ac:dyDescent="0.25">
      <c r="A394" t="str">
        <f>"20200130122017140337"</f>
        <v>20200130122017140337</v>
      </c>
      <c r="B394" t="s">
        <v>124</v>
      </c>
      <c r="C394" t="s">
        <v>124</v>
      </c>
      <c r="D394" t="s">
        <v>2279</v>
      </c>
      <c r="E394" t="str">
        <f>"080010409201"</f>
        <v>080010409201</v>
      </c>
      <c r="F394" t="s">
        <v>52</v>
      </c>
      <c r="G394">
        <v>900448414</v>
      </c>
      <c r="H394" t="s">
        <v>112</v>
      </c>
      <c r="I394" t="s">
        <v>785</v>
      </c>
      <c r="J394">
        <v>3545674</v>
      </c>
      <c r="K394" t="s">
        <v>54</v>
      </c>
      <c r="L394">
        <v>8736587</v>
      </c>
      <c r="M394" t="s">
        <v>164</v>
      </c>
      <c r="N394" t="s">
        <v>281</v>
      </c>
      <c r="O394" t="s">
        <v>1101</v>
      </c>
      <c r="P394" t="s">
        <v>309</v>
      </c>
      <c r="Q394" t="s">
        <v>1412</v>
      </c>
      <c r="R394" t="s">
        <v>54</v>
      </c>
      <c r="S394">
        <v>22960045</v>
      </c>
      <c r="T394" t="s">
        <v>2280</v>
      </c>
      <c r="U394" t="s">
        <v>62</v>
      </c>
      <c r="V394" t="s">
        <v>668</v>
      </c>
      <c r="W394" t="s">
        <v>240</v>
      </c>
      <c r="X394" t="s">
        <v>120</v>
      </c>
      <c r="Y394" t="s">
        <v>121</v>
      </c>
      <c r="Z394">
        <v>12</v>
      </c>
      <c r="AA394" t="s">
        <v>65</v>
      </c>
      <c r="AB394" t="s">
        <v>56</v>
      </c>
      <c r="AC394" t="s">
        <v>56</v>
      </c>
      <c r="AD394">
        <v>0</v>
      </c>
      <c r="AE394" t="s">
        <v>66</v>
      </c>
      <c r="AF394" t="s">
        <v>56</v>
      </c>
      <c r="AG394" t="s">
        <v>56</v>
      </c>
      <c r="AH394" t="s">
        <v>56</v>
      </c>
      <c r="AI394" t="s">
        <v>56</v>
      </c>
      <c r="AJ394" t="s">
        <v>215</v>
      </c>
      <c r="AK394" t="s">
        <v>216</v>
      </c>
      <c r="AL394" t="s">
        <v>56</v>
      </c>
      <c r="AM394" t="s">
        <v>56</v>
      </c>
      <c r="AN394" t="s">
        <v>56</v>
      </c>
      <c r="AO394" t="s">
        <v>56</v>
      </c>
      <c r="AP394" t="s">
        <v>56</v>
      </c>
      <c r="AQ394" t="s">
        <v>71</v>
      </c>
      <c r="AR394" t="s">
        <v>56</v>
      </c>
      <c r="AS394" t="s">
        <v>56</v>
      </c>
      <c r="AT394" t="s">
        <v>56</v>
      </c>
      <c r="AU394" t="s">
        <v>56</v>
      </c>
      <c r="AV394" t="s">
        <v>56</v>
      </c>
      <c r="AW394" t="s">
        <v>56</v>
      </c>
      <c r="AX394">
        <v>4</v>
      </c>
    </row>
    <row r="395" spans="1:50" x14ac:dyDescent="0.25">
      <c r="A395" t="str">
        <f>"20200131165017168562"</f>
        <v>20200131165017168562</v>
      </c>
      <c r="B395" t="s">
        <v>110</v>
      </c>
      <c r="C395" t="s">
        <v>110</v>
      </c>
      <c r="D395" t="s">
        <v>2281</v>
      </c>
      <c r="E395" t="str">
        <f>"080010409201"</f>
        <v>080010409201</v>
      </c>
      <c r="F395" t="s">
        <v>52</v>
      </c>
      <c r="G395">
        <v>900448414</v>
      </c>
      <c r="H395" t="s">
        <v>112</v>
      </c>
      <c r="I395" t="s">
        <v>785</v>
      </c>
      <c r="J395">
        <v>3545674</v>
      </c>
      <c r="K395" t="s">
        <v>54</v>
      </c>
      <c r="L395">
        <v>8736587</v>
      </c>
      <c r="M395" t="s">
        <v>164</v>
      </c>
      <c r="N395" t="s">
        <v>281</v>
      </c>
      <c r="O395" t="s">
        <v>1101</v>
      </c>
      <c r="P395" t="s">
        <v>309</v>
      </c>
      <c r="Q395" t="s">
        <v>1412</v>
      </c>
      <c r="R395" t="s">
        <v>54</v>
      </c>
      <c r="S395">
        <v>22960045</v>
      </c>
      <c r="T395" t="s">
        <v>2280</v>
      </c>
      <c r="U395" t="s">
        <v>62</v>
      </c>
      <c r="V395" t="s">
        <v>668</v>
      </c>
      <c r="W395" t="s">
        <v>240</v>
      </c>
      <c r="X395" t="s">
        <v>120</v>
      </c>
      <c r="Y395" t="s">
        <v>121</v>
      </c>
      <c r="Z395">
        <v>12</v>
      </c>
      <c r="AA395" t="s">
        <v>65</v>
      </c>
      <c r="AB395" t="s">
        <v>56</v>
      </c>
      <c r="AC395" t="s">
        <v>56</v>
      </c>
      <c r="AD395">
        <v>0</v>
      </c>
      <c r="AE395" t="s">
        <v>66</v>
      </c>
      <c r="AF395" t="s">
        <v>56</v>
      </c>
      <c r="AG395" t="s">
        <v>56</v>
      </c>
      <c r="AH395" t="s">
        <v>56</v>
      </c>
      <c r="AI395" t="s">
        <v>56</v>
      </c>
      <c r="AJ395" t="s">
        <v>215</v>
      </c>
      <c r="AK395" t="s">
        <v>216</v>
      </c>
      <c r="AL395" t="s">
        <v>56</v>
      </c>
      <c r="AM395" t="s">
        <v>56</v>
      </c>
      <c r="AN395" t="s">
        <v>56</v>
      </c>
      <c r="AO395" t="s">
        <v>56</v>
      </c>
      <c r="AP395" t="s">
        <v>56</v>
      </c>
      <c r="AQ395" t="s">
        <v>71</v>
      </c>
      <c r="AR395" t="s">
        <v>56</v>
      </c>
      <c r="AS395" t="s">
        <v>56</v>
      </c>
      <c r="AT395" t="s">
        <v>56</v>
      </c>
      <c r="AU395" t="s">
        <v>56</v>
      </c>
      <c r="AV395" t="s">
        <v>56</v>
      </c>
      <c r="AW395" t="s">
        <v>56</v>
      </c>
      <c r="AX395">
        <v>4</v>
      </c>
    </row>
    <row r="396" spans="1:50" x14ac:dyDescent="0.25">
      <c r="A396" t="str">
        <f>"20200126167017037449"</f>
        <v>20200126167017037449</v>
      </c>
      <c r="B396" t="s">
        <v>244</v>
      </c>
      <c r="C396" t="s">
        <v>244</v>
      </c>
      <c r="D396" t="s">
        <v>2282</v>
      </c>
      <c r="E396" t="str">
        <f>"080010349401"</f>
        <v>080010349401</v>
      </c>
      <c r="F396" t="s">
        <v>52</v>
      </c>
      <c r="G396">
        <v>900458308</v>
      </c>
      <c r="H396" t="s">
        <v>112</v>
      </c>
      <c r="I396" t="s">
        <v>370</v>
      </c>
      <c r="J396" t="s">
        <v>371</v>
      </c>
      <c r="K396" t="s">
        <v>54</v>
      </c>
      <c r="L396">
        <v>1143378811</v>
      </c>
      <c r="M396" t="s">
        <v>372</v>
      </c>
      <c r="N396" t="s">
        <v>373</v>
      </c>
      <c r="O396" t="s">
        <v>109</v>
      </c>
      <c r="P396" t="s">
        <v>374</v>
      </c>
      <c r="Q396">
        <v>1143378811</v>
      </c>
      <c r="R396" t="s">
        <v>54</v>
      </c>
      <c r="S396">
        <v>166796</v>
      </c>
      <c r="T396" t="s">
        <v>352</v>
      </c>
      <c r="U396" t="s">
        <v>1304</v>
      </c>
      <c r="V396" t="s">
        <v>57</v>
      </c>
      <c r="W396" t="s">
        <v>2283</v>
      </c>
      <c r="X396" t="s">
        <v>120</v>
      </c>
      <c r="Y396" t="s">
        <v>121</v>
      </c>
      <c r="Z396">
        <v>12</v>
      </c>
      <c r="AA396" t="s">
        <v>65</v>
      </c>
      <c r="AB396" t="s">
        <v>56</v>
      </c>
      <c r="AC396" t="s">
        <v>56</v>
      </c>
      <c r="AD396">
        <v>0</v>
      </c>
      <c r="AE396" t="s">
        <v>66</v>
      </c>
      <c r="AF396" t="s">
        <v>56</v>
      </c>
      <c r="AG396" t="s">
        <v>56</v>
      </c>
      <c r="AH396" t="s">
        <v>56</v>
      </c>
      <c r="AI396" t="s">
        <v>56</v>
      </c>
      <c r="AJ396" t="s">
        <v>356</v>
      </c>
      <c r="AK396" t="s">
        <v>357</v>
      </c>
      <c r="AL396" t="s">
        <v>255</v>
      </c>
      <c r="AM396" t="s">
        <v>256</v>
      </c>
      <c r="AN396" t="s">
        <v>56</v>
      </c>
      <c r="AO396" t="s">
        <v>56</v>
      </c>
      <c r="AP396" t="s">
        <v>56</v>
      </c>
      <c r="AQ396" t="s">
        <v>71</v>
      </c>
      <c r="AR396" t="s">
        <v>56</v>
      </c>
      <c r="AS396" t="s">
        <v>56</v>
      </c>
      <c r="AT396" t="s">
        <v>56</v>
      </c>
      <c r="AU396" t="s">
        <v>56</v>
      </c>
      <c r="AV396" t="s">
        <v>56</v>
      </c>
      <c r="AW396" t="s">
        <v>56</v>
      </c>
      <c r="AX396">
        <v>4</v>
      </c>
    </row>
    <row r="397" spans="1:50" x14ac:dyDescent="0.25">
      <c r="A397" t="str">
        <f>"20200130172017138025"</f>
        <v>20200130172017138025</v>
      </c>
      <c r="B397" t="s">
        <v>124</v>
      </c>
      <c r="C397" t="s">
        <v>124</v>
      </c>
      <c r="D397" t="s">
        <v>2284</v>
      </c>
      <c r="E397" t="str">
        <f>"761470851601"</f>
        <v>761470851601</v>
      </c>
      <c r="F397" t="s">
        <v>52</v>
      </c>
      <c r="G397">
        <v>900472731</v>
      </c>
      <c r="H397">
        <v>76147</v>
      </c>
      <c r="I397" t="s">
        <v>53</v>
      </c>
      <c r="J397">
        <v>2146686</v>
      </c>
      <c r="K397" t="s">
        <v>54</v>
      </c>
      <c r="L397">
        <v>1129567120</v>
      </c>
      <c r="M397" t="s">
        <v>678</v>
      </c>
      <c r="N397" t="s">
        <v>56</v>
      </c>
      <c r="O397" t="s">
        <v>679</v>
      </c>
      <c r="P397" t="s">
        <v>680</v>
      </c>
      <c r="Q397">
        <v>1129567120</v>
      </c>
      <c r="R397" t="s">
        <v>54</v>
      </c>
      <c r="S397">
        <v>38998722</v>
      </c>
      <c r="T397" t="s">
        <v>2285</v>
      </c>
      <c r="U397" t="s">
        <v>62</v>
      </c>
      <c r="V397" t="s">
        <v>2286</v>
      </c>
      <c r="W397" t="s">
        <v>2287</v>
      </c>
      <c r="X397" t="s">
        <v>573</v>
      </c>
      <c r="Y397" t="s">
        <v>64</v>
      </c>
      <c r="Z397">
        <v>11</v>
      </c>
      <c r="AA397" t="s">
        <v>87</v>
      </c>
      <c r="AB397" t="s">
        <v>56</v>
      </c>
      <c r="AC397" t="s">
        <v>56</v>
      </c>
      <c r="AD397">
        <v>0</v>
      </c>
      <c r="AE397" t="s">
        <v>66</v>
      </c>
      <c r="AF397" t="s">
        <v>56</v>
      </c>
      <c r="AG397" t="s">
        <v>56</v>
      </c>
      <c r="AH397" t="s">
        <v>56</v>
      </c>
      <c r="AI397" t="s">
        <v>56</v>
      </c>
      <c r="AJ397" t="s">
        <v>2121</v>
      </c>
      <c r="AK397" t="s">
        <v>2122</v>
      </c>
      <c r="AL397" t="s">
        <v>56</v>
      </c>
      <c r="AM397" t="s">
        <v>56</v>
      </c>
      <c r="AN397" t="s">
        <v>56</v>
      </c>
      <c r="AO397" t="s">
        <v>56</v>
      </c>
      <c r="AP397" t="s">
        <v>56</v>
      </c>
      <c r="AQ397" t="s">
        <v>71</v>
      </c>
      <c r="AR397" t="s">
        <v>56</v>
      </c>
      <c r="AS397" t="s">
        <v>56</v>
      </c>
      <c r="AT397" t="s">
        <v>56</v>
      </c>
      <c r="AU397" t="s">
        <v>56</v>
      </c>
      <c r="AV397" t="s">
        <v>56</v>
      </c>
      <c r="AW397" t="s">
        <v>56</v>
      </c>
      <c r="AX397">
        <v>4</v>
      </c>
    </row>
    <row r="398" spans="1:50" x14ac:dyDescent="0.25">
      <c r="A398" t="str">
        <f>"20200125117017032997"</f>
        <v>20200125117017032997</v>
      </c>
      <c r="B398" t="s">
        <v>752</v>
      </c>
      <c r="C398" t="s">
        <v>752</v>
      </c>
      <c r="D398" t="s">
        <v>2288</v>
      </c>
      <c r="E398" t="str">
        <f>"134300049201"</f>
        <v>134300049201</v>
      </c>
      <c r="F398" t="s">
        <v>52</v>
      </c>
      <c r="G398">
        <v>900196347</v>
      </c>
      <c r="H398">
        <v>13430</v>
      </c>
      <c r="I398" t="s">
        <v>174</v>
      </c>
      <c r="J398" t="s">
        <v>175</v>
      </c>
      <c r="K398" t="s">
        <v>54</v>
      </c>
      <c r="L398">
        <v>73578467</v>
      </c>
      <c r="M398" t="s">
        <v>192</v>
      </c>
      <c r="N398" t="s">
        <v>94</v>
      </c>
      <c r="O398" t="s">
        <v>193</v>
      </c>
      <c r="P398" t="s">
        <v>194</v>
      </c>
      <c r="Q398">
        <v>130403</v>
      </c>
      <c r="R398" t="s">
        <v>54</v>
      </c>
      <c r="S398">
        <v>936681</v>
      </c>
      <c r="T398" t="s">
        <v>76</v>
      </c>
      <c r="U398" t="s">
        <v>2289</v>
      </c>
      <c r="V398" t="s">
        <v>2290</v>
      </c>
      <c r="W398" t="s">
        <v>2291</v>
      </c>
      <c r="X398" t="s">
        <v>264</v>
      </c>
      <c r="Y398" t="s">
        <v>101</v>
      </c>
      <c r="Z398">
        <v>22</v>
      </c>
      <c r="AA398" t="s">
        <v>102</v>
      </c>
      <c r="AB398">
        <v>0</v>
      </c>
      <c r="AC398" t="s">
        <v>66</v>
      </c>
      <c r="AD398">
        <v>0</v>
      </c>
      <c r="AE398" t="s">
        <v>66</v>
      </c>
      <c r="AF398" t="s">
        <v>56</v>
      </c>
      <c r="AG398" t="s">
        <v>56</v>
      </c>
      <c r="AH398" t="s">
        <v>56</v>
      </c>
      <c r="AI398" t="s">
        <v>56</v>
      </c>
      <c r="AJ398" t="s">
        <v>184</v>
      </c>
      <c r="AK398" t="s">
        <v>185</v>
      </c>
      <c r="AL398" t="s">
        <v>2292</v>
      </c>
      <c r="AM398" t="s">
        <v>2293</v>
      </c>
      <c r="AN398" t="s">
        <v>1775</v>
      </c>
      <c r="AO398" t="s">
        <v>1776</v>
      </c>
      <c r="AP398" t="s">
        <v>56</v>
      </c>
      <c r="AQ398" t="s">
        <v>71</v>
      </c>
      <c r="AR398" t="s">
        <v>56</v>
      </c>
      <c r="AS398" t="s">
        <v>56</v>
      </c>
      <c r="AT398" t="s">
        <v>56</v>
      </c>
      <c r="AU398" t="s">
        <v>56</v>
      </c>
      <c r="AV398" t="s">
        <v>56</v>
      </c>
      <c r="AW398" t="s">
        <v>56</v>
      </c>
      <c r="AX398">
        <v>4</v>
      </c>
    </row>
    <row r="399" spans="1:50" x14ac:dyDescent="0.25">
      <c r="A399" t="str">
        <f>"20200125186017031569"</f>
        <v>20200125186017031569</v>
      </c>
      <c r="B399" t="s">
        <v>752</v>
      </c>
      <c r="C399" t="s">
        <v>752</v>
      </c>
      <c r="D399" t="s">
        <v>2294</v>
      </c>
      <c r="E399" t="str">
        <f>"134300049201"</f>
        <v>134300049201</v>
      </c>
      <c r="F399" t="s">
        <v>52</v>
      </c>
      <c r="G399">
        <v>900196347</v>
      </c>
      <c r="H399">
        <v>13430</v>
      </c>
      <c r="I399" t="s">
        <v>174</v>
      </c>
      <c r="J399" t="s">
        <v>175</v>
      </c>
      <c r="K399" t="s">
        <v>54</v>
      </c>
      <c r="L399">
        <v>73578467</v>
      </c>
      <c r="M399" t="s">
        <v>192</v>
      </c>
      <c r="N399" t="s">
        <v>94</v>
      </c>
      <c r="O399" t="s">
        <v>193</v>
      </c>
      <c r="P399" t="s">
        <v>194</v>
      </c>
      <c r="Q399">
        <v>130403</v>
      </c>
      <c r="R399" t="s">
        <v>54</v>
      </c>
      <c r="S399">
        <v>936681</v>
      </c>
      <c r="T399" t="s">
        <v>76</v>
      </c>
      <c r="U399" t="s">
        <v>2289</v>
      </c>
      <c r="V399" t="s">
        <v>2290</v>
      </c>
      <c r="W399" t="s">
        <v>2291</v>
      </c>
      <c r="X399" t="s">
        <v>264</v>
      </c>
      <c r="Y399" t="s">
        <v>101</v>
      </c>
      <c r="Z399">
        <v>22</v>
      </c>
      <c r="AA399" t="s">
        <v>102</v>
      </c>
      <c r="AB399">
        <v>0</v>
      </c>
      <c r="AC399" t="s">
        <v>66</v>
      </c>
      <c r="AD399">
        <v>0</v>
      </c>
      <c r="AE399" t="s">
        <v>66</v>
      </c>
      <c r="AF399" t="s">
        <v>56</v>
      </c>
      <c r="AG399" t="s">
        <v>56</v>
      </c>
      <c r="AH399" t="s">
        <v>56</v>
      </c>
      <c r="AI399" t="s">
        <v>56</v>
      </c>
      <c r="AJ399" t="s">
        <v>1775</v>
      </c>
      <c r="AK399" t="s">
        <v>1776</v>
      </c>
      <c r="AL399" t="s">
        <v>2292</v>
      </c>
      <c r="AM399" t="s">
        <v>2293</v>
      </c>
      <c r="AN399" t="s">
        <v>2295</v>
      </c>
      <c r="AO399" t="s">
        <v>2296</v>
      </c>
      <c r="AP399" t="s">
        <v>56</v>
      </c>
      <c r="AQ399" t="s">
        <v>71</v>
      </c>
      <c r="AR399" t="s">
        <v>56</v>
      </c>
      <c r="AS399" t="s">
        <v>56</v>
      </c>
      <c r="AT399" t="s">
        <v>56</v>
      </c>
      <c r="AU399" t="s">
        <v>56</v>
      </c>
      <c r="AV399" t="s">
        <v>56</v>
      </c>
      <c r="AW399" t="s">
        <v>56</v>
      </c>
      <c r="AX399">
        <v>4</v>
      </c>
    </row>
    <row r="400" spans="1:50" x14ac:dyDescent="0.25">
      <c r="A400" t="str">
        <f>"20200128159017092579"</f>
        <v>20200128159017092579</v>
      </c>
      <c r="B400" t="s">
        <v>151</v>
      </c>
      <c r="C400" t="s">
        <v>151</v>
      </c>
      <c r="D400" t="s">
        <v>2297</v>
      </c>
      <c r="E400" t="str">
        <f>"080010409201"</f>
        <v>080010409201</v>
      </c>
      <c r="F400" t="s">
        <v>52</v>
      </c>
      <c r="G400">
        <v>900448414</v>
      </c>
      <c r="H400" t="s">
        <v>112</v>
      </c>
      <c r="I400" t="s">
        <v>785</v>
      </c>
      <c r="J400">
        <v>3545674</v>
      </c>
      <c r="K400" t="s">
        <v>54</v>
      </c>
      <c r="L400">
        <v>85470076</v>
      </c>
      <c r="M400" t="s">
        <v>916</v>
      </c>
      <c r="N400" t="s">
        <v>1115</v>
      </c>
      <c r="O400" t="s">
        <v>274</v>
      </c>
      <c r="P400" t="s">
        <v>1116</v>
      </c>
      <c r="Q400">
        <v>2110</v>
      </c>
      <c r="R400" t="s">
        <v>54</v>
      </c>
      <c r="S400">
        <v>22370242</v>
      </c>
      <c r="T400" t="s">
        <v>114</v>
      </c>
      <c r="U400" t="s">
        <v>2298</v>
      </c>
      <c r="V400" t="s">
        <v>2299</v>
      </c>
      <c r="W400" t="s">
        <v>235</v>
      </c>
      <c r="X400" t="s">
        <v>120</v>
      </c>
      <c r="Y400" t="s">
        <v>121</v>
      </c>
      <c r="Z400">
        <v>12</v>
      </c>
      <c r="AA400" t="s">
        <v>65</v>
      </c>
      <c r="AB400" t="s">
        <v>56</v>
      </c>
      <c r="AC400" t="s">
        <v>56</v>
      </c>
      <c r="AD400">
        <v>0</v>
      </c>
      <c r="AE400" t="s">
        <v>66</v>
      </c>
      <c r="AF400" t="s">
        <v>56</v>
      </c>
      <c r="AG400" t="s">
        <v>56</v>
      </c>
      <c r="AH400" t="s">
        <v>56</v>
      </c>
      <c r="AI400" t="s">
        <v>56</v>
      </c>
      <c r="AJ400" t="s">
        <v>1119</v>
      </c>
      <c r="AK400" t="s">
        <v>1120</v>
      </c>
      <c r="AL400" t="s">
        <v>56</v>
      </c>
      <c r="AM400" t="s">
        <v>56</v>
      </c>
      <c r="AN400" t="s">
        <v>56</v>
      </c>
      <c r="AO400" t="s">
        <v>56</v>
      </c>
      <c r="AP400" t="s">
        <v>56</v>
      </c>
      <c r="AQ400" t="s">
        <v>71</v>
      </c>
      <c r="AR400" t="s">
        <v>56</v>
      </c>
      <c r="AS400" t="s">
        <v>56</v>
      </c>
      <c r="AT400" t="s">
        <v>56</v>
      </c>
      <c r="AU400" t="s">
        <v>56</v>
      </c>
      <c r="AV400" t="s">
        <v>56</v>
      </c>
      <c r="AW400" t="s">
        <v>56</v>
      </c>
      <c r="AX400">
        <v>4</v>
      </c>
    </row>
    <row r="401" spans="1:50" x14ac:dyDescent="0.25">
      <c r="A401" t="str">
        <f>"20200131103017164301"</f>
        <v>20200131103017164301</v>
      </c>
      <c r="B401" t="s">
        <v>110</v>
      </c>
      <c r="C401" t="s">
        <v>110</v>
      </c>
      <c r="D401" t="s">
        <v>2300</v>
      </c>
      <c r="E401" t="str">
        <f>"134300077501"</f>
        <v>134300077501</v>
      </c>
      <c r="F401" t="s">
        <v>52</v>
      </c>
      <c r="G401">
        <v>823002800</v>
      </c>
      <c r="H401">
        <v>13430</v>
      </c>
      <c r="I401" t="s">
        <v>539</v>
      </c>
      <c r="J401">
        <v>3107315890</v>
      </c>
      <c r="K401" t="s">
        <v>54</v>
      </c>
      <c r="L401">
        <v>92520392</v>
      </c>
      <c r="M401" t="s">
        <v>540</v>
      </c>
      <c r="N401" t="s">
        <v>164</v>
      </c>
      <c r="O401" t="s">
        <v>376</v>
      </c>
      <c r="P401" t="s">
        <v>109</v>
      </c>
      <c r="Q401">
        <v>282</v>
      </c>
      <c r="R401" t="s">
        <v>54</v>
      </c>
      <c r="S401">
        <v>22928482</v>
      </c>
      <c r="T401" t="s">
        <v>1639</v>
      </c>
      <c r="U401" t="s">
        <v>196</v>
      </c>
      <c r="V401" t="s">
        <v>2301</v>
      </c>
      <c r="W401" t="s">
        <v>364</v>
      </c>
      <c r="X401" t="s">
        <v>183</v>
      </c>
      <c r="Y401" t="s">
        <v>101</v>
      </c>
      <c r="Z401">
        <v>12</v>
      </c>
      <c r="AA401" t="s">
        <v>65</v>
      </c>
      <c r="AB401" t="s">
        <v>56</v>
      </c>
      <c r="AC401" t="s">
        <v>56</v>
      </c>
      <c r="AD401">
        <v>0</v>
      </c>
      <c r="AE401" t="s">
        <v>66</v>
      </c>
      <c r="AF401" t="s">
        <v>56</v>
      </c>
      <c r="AG401" t="s">
        <v>56</v>
      </c>
      <c r="AH401" t="s">
        <v>56</v>
      </c>
      <c r="AI401" t="s">
        <v>56</v>
      </c>
      <c r="AJ401" t="s">
        <v>545</v>
      </c>
      <c r="AK401" t="s">
        <v>546</v>
      </c>
      <c r="AL401" t="s">
        <v>56</v>
      </c>
      <c r="AM401" t="s">
        <v>56</v>
      </c>
      <c r="AN401" t="s">
        <v>56</v>
      </c>
      <c r="AO401" t="s">
        <v>56</v>
      </c>
      <c r="AP401" t="s">
        <v>56</v>
      </c>
      <c r="AQ401" t="s">
        <v>71</v>
      </c>
      <c r="AR401" t="s">
        <v>56</v>
      </c>
      <c r="AS401" t="s">
        <v>56</v>
      </c>
      <c r="AT401" t="s">
        <v>56</v>
      </c>
      <c r="AU401" t="s">
        <v>56</v>
      </c>
      <c r="AV401" t="s">
        <v>56</v>
      </c>
      <c r="AW401" t="s">
        <v>56</v>
      </c>
      <c r="AX401">
        <v>4</v>
      </c>
    </row>
    <row r="402" spans="1:50" x14ac:dyDescent="0.25">
      <c r="A402" t="str">
        <f>"20200201179017188588"</f>
        <v>20200201179017188588</v>
      </c>
      <c r="B402" t="s">
        <v>50</v>
      </c>
      <c r="C402" t="s">
        <v>50</v>
      </c>
      <c r="D402" t="s">
        <v>2302</v>
      </c>
      <c r="E402" t="str">
        <f>"130010204801"</f>
        <v>130010204801</v>
      </c>
      <c r="F402" t="s">
        <v>52</v>
      </c>
      <c r="G402">
        <v>900233294</v>
      </c>
      <c r="H402">
        <v>13001</v>
      </c>
      <c r="I402" t="s">
        <v>1256</v>
      </c>
      <c r="J402">
        <v>6810230</v>
      </c>
      <c r="K402" t="s">
        <v>54</v>
      </c>
      <c r="L402">
        <v>73123762</v>
      </c>
      <c r="M402" t="s">
        <v>380</v>
      </c>
      <c r="N402" t="s">
        <v>424</v>
      </c>
      <c r="O402" t="s">
        <v>472</v>
      </c>
      <c r="P402" t="s">
        <v>2303</v>
      </c>
      <c r="Q402">
        <v>1550</v>
      </c>
      <c r="R402" t="s">
        <v>54</v>
      </c>
      <c r="S402">
        <v>1047372359</v>
      </c>
      <c r="T402" t="s">
        <v>1371</v>
      </c>
      <c r="U402" t="s">
        <v>62</v>
      </c>
      <c r="V402" t="s">
        <v>1873</v>
      </c>
      <c r="W402" t="s">
        <v>57</v>
      </c>
      <c r="X402" t="s">
        <v>427</v>
      </c>
      <c r="Y402" t="s">
        <v>101</v>
      </c>
      <c r="Z402">
        <v>22</v>
      </c>
      <c r="AA402" t="s">
        <v>102</v>
      </c>
      <c r="AB402">
        <v>0</v>
      </c>
      <c r="AC402" t="s">
        <v>66</v>
      </c>
      <c r="AD402">
        <v>0</v>
      </c>
      <c r="AE402" t="s">
        <v>66</v>
      </c>
      <c r="AF402" t="s">
        <v>56</v>
      </c>
      <c r="AG402" t="s">
        <v>56</v>
      </c>
      <c r="AH402" t="s">
        <v>56</v>
      </c>
      <c r="AI402" t="s">
        <v>56</v>
      </c>
      <c r="AJ402" t="s">
        <v>2304</v>
      </c>
      <c r="AK402" t="s">
        <v>2305</v>
      </c>
      <c r="AL402" t="s">
        <v>56</v>
      </c>
      <c r="AM402" t="s">
        <v>56</v>
      </c>
      <c r="AN402" t="s">
        <v>56</v>
      </c>
      <c r="AO402" t="s">
        <v>56</v>
      </c>
      <c r="AP402" t="s">
        <v>56</v>
      </c>
      <c r="AQ402" t="s">
        <v>71</v>
      </c>
      <c r="AR402" t="s">
        <v>56</v>
      </c>
      <c r="AS402" t="s">
        <v>56</v>
      </c>
      <c r="AT402" t="s">
        <v>56</v>
      </c>
      <c r="AU402" t="s">
        <v>56</v>
      </c>
      <c r="AV402" t="s">
        <v>56</v>
      </c>
      <c r="AW402" t="s">
        <v>56</v>
      </c>
      <c r="AX402">
        <v>4</v>
      </c>
    </row>
    <row r="403" spans="1:50" x14ac:dyDescent="0.25">
      <c r="A403" t="str">
        <f>"20200124196017012444"</f>
        <v>20200124196017012444</v>
      </c>
      <c r="B403" t="s">
        <v>201</v>
      </c>
      <c r="C403" t="s">
        <v>201</v>
      </c>
      <c r="D403" t="s">
        <v>2306</v>
      </c>
      <c r="E403" t="str">
        <f>"270010009301"</f>
        <v>270010009301</v>
      </c>
      <c r="F403" t="s">
        <v>52</v>
      </c>
      <c r="G403">
        <v>800232788</v>
      </c>
      <c r="H403">
        <v>27001</v>
      </c>
      <c r="I403" t="s">
        <v>2307</v>
      </c>
      <c r="J403">
        <v>6724949</v>
      </c>
      <c r="K403" t="s">
        <v>54</v>
      </c>
      <c r="L403">
        <v>16636044</v>
      </c>
      <c r="M403" t="s">
        <v>291</v>
      </c>
      <c r="N403" t="s">
        <v>219</v>
      </c>
      <c r="O403" t="s">
        <v>2308</v>
      </c>
      <c r="P403" t="s">
        <v>2309</v>
      </c>
      <c r="Q403">
        <v>11265</v>
      </c>
      <c r="R403" t="s">
        <v>440</v>
      </c>
      <c r="S403">
        <v>1079292183</v>
      </c>
      <c r="T403" t="s">
        <v>2310</v>
      </c>
      <c r="U403" t="s">
        <v>2311</v>
      </c>
      <c r="V403" t="s">
        <v>263</v>
      </c>
      <c r="W403" t="s">
        <v>376</v>
      </c>
      <c r="X403" t="s">
        <v>2312</v>
      </c>
      <c r="Y403" t="s">
        <v>717</v>
      </c>
      <c r="Z403">
        <v>12</v>
      </c>
      <c r="AA403" t="s">
        <v>65</v>
      </c>
      <c r="AB403" t="s">
        <v>56</v>
      </c>
      <c r="AC403" t="s">
        <v>56</v>
      </c>
      <c r="AD403">
        <v>0</v>
      </c>
      <c r="AE403" t="s">
        <v>66</v>
      </c>
      <c r="AF403" t="s">
        <v>56</v>
      </c>
      <c r="AG403" t="s">
        <v>56</v>
      </c>
      <c r="AH403" t="s">
        <v>56</v>
      </c>
      <c r="AI403" t="s">
        <v>56</v>
      </c>
      <c r="AJ403" t="s">
        <v>1396</v>
      </c>
      <c r="AK403" t="s">
        <v>1397</v>
      </c>
      <c r="AL403" t="s">
        <v>56</v>
      </c>
      <c r="AM403" t="s">
        <v>56</v>
      </c>
      <c r="AN403" t="s">
        <v>56</v>
      </c>
      <c r="AO403" t="s">
        <v>56</v>
      </c>
      <c r="AP403" t="s">
        <v>56</v>
      </c>
      <c r="AQ403" t="s">
        <v>71</v>
      </c>
      <c r="AR403" t="s">
        <v>56</v>
      </c>
      <c r="AS403" t="s">
        <v>56</v>
      </c>
      <c r="AT403" t="s">
        <v>56</v>
      </c>
      <c r="AU403" t="s">
        <v>56</v>
      </c>
      <c r="AV403" t="s">
        <v>56</v>
      </c>
      <c r="AW403" t="s">
        <v>56</v>
      </c>
      <c r="AX403">
        <v>4</v>
      </c>
    </row>
    <row r="404" spans="1:50" x14ac:dyDescent="0.25">
      <c r="A404" t="str">
        <f>"20200124187017004823"</f>
        <v>20200124187017004823</v>
      </c>
      <c r="B404" t="s">
        <v>201</v>
      </c>
      <c r="C404" t="s">
        <v>201</v>
      </c>
      <c r="D404" t="s">
        <v>2313</v>
      </c>
      <c r="E404" t="str">
        <f>"130010118701"</f>
        <v>130010118701</v>
      </c>
      <c r="F404" t="s">
        <v>52</v>
      </c>
      <c r="G404">
        <v>890480135</v>
      </c>
      <c r="H404">
        <v>13001</v>
      </c>
      <c r="I404" t="s">
        <v>1442</v>
      </c>
      <c r="J404" t="s">
        <v>1443</v>
      </c>
      <c r="K404" t="s">
        <v>54</v>
      </c>
      <c r="L404">
        <v>1098676928</v>
      </c>
      <c r="M404" t="s">
        <v>117</v>
      </c>
      <c r="N404" t="s">
        <v>1444</v>
      </c>
      <c r="O404" t="s">
        <v>1445</v>
      </c>
      <c r="P404" t="s">
        <v>1446</v>
      </c>
      <c r="Q404" t="s">
        <v>1447</v>
      </c>
      <c r="R404" t="s">
        <v>440</v>
      </c>
      <c r="S404">
        <v>1049832196</v>
      </c>
      <c r="T404" t="s">
        <v>504</v>
      </c>
      <c r="U404" t="s">
        <v>1032</v>
      </c>
      <c r="V404" t="s">
        <v>119</v>
      </c>
      <c r="W404" t="s">
        <v>2314</v>
      </c>
      <c r="X404" t="s">
        <v>1486</v>
      </c>
      <c r="Y404" t="s">
        <v>101</v>
      </c>
      <c r="Z404">
        <v>12</v>
      </c>
      <c r="AA404" t="s">
        <v>65</v>
      </c>
      <c r="AB404" t="s">
        <v>56</v>
      </c>
      <c r="AC404" t="s">
        <v>56</v>
      </c>
      <c r="AD404">
        <v>0</v>
      </c>
      <c r="AE404" t="s">
        <v>66</v>
      </c>
      <c r="AF404" t="s">
        <v>56</v>
      </c>
      <c r="AG404" t="s">
        <v>56</v>
      </c>
      <c r="AH404" t="s">
        <v>56</v>
      </c>
      <c r="AI404" t="s">
        <v>56</v>
      </c>
      <c r="AJ404" t="s">
        <v>122</v>
      </c>
      <c r="AK404" t="s">
        <v>123</v>
      </c>
      <c r="AL404" t="s">
        <v>56</v>
      </c>
      <c r="AM404" t="s">
        <v>56</v>
      </c>
      <c r="AN404" t="s">
        <v>56</v>
      </c>
      <c r="AO404" t="s">
        <v>56</v>
      </c>
      <c r="AP404" t="s">
        <v>56</v>
      </c>
      <c r="AQ404" t="s">
        <v>71</v>
      </c>
      <c r="AR404" t="s">
        <v>56</v>
      </c>
      <c r="AS404" t="s">
        <v>56</v>
      </c>
      <c r="AT404" t="s">
        <v>56</v>
      </c>
      <c r="AU404" t="s">
        <v>56</v>
      </c>
      <c r="AV404" t="s">
        <v>56</v>
      </c>
      <c r="AW404" t="s">
        <v>56</v>
      </c>
      <c r="AX404">
        <v>4</v>
      </c>
    </row>
    <row r="405" spans="1:50" x14ac:dyDescent="0.25">
      <c r="A405" t="str">
        <f>"20200131143017164727"</f>
        <v>20200131143017164727</v>
      </c>
      <c r="B405" t="s">
        <v>110</v>
      </c>
      <c r="C405" t="s">
        <v>110</v>
      </c>
      <c r="D405" t="s">
        <v>2315</v>
      </c>
      <c r="E405" t="str">
        <f>"270010104901"</f>
        <v>270010104901</v>
      </c>
      <c r="F405" t="s">
        <v>52</v>
      </c>
      <c r="G405">
        <v>900815727</v>
      </c>
      <c r="H405">
        <v>27001</v>
      </c>
      <c r="I405" t="s">
        <v>2316</v>
      </c>
      <c r="J405" t="s">
        <v>2317</v>
      </c>
      <c r="K405" t="s">
        <v>54</v>
      </c>
      <c r="L405">
        <v>10885918</v>
      </c>
      <c r="M405" t="s">
        <v>2318</v>
      </c>
      <c r="N405" t="s">
        <v>164</v>
      </c>
      <c r="O405" t="s">
        <v>707</v>
      </c>
      <c r="P405" t="s">
        <v>1361</v>
      </c>
      <c r="Q405">
        <v>10088</v>
      </c>
      <c r="R405" t="s">
        <v>54</v>
      </c>
      <c r="S405">
        <v>33214813</v>
      </c>
      <c r="T405" t="s">
        <v>2319</v>
      </c>
      <c r="U405" t="s">
        <v>62</v>
      </c>
      <c r="V405" t="s">
        <v>1703</v>
      </c>
      <c r="W405" t="s">
        <v>298</v>
      </c>
      <c r="X405" t="s">
        <v>264</v>
      </c>
      <c r="Y405" t="s">
        <v>101</v>
      </c>
      <c r="Z405">
        <v>11</v>
      </c>
      <c r="AA405" t="s">
        <v>87</v>
      </c>
      <c r="AB405" t="s">
        <v>56</v>
      </c>
      <c r="AC405" t="s">
        <v>56</v>
      </c>
      <c r="AD405">
        <v>0</v>
      </c>
      <c r="AE405" t="s">
        <v>66</v>
      </c>
      <c r="AF405" t="s">
        <v>56</v>
      </c>
      <c r="AG405" t="s">
        <v>56</v>
      </c>
      <c r="AH405" t="s">
        <v>56</v>
      </c>
      <c r="AI405" t="s">
        <v>56</v>
      </c>
      <c r="AJ405" t="s">
        <v>2320</v>
      </c>
      <c r="AK405" t="s">
        <v>2321</v>
      </c>
      <c r="AL405" t="s">
        <v>215</v>
      </c>
      <c r="AM405" t="s">
        <v>216</v>
      </c>
      <c r="AN405" t="s">
        <v>56</v>
      </c>
      <c r="AO405" t="s">
        <v>56</v>
      </c>
      <c r="AP405" t="s">
        <v>56</v>
      </c>
      <c r="AQ405" t="s">
        <v>71</v>
      </c>
      <c r="AR405" t="s">
        <v>56</v>
      </c>
      <c r="AS405" t="s">
        <v>56</v>
      </c>
      <c r="AT405" t="s">
        <v>56</v>
      </c>
      <c r="AU405" t="s">
        <v>56</v>
      </c>
      <c r="AV405" t="s">
        <v>56</v>
      </c>
      <c r="AW405" t="s">
        <v>56</v>
      </c>
      <c r="AX405">
        <v>4</v>
      </c>
    </row>
    <row r="406" spans="1:50" x14ac:dyDescent="0.25">
      <c r="A406" t="str">
        <f>"20200129153017115915"</f>
        <v>20200129153017115915</v>
      </c>
      <c r="B406" t="s">
        <v>72</v>
      </c>
      <c r="C406" t="s">
        <v>72</v>
      </c>
      <c r="D406" t="s">
        <v>2322</v>
      </c>
      <c r="E406" t="str">
        <f>"130010178101"</f>
        <v>130010178101</v>
      </c>
      <c r="F406" t="s">
        <v>52</v>
      </c>
      <c r="G406">
        <v>900042103</v>
      </c>
      <c r="H406">
        <v>13001</v>
      </c>
      <c r="I406" t="s">
        <v>92</v>
      </c>
      <c r="J406">
        <v>6726017</v>
      </c>
      <c r="K406" t="s">
        <v>54</v>
      </c>
      <c r="L406">
        <v>33153671</v>
      </c>
      <c r="M406" t="s">
        <v>2323</v>
      </c>
      <c r="N406" t="s">
        <v>117</v>
      </c>
      <c r="O406" t="s">
        <v>1400</v>
      </c>
      <c r="P406" t="s">
        <v>560</v>
      </c>
      <c r="Q406" t="s">
        <v>2324</v>
      </c>
      <c r="R406" t="s">
        <v>54</v>
      </c>
      <c r="S406">
        <v>3976433</v>
      </c>
      <c r="T406" t="s">
        <v>2325</v>
      </c>
      <c r="U406" t="s">
        <v>62</v>
      </c>
      <c r="V406" t="s">
        <v>2018</v>
      </c>
      <c r="W406" t="s">
        <v>1794</v>
      </c>
      <c r="X406" t="s">
        <v>1486</v>
      </c>
      <c r="Y406" t="s">
        <v>101</v>
      </c>
      <c r="Z406">
        <v>11</v>
      </c>
      <c r="AA406" t="s">
        <v>87</v>
      </c>
      <c r="AB406" t="s">
        <v>56</v>
      </c>
      <c r="AC406" t="s">
        <v>56</v>
      </c>
      <c r="AD406">
        <v>0</v>
      </c>
      <c r="AE406" t="s">
        <v>66</v>
      </c>
      <c r="AF406" t="s">
        <v>56</v>
      </c>
      <c r="AG406" t="s">
        <v>56</v>
      </c>
      <c r="AH406" t="s">
        <v>56</v>
      </c>
      <c r="AI406" t="s">
        <v>56</v>
      </c>
      <c r="AJ406" t="s">
        <v>2326</v>
      </c>
      <c r="AK406" t="s">
        <v>2327</v>
      </c>
      <c r="AL406" t="s">
        <v>591</v>
      </c>
      <c r="AM406" t="s">
        <v>592</v>
      </c>
      <c r="AN406" t="s">
        <v>2328</v>
      </c>
      <c r="AO406" t="s">
        <v>2329</v>
      </c>
      <c r="AP406" t="s">
        <v>56</v>
      </c>
      <c r="AQ406" t="s">
        <v>71</v>
      </c>
      <c r="AR406" t="s">
        <v>56</v>
      </c>
      <c r="AS406" t="s">
        <v>56</v>
      </c>
      <c r="AT406" t="s">
        <v>56</v>
      </c>
      <c r="AU406" t="s">
        <v>56</v>
      </c>
      <c r="AV406" t="s">
        <v>56</v>
      </c>
      <c r="AW406" t="s">
        <v>56</v>
      </c>
      <c r="AX406">
        <v>4</v>
      </c>
    </row>
    <row r="407" spans="1:50" x14ac:dyDescent="0.25">
      <c r="A407" t="str">
        <f>"20200124115017014098"</f>
        <v>20200124115017014098</v>
      </c>
      <c r="B407" t="s">
        <v>201</v>
      </c>
      <c r="C407" t="s">
        <v>201</v>
      </c>
      <c r="D407" t="s">
        <v>2330</v>
      </c>
      <c r="E407" t="str">
        <f>"761470371502"</f>
        <v>761470371502</v>
      </c>
      <c r="F407" t="s">
        <v>52</v>
      </c>
      <c r="G407">
        <v>890303841</v>
      </c>
      <c r="H407">
        <v>76147</v>
      </c>
      <c r="I407" t="s">
        <v>359</v>
      </c>
      <c r="J407">
        <v>2132425</v>
      </c>
      <c r="K407" t="s">
        <v>54</v>
      </c>
      <c r="L407">
        <v>16830715</v>
      </c>
      <c r="M407" t="s">
        <v>127</v>
      </c>
      <c r="N407" t="s">
        <v>360</v>
      </c>
      <c r="O407" t="s">
        <v>361</v>
      </c>
      <c r="P407" t="s">
        <v>362</v>
      </c>
      <c r="Q407">
        <v>1913</v>
      </c>
      <c r="R407" t="s">
        <v>54</v>
      </c>
      <c r="S407">
        <v>4601239</v>
      </c>
      <c r="T407" t="s">
        <v>2218</v>
      </c>
      <c r="U407" t="s">
        <v>62</v>
      </c>
      <c r="V407" t="s">
        <v>2331</v>
      </c>
      <c r="W407" t="s">
        <v>2332</v>
      </c>
      <c r="X407" t="s">
        <v>277</v>
      </c>
      <c r="Y407" t="s">
        <v>64</v>
      </c>
      <c r="Z407">
        <v>11</v>
      </c>
      <c r="AA407" t="s">
        <v>87</v>
      </c>
      <c r="AB407" t="s">
        <v>56</v>
      </c>
      <c r="AC407" t="s">
        <v>56</v>
      </c>
      <c r="AD407">
        <v>0</v>
      </c>
      <c r="AE407" t="s">
        <v>66</v>
      </c>
      <c r="AF407" t="s">
        <v>56</v>
      </c>
      <c r="AG407" t="s">
        <v>56</v>
      </c>
      <c r="AH407" t="s">
        <v>56</v>
      </c>
      <c r="AI407" t="s">
        <v>56</v>
      </c>
      <c r="AJ407" t="s">
        <v>1284</v>
      </c>
      <c r="AK407" t="s">
        <v>1285</v>
      </c>
      <c r="AL407" t="s">
        <v>56</v>
      </c>
      <c r="AM407" t="s">
        <v>56</v>
      </c>
      <c r="AN407" t="s">
        <v>56</v>
      </c>
      <c r="AO407" t="s">
        <v>56</v>
      </c>
      <c r="AP407" t="s">
        <v>56</v>
      </c>
      <c r="AQ407" t="s">
        <v>71</v>
      </c>
      <c r="AR407" t="s">
        <v>56</v>
      </c>
      <c r="AS407" t="s">
        <v>56</v>
      </c>
      <c r="AT407" t="s">
        <v>56</v>
      </c>
      <c r="AU407" t="s">
        <v>56</v>
      </c>
      <c r="AV407" t="s">
        <v>56</v>
      </c>
      <c r="AW407" t="s">
        <v>56</v>
      </c>
      <c r="AX407">
        <v>4</v>
      </c>
    </row>
    <row r="408" spans="1:50" x14ac:dyDescent="0.25">
      <c r="A408" t="str">
        <f>"20200127199017057341"</f>
        <v>20200127199017057341</v>
      </c>
      <c r="B408" t="s">
        <v>190</v>
      </c>
      <c r="C408" t="s">
        <v>190</v>
      </c>
      <c r="D408" t="s">
        <v>2333</v>
      </c>
      <c r="E408" t="str">
        <f>"700010151301"</f>
        <v>700010151301</v>
      </c>
      <c r="F408" t="s">
        <v>52</v>
      </c>
      <c r="G408">
        <v>830510991</v>
      </c>
      <c r="H408">
        <v>70001</v>
      </c>
      <c r="I408" t="s">
        <v>945</v>
      </c>
      <c r="J408">
        <v>2806901</v>
      </c>
      <c r="K408" t="s">
        <v>54</v>
      </c>
      <c r="L408">
        <v>60266677</v>
      </c>
      <c r="M408" t="s">
        <v>2008</v>
      </c>
      <c r="N408" t="s">
        <v>59</v>
      </c>
      <c r="O408" t="s">
        <v>99</v>
      </c>
      <c r="P408" t="s">
        <v>2009</v>
      </c>
      <c r="Q408" t="s">
        <v>2010</v>
      </c>
      <c r="R408" t="s">
        <v>54</v>
      </c>
      <c r="S408">
        <v>1050276115</v>
      </c>
      <c r="T408" t="s">
        <v>2334</v>
      </c>
      <c r="U408" t="s">
        <v>223</v>
      </c>
      <c r="V408" t="s">
        <v>2335</v>
      </c>
      <c r="W408" t="s">
        <v>343</v>
      </c>
      <c r="X408" t="s">
        <v>1277</v>
      </c>
      <c r="Y408" t="s">
        <v>101</v>
      </c>
      <c r="Z408">
        <v>22</v>
      </c>
      <c r="AA408" t="s">
        <v>102</v>
      </c>
      <c r="AB408">
        <v>0</v>
      </c>
      <c r="AC408" t="s">
        <v>66</v>
      </c>
      <c r="AD408">
        <v>0</v>
      </c>
      <c r="AE408" t="s">
        <v>66</v>
      </c>
      <c r="AF408" t="s">
        <v>56</v>
      </c>
      <c r="AG408" t="s">
        <v>56</v>
      </c>
      <c r="AH408" t="s">
        <v>56</v>
      </c>
      <c r="AI408" t="s">
        <v>56</v>
      </c>
      <c r="AJ408" t="s">
        <v>1775</v>
      </c>
      <c r="AK408" t="s">
        <v>1776</v>
      </c>
      <c r="AL408" t="s">
        <v>56</v>
      </c>
      <c r="AM408" t="s">
        <v>56</v>
      </c>
      <c r="AN408" t="s">
        <v>56</v>
      </c>
      <c r="AO408" t="s">
        <v>56</v>
      </c>
      <c r="AP408" t="s">
        <v>56</v>
      </c>
      <c r="AQ408" t="s">
        <v>71</v>
      </c>
      <c r="AR408" t="s">
        <v>56</v>
      </c>
      <c r="AS408" t="s">
        <v>56</v>
      </c>
      <c r="AT408" t="s">
        <v>56</v>
      </c>
      <c r="AU408" t="s">
        <v>56</v>
      </c>
      <c r="AV408" t="s">
        <v>56</v>
      </c>
      <c r="AW408" t="s">
        <v>56</v>
      </c>
      <c r="AX408">
        <v>4</v>
      </c>
    </row>
    <row r="409" spans="1:50" x14ac:dyDescent="0.25">
      <c r="A409" t="str">
        <f>"20200131173017173013"</f>
        <v>20200131173017173013</v>
      </c>
      <c r="B409" t="s">
        <v>110</v>
      </c>
      <c r="C409" t="s">
        <v>110</v>
      </c>
      <c r="D409" t="s">
        <v>2336</v>
      </c>
      <c r="E409" t="str">
        <f>"130010178101"</f>
        <v>130010178101</v>
      </c>
      <c r="F409" t="s">
        <v>52</v>
      </c>
      <c r="G409">
        <v>900042103</v>
      </c>
      <c r="H409">
        <v>13001</v>
      </c>
      <c r="I409" t="s">
        <v>92</v>
      </c>
      <c r="J409">
        <v>6726017</v>
      </c>
      <c r="K409" t="s">
        <v>54</v>
      </c>
      <c r="L409">
        <v>33153671</v>
      </c>
      <c r="M409" t="s">
        <v>2323</v>
      </c>
      <c r="N409" t="s">
        <v>117</v>
      </c>
      <c r="O409" t="s">
        <v>1400</v>
      </c>
      <c r="P409" t="s">
        <v>560</v>
      </c>
      <c r="Q409" t="s">
        <v>2324</v>
      </c>
      <c r="R409" t="s">
        <v>54</v>
      </c>
      <c r="S409">
        <v>73185972</v>
      </c>
      <c r="T409" t="s">
        <v>2337</v>
      </c>
      <c r="U409" t="s">
        <v>62</v>
      </c>
      <c r="V409" t="s">
        <v>1610</v>
      </c>
      <c r="W409" t="s">
        <v>2338</v>
      </c>
      <c r="X409" t="s">
        <v>427</v>
      </c>
      <c r="Y409" t="s">
        <v>101</v>
      </c>
      <c r="Z409">
        <v>11</v>
      </c>
      <c r="AA409" t="s">
        <v>87</v>
      </c>
      <c r="AB409" t="s">
        <v>56</v>
      </c>
      <c r="AC409" t="s">
        <v>56</v>
      </c>
      <c r="AD409">
        <v>0</v>
      </c>
      <c r="AE409" t="s">
        <v>66</v>
      </c>
      <c r="AF409" t="s">
        <v>56</v>
      </c>
      <c r="AG409" t="s">
        <v>56</v>
      </c>
      <c r="AH409" t="s">
        <v>56</v>
      </c>
      <c r="AI409" t="s">
        <v>56</v>
      </c>
      <c r="AJ409" t="s">
        <v>122</v>
      </c>
      <c r="AK409" t="s">
        <v>123</v>
      </c>
      <c r="AL409" t="s">
        <v>414</v>
      </c>
      <c r="AM409" t="s">
        <v>415</v>
      </c>
      <c r="AN409" t="s">
        <v>591</v>
      </c>
      <c r="AO409" t="s">
        <v>592</v>
      </c>
      <c r="AP409" t="s">
        <v>56</v>
      </c>
      <c r="AQ409" t="s">
        <v>71</v>
      </c>
      <c r="AR409" t="s">
        <v>56</v>
      </c>
      <c r="AS409" t="s">
        <v>56</v>
      </c>
      <c r="AT409" t="s">
        <v>56</v>
      </c>
      <c r="AU409" t="s">
        <v>56</v>
      </c>
      <c r="AV409" t="s">
        <v>56</v>
      </c>
      <c r="AW409" t="s">
        <v>56</v>
      </c>
      <c r="AX409">
        <v>4</v>
      </c>
    </row>
    <row r="410" spans="1:50" x14ac:dyDescent="0.25">
      <c r="A410" t="str">
        <f>"20200128176017089291"</f>
        <v>20200128176017089291</v>
      </c>
      <c r="B410" t="s">
        <v>151</v>
      </c>
      <c r="C410" t="s">
        <v>151</v>
      </c>
      <c r="D410" t="s">
        <v>2339</v>
      </c>
      <c r="E410" t="str">
        <f>"080010003701"</f>
        <v>080010003701</v>
      </c>
      <c r="F410" t="s">
        <v>52</v>
      </c>
      <c r="G410">
        <v>890102768</v>
      </c>
      <c r="H410" t="s">
        <v>112</v>
      </c>
      <c r="I410" t="s">
        <v>2340</v>
      </c>
      <c r="J410">
        <v>3091999</v>
      </c>
      <c r="K410" t="s">
        <v>54</v>
      </c>
      <c r="L410">
        <v>1143131345</v>
      </c>
      <c r="M410" t="s">
        <v>259</v>
      </c>
      <c r="N410" t="s">
        <v>1304</v>
      </c>
      <c r="O410" t="s">
        <v>169</v>
      </c>
      <c r="P410" t="s">
        <v>2341</v>
      </c>
      <c r="Q410">
        <v>1143131345</v>
      </c>
      <c r="R410" t="s">
        <v>54</v>
      </c>
      <c r="S410">
        <v>1048273939</v>
      </c>
      <c r="T410" t="s">
        <v>164</v>
      </c>
      <c r="U410" t="s">
        <v>2218</v>
      </c>
      <c r="V410" t="s">
        <v>2342</v>
      </c>
      <c r="W410" t="s">
        <v>629</v>
      </c>
      <c r="X410" t="s">
        <v>299</v>
      </c>
      <c r="Y410" t="s">
        <v>121</v>
      </c>
      <c r="Z410">
        <v>11</v>
      </c>
      <c r="AA410" t="s">
        <v>87</v>
      </c>
      <c r="AB410" t="s">
        <v>56</v>
      </c>
      <c r="AC410" t="s">
        <v>56</v>
      </c>
      <c r="AD410">
        <v>0</v>
      </c>
      <c r="AE410" t="s">
        <v>66</v>
      </c>
      <c r="AF410" t="s">
        <v>56</v>
      </c>
      <c r="AG410" t="s">
        <v>56</v>
      </c>
      <c r="AH410" t="s">
        <v>56</v>
      </c>
      <c r="AI410" t="s">
        <v>56</v>
      </c>
      <c r="AJ410" t="s">
        <v>2343</v>
      </c>
      <c r="AK410" t="s">
        <v>2344</v>
      </c>
      <c r="AL410" t="s">
        <v>56</v>
      </c>
      <c r="AM410" t="s">
        <v>56</v>
      </c>
      <c r="AN410" t="s">
        <v>56</v>
      </c>
      <c r="AO410" t="s">
        <v>56</v>
      </c>
      <c r="AP410" t="s">
        <v>56</v>
      </c>
      <c r="AQ410" t="s">
        <v>71</v>
      </c>
      <c r="AR410" t="s">
        <v>56</v>
      </c>
      <c r="AS410" t="s">
        <v>56</v>
      </c>
      <c r="AT410" t="s">
        <v>56</v>
      </c>
      <c r="AU410" t="s">
        <v>56</v>
      </c>
      <c r="AV410" t="s">
        <v>56</v>
      </c>
      <c r="AW410" t="s">
        <v>56</v>
      </c>
      <c r="AX410">
        <v>4</v>
      </c>
    </row>
    <row r="411" spans="1:50" x14ac:dyDescent="0.25">
      <c r="A411" t="str">
        <f>"20200129140017109050"</f>
        <v>20200129140017109050</v>
      </c>
      <c r="B411" t="s">
        <v>72</v>
      </c>
      <c r="C411" t="s">
        <v>72</v>
      </c>
      <c r="D411" t="s">
        <v>2345</v>
      </c>
      <c r="E411" t="str">
        <f>"080010409201"</f>
        <v>080010409201</v>
      </c>
      <c r="F411" t="s">
        <v>52</v>
      </c>
      <c r="G411">
        <v>900448414</v>
      </c>
      <c r="H411" t="s">
        <v>112</v>
      </c>
      <c r="I411" t="s">
        <v>785</v>
      </c>
      <c r="J411">
        <v>3545674</v>
      </c>
      <c r="K411" t="s">
        <v>54</v>
      </c>
      <c r="L411">
        <v>8633136</v>
      </c>
      <c r="M411" t="s">
        <v>234</v>
      </c>
      <c r="N411" t="s">
        <v>714</v>
      </c>
      <c r="O411" t="s">
        <v>1312</v>
      </c>
      <c r="P411" t="s">
        <v>1305</v>
      </c>
      <c r="Q411">
        <v>2848</v>
      </c>
      <c r="R411" t="s">
        <v>440</v>
      </c>
      <c r="S411">
        <v>1043481119</v>
      </c>
      <c r="T411" t="s">
        <v>2346</v>
      </c>
      <c r="U411" t="s">
        <v>62</v>
      </c>
      <c r="V411" t="s">
        <v>79</v>
      </c>
      <c r="W411" t="s">
        <v>1965</v>
      </c>
      <c r="X411" t="s">
        <v>120</v>
      </c>
      <c r="Y411" t="s">
        <v>121</v>
      </c>
      <c r="Z411">
        <v>12</v>
      </c>
      <c r="AA411" t="s">
        <v>65</v>
      </c>
      <c r="AB411" t="s">
        <v>56</v>
      </c>
      <c r="AC411" t="s">
        <v>56</v>
      </c>
      <c r="AD411">
        <v>0</v>
      </c>
      <c r="AE411" t="s">
        <v>66</v>
      </c>
      <c r="AF411" t="s">
        <v>56</v>
      </c>
      <c r="AG411" t="s">
        <v>56</v>
      </c>
      <c r="AH411" t="s">
        <v>56</v>
      </c>
      <c r="AI411" t="s">
        <v>56</v>
      </c>
      <c r="AJ411" t="s">
        <v>444</v>
      </c>
      <c r="AK411" t="s">
        <v>445</v>
      </c>
      <c r="AL411" t="s">
        <v>56</v>
      </c>
      <c r="AM411" t="s">
        <v>56</v>
      </c>
      <c r="AN411" t="s">
        <v>56</v>
      </c>
      <c r="AO411" t="s">
        <v>56</v>
      </c>
      <c r="AP411" t="s">
        <v>56</v>
      </c>
      <c r="AQ411" t="s">
        <v>71</v>
      </c>
      <c r="AR411" t="s">
        <v>56</v>
      </c>
      <c r="AS411" t="s">
        <v>56</v>
      </c>
      <c r="AT411" t="s">
        <v>56</v>
      </c>
      <c r="AU411" t="s">
        <v>56</v>
      </c>
      <c r="AV411" t="s">
        <v>56</v>
      </c>
      <c r="AW411" t="s">
        <v>56</v>
      </c>
      <c r="AX411">
        <v>4</v>
      </c>
    </row>
    <row r="412" spans="1:50" x14ac:dyDescent="0.25">
      <c r="A412" t="str">
        <f>"20200129110017106728"</f>
        <v>20200129110017106728</v>
      </c>
      <c r="B412" t="s">
        <v>72</v>
      </c>
      <c r="C412" t="s">
        <v>72</v>
      </c>
      <c r="D412" t="s">
        <v>2347</v>
      </c>
      <c r="E412" t="str">
        <f>"110013028901"</f>
        <v>110013028901</v>
      </c>
      <c r="F412" t="s">
        <v>52</v>
      </c>
      <c r="G412">
        <v>900959051</v>
      </c>
      <c r="H412">
        <v>11001</v>
      </c>
      <c r="I412" t="s">
        <v>2348</v>
      </c>
      <c r="J412">
        <v>3282828</v>
      </c>
      <c r="K412" t="s">
        <v>54</v>
      </c>
      <c r="L412">
        <v>36718484</v>
      </c>
      <c r="M412" t="s">
        <v>2349</v>
      </c>
      <c r="N412" t="s">
        <v>420</v>
      </c>
      <c r="O412" t="s">
        <v>1619</v>
      </c>
      <c r="P412" t="s">
        <v>2350</v>
      </c>
      <c r="Q412">
        <v>36718484</v>
      </c>
      <c r="R412" t="s">
        <v>54</v>
      </c>
      <c r="S412">
        <v>1052960013</v>
      </c>
      <c r="T412" t="s">
        <v>1199</v>
      </c>
      <c r="U412" t="s">
        <v>62</v>
      </c>
      <c r="V412" t="s">
        <v>402</v>
      </c>
      <c r="W412" t="s">
        <v>2351</v>
      </c>
      <c r="X412" t="s">
        <v>183</v>
      </c>
      <c r="Y412" t="s">
        <v>101</v>
      </c>
      <c r="Z412">
        <v>22</v>
      </c>
      <c r="AA412" t="s">
        <v>102</v>
      </c>
      <c r="AB412">
        <v>0</v>
      </c>
      <c r="AC412" t="s">
        <v>66</v>
      </c>
      <c r="AD412">
        <v>0</v>
      </c>
      <c r="AE412" t="s">
        <v>66</v>
      </c>
      <c r="AF412" t="s">
        <v>56</v>
      </c>
      <c r="AG412" t="s">
        <v>56</v>
      </c>
      <c r="AH412" t="s">
        <v>56</v>
      </c>
      <c r="AI412" t="s">
        <v>56</v>
      </c>
      <c r="AJ412" t="s">
        <v>122</v>
      </c>
      <c r="AK412" t="s">
        <v>123</v>
      </c>
      <c r="AL412" t="s">
        <v>56</v>
      </c>
      <c r="AM412" t="s">
        <v>56</v>
      </c>
      <c r="AN412" t="s">
        <v>56</v>
      </c>
      <c r="AO412" t="s">
        <v>56</v>
      </c>
      <c r="AP412" t="s">
        <v>56</v>
      </c>
      <c r="AQ412" t="s">
        <v>71</v>
      </c>
      <c r="AR412" t="s">
        <v>56</v>
      </c>
      <c r="AS412" t="s">
        <v>56</v>
      </c>
      <c r="AT412" t="s">
        <v>56</v>
      </c>
      <c r="AU412" t="s">
        <v>56</v>
      </c>
      <c r="AV412" t="s">
        <v>56</v>
      </c>
      <c r="AW412" t="s">
        <v>56</v>
      </c>
      <c r="AX412">
        <v>4</v>
      </c>
    </row>
    <row r="413" spans="1:50" x14ac:dyDescent="0.25">
      <c r="A413" t="str">
        <f>"20200130176017131479"</f>
        <v>20200130176017131479</v>
      </c>
      <c r="B413" t="s">
        <v>124</v>
      </c>
      <c r="C413" t="s">
        <v>124</v>
      </c>
      <c r="D413" t="s">
        <v>2352</v>
      </c>
      <c r="E413" t="str">
        <f>"230010011601"</f>
        <v>230010011601</v>
      </c>
      <c r="F413" t="s">
        <v>52</v>
      </c>
      <c r="G413">
        <v>812005522</v>
      </c>
      <c r="H413">
        <v>23001</v>
      </c>
      <c r="I413" t="s">
        <v>2111</v>
      </c>
      <c r="J413">
        <v>7917725</v>
      </c>
      <c r="K413" t="s">
        <v>54</v>
      </c>
      <c r="L413">
        <v>78695841</v>
      </c>
      <c r="M413" t="s">
        <v>2353</v>
      </c>
      <c r="N413" t="s">
        <v>155</v>
      </c>
      <c r="O413" t="s">
        <v>2354</v>
      </c>
      <c r="P413" t="s">
        <v>297</v>
      </c>
      <c r="Q413" t="s">
        <v>2355</v>
      </c>
      <c r="R413" t="s">
        <v>54</v>
      </c>
      <c r="S413">
        <v>11030549</v>
      </c>
      <c r="T413" t="s">
        <v>2356</v>
      </c>
      <c r="U413" t="s">
        <v>132</v>
      </c>
      <c r="V413" t="s">
        <v>2357</v>
      </c>
      <c r="W413" t="s">
        <v>938</v>
      </c>
      <c r="X413" t="s">
        <v>2114</v>
      </c>
      <c r="Y413" t="s">
        <v>136</v>
      </c>
      <c r="Z413">
        <v>12</v>
      </c>
      <c r="AA413" t="s">
        <v>65</v>
      </c>
      <c r="AB413" t="s">
        <v>56</v>
      </c>
      <c r="AC413" t="s">
        <v>56</v>
      </c>
      <c r="AD413">
        <v>0</v>
      </c>
      <c r="AE413" t="s">
        <v>66</v>
      </c>
      <c r="AF413" t="s">
        <v>56</v>
      </c>
      <c r="AG413" t="s">
        <v>56</v>
      </c>
      <c r="AH413" t="s">
        <v>56</v>
      </c>
      <c r="AI413" t="s">
        <v>56</v>
      </c>
      <c r="AJ413" t="s">
        <v>2358</v>
      </c>
      <c r="AK413" t="s">
        <v>2359</v>
      </c>
      <c r="AL413" t="s">
        <v>56</v>
      </c>
      <c r="AM413" t="s">
        <v>56</v>
      </c>
      <c r="AN413" t="s">
        <v>56</v>
      </c>
      <c r="AO413" t="s">
        <v>56</v>
      </c>
      <c r="AP413" t="s">
        <v>56</v>
      </c>
      <c r="AQ413" t="s">
        <v>71</v>
      </c>
      <c r="AR413" t="s">
        <v>56</v>
      </c>
      <c r="AS413" t="s">
        <v>56</v>
      </c>
      <c r="AT413" t="s">
        <v>56</v>
      </c>
      <c r="AU413" t="s">
        <v>56</v>
      </c>
      <c r="AV413" t="s">
        <v>56</v>
      </c>
      <c r="AW413" t="s">
        <v>56</v>
      </c>
      <c r="AX413">
        <v>4</v>
      </c>
    </row>
    <row r="414" spans="1:50" x14ac:dyDescent="0.25">
      <c r="A414" t="str">
        <f>"20200129119017106379"</f>
        <v>20200129119017106379</v>
      </c>
      <c r="B414" t="s">
        <v>72</v>
      </c>
      <c r="C414" t="s">
        <v>72</v>
      </c>
      <c r="D414" t="s">
        <v>2360</v>
      </c>
      <c r="E414" t="str">
        <f>"134300068301"</f>
        <v>134300068301</v>
      </c>
      <c r="F414" t="s">
        <v>52</v>
      </c>
      <c r="G414">
        <v>900827631</v>
      </c>
      <c r="H414">
        <v>13430</v>
      </c>
      <c r="I414" t="s">
        <v>258</v>
      </c>
      <c r="J414">
        <v>3145812515</v>
      </c>
      <c r="K414" t="s">
        <v>54</v>
      </c>
      <c r="L414">
        <v>78733522</v>
      </c>
      <c r="M414" t="s">
        <v>259</v>
      </c>
      <c r="N414" t="s">
        <v>223</v>
      </c>
      <c r="O414" t="s">
        <v>179</v>
      </c>
      <c r="P414" t="s">
        <v>260</v>
      </c>
      <c r="Q414">
        <v>23306</v>
      </c>
      <c r="R414" t="s">
        <v>54</v>
      </c>
      <c r="S414">
        <v>9132324</v>
      </c>
      <c r="T414" t="s">
        <v>870</v>
      </c>
      <c r="U414" t="s">
        <v>62</v>
      </c>
      <c r="V414" t="s">
        <v>403</v>
      </c>
      <c r="W414" t="s">
        <v>2361</v>
      </c>
      <c r="X414" t="s">
        <v>183</v>
      </c>
      <c r="Y414" t="s">
        <v>101</v>
      </c>
      <c r="Z414">
        <v>12</v>
      </c>
      <c r="AA414" t="s">
        <v>65</v>
      </c>
      <c r="AB414" t="s">
        <v>56</v>
      </c>
      <c r="AC414" t="s">
        <v>56</v>
      </c>
      <c r="AD414">
        <v>0</v>
      </c>
      <c r="AE414" t="s">
        <v>66</v>
      </c>
      <c r="AF414" t="s">
        <v>56</v>
      </c>
      <c r="AG414" t="s">
        <v>56</v>
      </c>
      <c r="AH414" t="s">
        <v>56</v>
      </c>
      <c r="AI414" t="s">
        <v>56</v>
      </c>
      <c r="AJ414" t="s">
        <v>267</v>
      </c>
      <c r="AK414" t="s">
        <v>268</v>
      </c>
      <c r="AL414" t="s">
        <v>56</v>
      </c>
      <c r="AM414" t="s">
        <v>56</v>
      </c>
      <c r="AN414" t="s">
        <v>56</v>
      </c>
      <c r="AO414" t="s">
        <v>56</v>
      </c>
      <c r="AP414" t="s">
        <v>56</v>
      </c>
      <c r="AQ414" t="s">
        <v>71</v>
      </c>
      <c r="AR414" t="s">
        <v>56</v>
      </c>
      <c r="AS414" t="s">
        <v>56</v>
      </c>
      <c r="AT414" t="s">
        <v>56</v>
      </c>
      <c r="AU414" t="s">
        <v>56</v>
      </c>
      <c r="AV414" t="s">
        <v>56</v>
      </c>
      <c r="AW414" t="s">
        <v>56</v>
      </c>
      <c r="AX414">
        <v>4</v>
      </c>
    </row>
    <row r="415" spans="1:50" x14ac:dyDescent="0.25">
      <c r="A415" t="str">
        <f>"20200127114017043229"</f>
        <v>20200127114017043229</v>
      </c>
      <c r="B415" t="s">
        <v>190</v>
      </c>
      <c r="C415" t="s">
        <v>190</v>
      </c>
      <c r="D415" t="s">
        <v>2362</v>
      </c>
      <c r="E415" t="str">
        <f>"200010043101"</f>
        <v>200010043101</v>
      </c>
      <c r="F415" t="s">
        <v>52</v>
      </c>
      <c r="G415">
        <v>892399994</v>
      </c>
      <c r="H415">
        <v>20001</v>
      </c>
      <c r="I415" t="s">
        <v>905</v>
      </c>
      <c r="J415" t="s">
        <v>906</v>
      </c>
      <c r="K415" t="s">
        <v>54</v>
      </c>
      <c r="L415">
        <v>9094917</v>
      </c>
      <c r="M415" t="s">
        <v>1227</v>
      </c>
      <c r="N415" t="s">
        <v>604</v>
      </c>
      <c r="O415" t="s">
        <v>2363</v>
      </c>
      <c r="P415" t="s">
        <v>2364</v>
      </c>
      <c r="Q415" t="s">
        <v>2365</v>
      </c>
      <c r="R415" t="s">
        <v>54</v>
      </c>
      <c r="S415">
        <v>1081908187</v>
      </c>
      <c r="T415" t="s">
        <v>2366</v>
      </c>
      <c r="U415" t="s">
        <v>424</v>
      </c>
      <c r="V415" t="s">
        <v>1994</v>
      </c>
      <c r="W415" t="s">
        <v>2367</v>
      </c>
      <c r="X415" t="s">
        <v>462</v>
      </c>
      <c r="Y415" t="s">
        <v>86</v>
      </c>
      <c r="Z415">
        <v>12</v>
      </c>
      <c r="AA415" t="s">
        <v>65</v>
      </c>
      <c r="AB415" t="s">
        <v>56</v>
      </c>
      <c r="AC415" t="s">
        <v>56</v>
      </c>
      <c r="AD415">
        <v>0</v>
      </c>
      <c r="AE415" t="s">
        <v>66</v>
      </c>
      <c r="AF415" t="s">
        <v>56</v>
      </c>
      <c r="AG415" t="s">
        <v>56</v>
      </c>
      <c r="AH415" t="s">
        <v>56</v>
      </c>
      <c r="AI415" t="s">
        <v>56</v>
      </c>
      <c r="AJ415" t="s">
        <v>942</v>
      </c>
      <c r="AK415" t="s">
        <v>943</v>
      </c>
      <c r="AL415" t="s">
        <v>1330</v>
      </c>
      <c r="AM415" t="s">
        <v>1331</v>
      </c>
      <c r="AN415" t="s">
        <v>56</v>
      </c>
      <c r="AO415" t="s">
        <v>56</v>
      </c>
      <c r="AP415" t="s">
        <v>56</v>
      </c>
      <c r="AQ415" t="s">
        <v>71</v>
      </c>
      <c r="AR415" t="s">
        <v>56</v>
      </c>
      <c r="AS415" t="s">
        <v>56</v>
      </c>
      <c r="AT415" t="s">
        <v>56</v>
      </c>
      <c r="AU415" t="s">
        <v>56</v>
      </c>
      <c r="AV415" t="s">
        <v>56</v>
      </c>
      <c r="AW415" t="s">
        <v>56</v>
      </c>
      <c r="AX415">
        <v>4</v>
      </c>
    </row>
    <row r="416" spans="1:50" x14ac:dyDescent="0.25">
      <c r="A416" t="str">
        <f>"20200129185017126132"</f>
        <v>20200129185017126132</v>
      </c>
      <c r="B416" t="s">
        <v>72</v>
      </c>
      <c r="C416" t="s">
        <v>72</v>
      </c>
      <c r="D416" t="s">
        <v>2368</v>
      </c>
      <c r="E416" t="str">
        <f>"080010003601"</f>
        <v>080010003601</v>
      </c>
      <c r="F416" t="s">
        <v>52</v>
      </c>
      <c r="G416">
        <v>802000955</v>
      </c>
      <c r="H416" t="s">
        <v>112</v>
      </c>
      <c r="I416" t="s">
        <v>218</v>
      </c>
      <c r="J416" t="s">
        <v>56</v>
      </c>
      <c r="K416" t="s">
        <v>54</v>
      </c>
      <c r="L416">
        <v>8703386</v>
      </c>
      <c r="M416" t="s">
        <v>219</v>
      </c>
      <c r="N416" t="s">
        <v>56</v>
      </c>
      <c r="O416" t="s">
        <v>220</v>
      </c>
      <c r="P416" t="s">
        <v>221</v>
      </c>
      <c r="Q416" t="s">
        <v>222</v>
      </c>
      <c r="R416" t="s">
        <v>54</v>
      </c>
      <c r="S416">
        <v>33107104</v>
      </c>
      <c r="T416" t="s">
        <v>2369</v>
      </c>
      <c r="U416" t="s">
        <v>2370</v>
      </c>
      <c r="V416" t="s">
        <v>2371</v>
      </c>
      <c r="W416" t="s">
        <v>225</v>
      </c>
      <c r="X416" t="s">
        <v>299</v>
      </c>
      <c r="Y416" t="s">
        <v>121</v>
      </c>
      <c r="Z416">
        <v>12</v>
      </c>
      <c r="AA416" t="s">
        <v>65</v>
      </c>
      <c r="AB416" t="s">
        <v>56</v>
      </c>
      <c r="AC416" t="s">
        <v>56</v>
      </c>
      <c r="AD416">
        <v>0</v>
      </c>
      <c r="AE416" t="s">
        <v>66</v>
      </c>
      <c r="AF416" t="s">
        <v>56</v>
      </c>
      <c r="AG416" t="s">
        <v>56</v>
      </c>
      <c r="AH416" t="s">
        <v>56</v>
      </c>
      <c r="AI416" t="s">
        <v>56</v>
      </c>
      <c r="AJ416" t="s">
        <v>226</v>
      </c>
      <c r="AK416" t="s">
        <v>227</v>
      </c>
      <c r="AL416" t="s">
        <v>56</v>
      </c>
      <c r="AM416" t="s">
        <v>56</v>
      </c>
      <c r="AN416" t="s">
        <v>56</v>
      </c>
      <c r="AO416" t="s">
        <v>56</v>
      </c>
      <c r="AP416" t="s">
        <v>56</v>
      </c>
      <c r="AQ416" t="s">
        <v>71</v>
      </c>
      <c r="AR416" t="s">
        <v>56</v>
      </c>
      <c r="AS416" t="s">
        <v>56</v>
      </c>
      <c r="AT416" t="s">
        <v>56</v>
      </c>
      <c r="AU416" t="s">
        <v>56</v>
      </c>
      <c r="AV416" t="s">
        <v>56</v>
      </c>
      <c r="AW416" t="s">
        <v>56</v>
      </c>
      <c r="AX416">
        <v>4</v>
      </c>
    </row>
    <row r="417" spans="1:50" x14ac:dyDescent="0.25">
      <c r="A417" t="str">
        <f>"20200128133017094395"</f>
        <v>20200128133017094395</v>
      </c>
      <c r="B417" t="s">
        <v>151</v>
      </c>
      <c r="C417" t="s">
        <v>151</v>
      </c>
      <c r="D417" t="s">
        <v>2372</v>
      </c>
      <c r="E417" t="str">
        <f>"270010103801"</f>
        <v>270010103801</v>
      </c>
      <c r="F417" t="s">
        <v>52</v>
      </c>
      <c r="G417">
        <v>900771065</v>
      </c>
      <c r="H417">
        <v>27001</v>
      </c>
      <c r="I417" t="s">
        <v>1122</v>
      </c>
      <c r="J417">
        <v>3122303518</v>
      </c>
      <c r="K417" t="s">
        <v>54</v>
      </c>
      <c r="L417">
        <v>11814040</v>
      </c>
      <c r="M417" t="s">
        <v>1123</v>
      </c>
      <c r="N417" t="s">
        <v>86</v>
      </c>
      <c r="O417" t="s">
        <v>1124</v>
      </c>
      <c r="P417" t="s">
        <v>108</v>
      </c>
      <c r="Q417">
        <v>271126</v>
      </c>
      <c r="R417" t="s">
        <v>54</v>
      </c>
      <c r="S417">
        <v>1077476193</v>
      </c>
      <c r="T417" t="s">
        <v>2373</v>
      </c>
      <c r="U417" t="s">
        <v>1798</v>
      </c>
      <c r="V417" t="s">
        <v>2124</v>
      </c>
      <c r="W417" t="s">
        <v>1146</v>
      </c>
      <c r="X417" t="s">
        <v>860</v>
      </c>
      <c r="Y417" t="s">
        <v>717</v>
      </c>
      <c r="Z417">
        <v>11</v>
      </c>
      <c r="AA417" t="s">
        <v>87</v>
      </c>
      <c r="AB417" t="s">
        <v>56</v>
      </c>
      <c r="AC417" t="s">
        <v>56</v>
      </c>
      <c r="AD417">
        <v>0</v>
      </c>
      <c r="AE417" t="s">
        <v>66</v>
      </c>
      <c r="AF417" t="s">
        <v>56</v>
      </c>
      <c r="AG417" t="s">
        <v>56</v>
      </c>
      <c r="AH417" t="s">
        <v>56</v>
      </c>
      <c r="AI417" t="s">
        <v>56</v>
      </c>
      <c r="AJ417" t="s">
        <v>2374</v>
      </c>
      <c r="AK417" t="s">
        <v>2375</v>
      </c>
      <c r="AL417" t="s">
        <v>56</v>
      </c>
      <c r="AM417" t="s">
        <v>56</v>
      </c>
      <c r="AN417" t="s">
        <v>56</v>
      </c>
      <c r="AO417" t="s">
        <v>56</v>
      </c>
      <c r="AP417" t="s">
        <v>56</v>
      </c>
      <c r="AQ417" t="s">
        <v>71</v>
      </c>
      <c r="AR417" t="s">
        <v>56</v>
      </c>
      <c r="AS417" t="s">
        <v>56</v>
      </c>
      <c r="AT417" t="s">
        <v>56</v>
      </c>
      <c r="AU417" t="s">
        <v>56</v>
      </c>
      <c r="AV417" t="s">
        <v>56</v>
      </c>
      <c r="AW417" t="s">
        <v>56</v>
      </c>
      <c r="AX417">
        <v>4</v>
      </c>
    </row>
    <row r="418" spans="1:50" x14ac:dyDescent="0.25">
      <c r="A418" t="str">
        <f>"20200128119017094538"</f>
        <v>20200128119017094538</v>
      </c>
      <c r="B418" t="s">
        <v>151</v>
      </c>
      <c r="C418" t="s">
        <v>151</v>
      </c>
      <c r="D418" t="s">
        <v>2376</v>
      </c>
      <c r="E418" t="str">
        <f>"270010103801"</f>
        <v>270010103801</v>
      </c>
      <c r="F418" t="s">
        <v>52</v>
      </c>
      <c r="G418">
        <v>900771065</v>
      </c>
      <c r="H418">
        <v>27001</v>
      </c>
      <c r="I418" t="s">
        <v>1122</v>
      </c>
      <c r="J418">
        <v>3122303518</v>
      </c>
      <c r="K418" t="s">
        <v>54</v>
      </c>
      <c r="L418">
        <v>11814040</v>
      </c>
      <c r="M418" t="s">
        <v>1123</v>
      </c>
      <c r="N418" t="s">
        <v>86</v>
      </c>
      <c r="O418" t="s">
        <v>1124</v>
      </c>
      <c r="P418" t="s">
        <v>108</v>
      </c>
      <c r="Q418">
        <v>271126</v>
      </c>
      <c r="R418" t="s">
        <v>54</v>
      </c>
      <c r="S418">
        <v>1077476193</v>
      </c>
      <c r="T418" t="s">
        <v>2373</v>
      </c>
      <c r="U418" t="s">
        <v>1798</v>
      </c>
      <c r="V418" t="s">
        <v>2124</v>
      </c>
      <c r="W418" t="s">
        <v>1146</v>
      </c>
      <c r="X418" t="s">
        <v>860</v>
      </c>
      <c r="Y418" t="s">
        <v>717</v>
      </c>
      <c r="Z418">
        <v>11</v>
      </c>
      <c r="AA418" t="s">
        <v>87</v>
      </c>
      <c r="AB418" t="s">
        <v>56</v>
      </c>
      <c r="AC418" t="s">
        <v>56</v>
      </c>
      <c r="AD418">
        <v>0</v>
      </c>
      <c r="AE418" t="s">
        <v>66</v>
      </c>
      <c r="AF418" t="s">
        <v>56</v>
      </c>
      <c r="AG418" t="s">
        <v>56</v>
      </c>
      <c r="AH418" t="s">
        <v>56</v>
      </c>
      <c r="AI418" t="s">
        <v>56</v>
      </c>
      <c r="AJ418" t="s">
        <v>2374</v>
      </c>
      <c r="AK418" t="s">
        <v>2375</v>
      </c>
      <c r="AL418" t="s">
        <v>56</v>
      </c>
      <c r="AM418" t="s">
        <v>56</v>
      </c>
      <c r="AN418" t="s">
        <v>56</v>
      </c>
      <c r="AO418" t="s">
        <v>56</v>
      </c>
      <c r="AP418" t="s">
        <v>56</v>
      </c>
      <c r="AQ418" t="s">
        <v>71</v>
      </c>
      <c r="AR418" t="s">
        <v>56</v>
      </c>
      <c r="AS418" t="s">
        <v>56</v>
      </c>
      <c r="AT418" t="s">
        <v>56</v>
      </c>
      <c r="AU418" t="s">
        <v>56</v>
      </c>
      <c r="AV418" t="s">
        <v>56</v>
      </c>
      <c r="AW418" t="s">
        <v>56</v>
      </c>
      <c r="AX418">
        <v>4</v>
      </c>
    </row>
    <row r="419" spans="1:50" x14ac:dyDescent="0.25">
      <c r="A419" t="str">
        <f>"20200129124017111160"</f>
        <v>20200129124017111160</v>
      </c>
      <c r="B419" t="s">
        <v>72</v>
      </c>
      <c r="C419" t="s">
        <v>72</v>
      </c>
      <c r="D419" t="s">
        <v>2377</v>
      </c>
      <c r="E419" t="str">
        <f>"134300077501"</f>
        <v>134300077501</v>
      </c>
      <c r="F419" t="s">
        <v>52</v>
      </c>
      <c r="G419">
        <v>823002800</v>
      </c>
      <c r="H419">
        <v>13430</v>
      </c>
      <c r="I419" t="s">
        <v>539</v>
      </c>
      <c r="J419">
        <v>3107315890</v>
      </c>
      <c r="K419" t="s">
        <v>54</v>
      </c>
      <c r="L419">
        <v>55231988</v>
      </c>
      <c r="M419" t="s">
        <v>886</v>
      </c>
      <c r="N419" t="s">
        <v>56</v>
      </c>
      <c r="O419" t="s">
        <v>193</v>
      </c>
      <c r="P419" t="s">
        <v>805</v>
      </c>
      <c r="Q419">
        <v>161322009</v>
      </c>
      <c r="R419" t="s">
        <v>237</v>
      </c>
      <c r="S419">
        <v>1052965793</v>
      </c>
      <c r="T419" t="s">
        <v>2378</v>
      </c>
      <c r="U419" t="s">
        <v>2379</v>
      </c>
      <c r="V419" t="s">
        <v>1060</v>
      </c>
      <c r="W419" t="s">
        <v>315</v>
      </c>
      <c r="X419" t="s">
        <v>183</v>
      </c>
      <c r="Y419" t="s">
        <v>101</v>
      </c>
      <c r="Z419">
        <v>12</v>
      </c>
      <c r="AA419" t="s">
        <v>65</v>
      </c>
      <c r="AB419" t="s">
        <v>56</v>
      </c>
      <c r="AC419" t="s">
        <v>56</v>
      </c>
      <c r="AD419">
        <v>0</v>
      </c>
      <c r="AE419" t="s">
        <v>66</v>
      </c>
      <c r="AF419" t="s">
        <v>56</v>
      </c>
      <c r="AG419" t="s">
        <v>56</v>
      </c>
      <c r="AH419" t="s">
        <v>56</v>
      </c>
      <c r="AI419" t="s">
        <v>56</v>
      </c>
      <c r="AJ419" t="s">
        <v>745</v>
      </c>
      <c r="AK419" t="s">
        <v>746</v>
      </c>
      <c r="AL419" t="s">
        <v>2380</v>
      </c>
      <c r="AM419" t="s">
        <v>2381</v>
      </c>
      <c r="AN419" t="s">
        <v>2382</v>
      </c>
      <c r="AO419" t="s">
        <v>2383</v>
      </c>
      <c r="AP419" t="s">
        <v>56</v>
      </c>
      <c r="AQ419" t="s">
        <v>71</v>
      </c>
      <c r="AR419" t="s">
        <v>56</v>
      </c>
      <c r="AS419" t="s">
        <v>56</v>
      </c>
      <c r="AT419" t="s">
        <v>56</v>
      </c>
      <c r="AU419" t="s">
        <v>56</v>
      </c>
      <c r="AV419" t="s">
        <v>56</v>
      </c>
      <c r="AW419" t="s">
        <v>56</v>
      </c>
      <c r="AX419">
        <v>4</v>
      </c>
    </row>
    <row r="420" spans="1:50" x14ac:dyDescent="0.25">
      <c r="A420" t="str">
        <f>"20200129152017107298"</f>
        <v>20200129152017107298</v>
      </c>
      <c r="B420" t="s">
        <v>72</v>
      </c>
      <c r="C420" t="s">
        <v>72</v>
      </c>
      <c r="D420" t="s">
        <v>2384</v>
      </c>
      <c r="E420" t="str">
        <f>"270010036201"</f>
        <v>270010036201</v>
      </c>
      <c r="F420" t="s">
        <v>52</v>
      </c>
      <c r="G420">
        <v>900210883</v>
      </c>
      <c r="H420">
        <v>27001</v>
      </c>
      <c r="I420" t="s">
        <v>2057</v>
      </c>
      <c r="J420">
        <v>6724232</v>
      </c>
      <c r="K420" t="s">
        <v>54</v>
      </c>
      <c r="L420">
        <v>72218482</v>
      </c>
      <c r="M420" t="s">
        <v>291</v>
      </c>
      <c r="N420" t="s">
        <v>261</v>
      </c>
      <c r="O420" t="s">
        <v>1146</v>
      </c>
      <c r="P420" t="s">
        <v>1076</v>
      </c>
      <c r="Q420">
        <v>27405</v>
      </c>
      <c r="R420" t="s">
        <v>54</v>
      </c>
      <c r="S420">
        <v>26254496</v>
      </c>
      <c r="T420" t="s">
        <v>2385</v>
      </c>
      <c r="U420" t="s">
        <v>62</v>
      </c>
      <c r="V420" t="s">
        <v>403</v>
      </c>
      <c r="W420" t="s">
        <v>2124</v>
      </c>
      <c r="X420" t="s">
        <v>860</v>
      </c>
      <c r="Y420" t="s">
        <v>717</v>
      </c>
      <c r="Z420">
        <v>11</v>
      </c>
      <c r="AA420" t="s">
        <v>87</v>
      </c>
      <c r="AB420" t="s">
        <v>56</v>
      </c>
      <c r="AC420" t="s">
        <v>56</v>
      </c>
      <c r="AD420">
        <v>0</v>
      </c>
      <c r="AE420" t="s">
        <v>66</v>
      </c>
      <c r="AF420" t="s">
        <v>56</v>
      </c>
      <c r="AG420" t="s">
        <v>56</v>
      </c>
      <c r="AH420" t="s">
        <v>56</v>
      </c>
      <c r="AI420" t="s">
        <v>56</v>
      </c>
      <c r="AJ420" t="s">
        <v>2386</v>
      </c>
      <c r="AK420" t="s">
        <v>2387</v>
      </c>
      <c r="AL420" t="s">
        <v>56</v>
      </c>
      <c r="AM420" t="s">
        <v>56</v>
      </c>
      <c r="AN420" t="s">
        <v>56</v>
      </c>
      <c r="AO420" t="s">
        <v>56</v>
      </c>
      <c r="AP420" t="s">
        <v>56</v>
      </c>
      <c r="AQ420" t="s">
        <v>71</v>
      </c>
      <c r="AR420" t="s">
        <v>56</v>
      </c>
      <c r="AS420" t="s">
        <v>56</v>
      </c>
      <c r="AT420" t="s">
        <v>56</v>
      </c>
      <c r="AU420" t="s">
        <v>56</v>
      </c>
      <c r="AV420" t="s">
        <v>56</v>
      </c>
      <c r="AW420" t="s">
        <v>56</v>
      </c>
      <c r="AX420">
        <v>4</v>
      </c>
    </row>
    <row r="421" spans="1:50" x14ac:dyDescent="0.25">
      <c r="A421" t="str">
        <f>"20200124110017009713"</f>
        <v>20200124110017009713</v>
      </c>
      <c r="B421" t="s">
        <v>201</v>
      </c>
      <c r="C421" t="s">
        <v>201</v>
      </c>
      <c r="D421" t="s">
        <v>2388</v>
      </c>
      <c r="E421" t="str">
        <f>"080010380001"</f>
        <v>080010380001</v>
      </c>
      <c r="F421" t="s">
        <v>52</v>
      </c>
      <c r="G421">
        <v>900665930</v>
      </c>
      <c r="H421" t="s">
        <v>112</v>
      </c>
      <c r="I421" t="s">
        <v>113</v>
      </c>
      <c r="J421">
        <v>3175759202</v>
      </c>
      <c r="K421" t="s">
        <v>54</v>
      </c>
      <c r="L421">
        <v>1045724464</v>
      </c>
      <c r="M421" t="s">
        <v>59</v>
      </c>
      <c r="N421" t="s">
        <v>114</v>
      </c>
      <c r="O421" t="s">
        <v>115</v>
      </c>
      <c r="P421" t="s">
        <v>116</v>
      </c>
      <c r="Q421">
        <v>1045724464</v>
      </c>
      <c r="R421" t="s">
        <v>54</v>
      </c>
      <c r="S421">
        <v>32877733</v>
      </c>
      <c r="T421" t="s">
        <v>2389</v>
      </c>
      <c r="U421" t="s">
        <v>62</v>
      </c>
      <c r="V421" t="s">
        <v>364</v>
      </c>
      <c r="W421" t="s">
        <v>564</v>
      </c>
      <c r="X421" t="s">
        <v>120</v>
      </c>
      <c r="Y421" t="s">
        <v>121</v>
      </c>
      <c r="Z421">
        <v>12</v>
      </c>
      <c r="AA421" t="s">
        <v>65</v>
      </c>
      <c r="AB421" t="s">
        <v>56</v>
      </c>
      <c r="AC421" t="s">
        <v>56</v>
      </c>
      <c r="AD421">
        <v>0</v>
      </c>
      <c r="AE421" t="s">
        <v>66</v>
      </c>
      <c r="AF421" t="s">
        <v>56</v>
      </c>
      <c r="AG421" t="s">
        <v>56</v>
      </c>
      <c r="AH421" t="s">
        <v>56</v>
      </c>
      <c r="AI421" t="s">
        <v>56</v>
      </c>
      <c r="AJ421" t="s">
        <v>1250</v>
      </c>
      <c r="AK421" t="s">
        <v>1251</v>
      </c>
      <c r="AL421" t="s">
        <v>56</v>
      </c>
      <c r="AM421" t="s">
        <v>56</v>
      </c>
      <c r="AN421" t="s">
        <v>56</v>
      </c>
      <c r="AO421" t="s">
        <v>56</v>
      </c>
      <c r="AP421" t="s">
        <v>56</v>
      </c>
      <c r="AQ421" t="s">
        <v>71</v>
      </c>
      <c r="AR421" t="s">
        <v>56</v>
      </c>
      <c r="AS421" t="s">
        <v>56</v>
      </c>
      <c r="AT421" t="s">
        <v>56</v>
      </c>
      <c r="AU421" t="s">
        <v>56</v>
      </c>
      <c r="AV421" t="s">
        <v>56</v>
      </c>
      <c r="AW421" t="s">
        <v>56</v>
      </c>
      <c r="AX421">
        <v>4</v>
      </c>
    </row>
    <row r="422" spans="1:50" x14ac:dyDescent="0.25">
      <c r="A422" t="str">
        <f>"20200124173017011943"</f>
        <v>20200124173017011943</v>
      </c>
      <c r="B422" t="s">
        <v>201</v>
      </c>
      <c r="C422" t="s">
        <v>201</v>
      </c>
      <c r="D422" t="s">
        <v>2390</v>
      </c>
      <c r="E422" t="str">
        <f>"761470371502"</f>
        <v>761470371502</v>
      </c>
      <c r="F422" t="s">
        <v>52</v>
      </c>
      <c r="G422">
        <v>890303841</v>
      </c>
      <c r="H422">
        <v>76147</v>
      </c>
      <c r="I422" t="s">
        <v>359</v>
      </c>
      <c r="J422">
        <v>2132425</v>
      </c>
      <c r="K422" t="s">
        <v>54</v>
      </c>
      <c r="L422">
        <v>16830715</v>
      </c>
      <c r="M422" t="s">
        <v>127</v>
      </c>
      <c r="N422" t="s">
        <v>360</v>
      </c>
      <c r="O422" t="s">
        <v>361</v>
      </c>
      <c r="P422" t="s">
        <v>362</v>
      </c>
      <c r="Q422">
        <v>1913</v>
      </c>
      <c r="R422" t="s">
        <v>54</v>
      </c>
      <c r="S422">
        <v>16201258</v>
      </c>
      <c r="T422" t="s">
        <v>76</v>
      </c>
      <c r="U422" t="s">
        <v>154</v>
      </c>
      <c r="V422" t="s">
        <v>263</v>
      </c>
      <c r="W422" t="s">
        <v>449</v>
      </c>
      <c r="X422" t="s">
        <v>277</v>
      </c>
      <c r="Y422" t="s">
        <v>64</v>
      </c>
      <c r="Z422">
        <v>11</v>
      </c>
      <c r="AA422" t="s">
        <v>87</v>
      </c>
      <c r="AB422" t="s">
        <v>56</v>
      </c>
      <c r="AC422" t="s">
        <v>56</v>
      </c>
      <c r="AD422">
        <v>0</v>
      </c>
      <c r="AE422" t="s">
        <v>66</v>
      </c>
      <c r="AF422" t="s">
        <v>56</v>
      </c>
      <c r="AG422" t="s">
        <v>56</v>
      </c>
      <c r="AH422" t="s">
        <v>56</v>
      </c>
      <c r="AI422" t="s">
        <v>56</v>
      </c>
      <c r="AJ422" t="s">
        <v>365</v>
      </c>
      <c r="AK422" t="s">
        <v>366</v>
      </c>
      <c r="AL422" t="s">
        <v>367</v>
      </c>
      <c r="AM422" t="s">
        <v>368</v>
      </c>
      <c r="AN422" t="s">
        <v>215</v>
      </c>
      <c r="AO422" t="s">
        <v>216</v>
      </c>
      <c r="AP422" t="s">
        <v>56</v>
      </c>
      <c r="AQ422" t="s">
        <v>71</v>
      </c>
      <c r="AR422" t="s">
        <v>56</v>
      </c>
      <c r="AS422" t="s">
        <v>56</v>
      </c>
      <c r="AT422" t="s">
        <v>56</v>
      </c>
      <c r="AU422" t="s">
        <v>56</v>
      </c>
      <c r="AV422" t="s">
        <v>56</v>
      </c>
      <c r="AW422" t="s">
        <v>56</v>
      </c>
      <c r="AX422">
        <v>4</v>
      </c>
    </row>
    <row r="423" spans="1:50" x14ac:dyDescent="0.25">
      <c r="A423" t="str">
        <f>"20200124177017018879"</f>
        <v>20200124177017018879</v>
      </c>
      <c r="B423" t="s">
        <v>201</v>
      </c>
      <c r="C423" t="s">
        <v>201</v>
      </c>
      <c r="D423" t="s">
        <v>2391</v>
      </c>
      <c r="E423" t="str">
        <f>"080010025301"</f>
        <v>080010025301</v>
      </c>
      <c r="F423" t="s">
        <v>52</v>
      </c>
      <c r="G423">
        <v>800033723</v>
      </c>
      <c r="H423" t="s">
        <v>112</v>
      </c>
      <c r="I423" t="s">
        <v>763</v>
      </c>
      <c r="J423">
        <v>3681522</v>
      </c>
      <c r="K423" t="s">
        <v>54</v>
      </c>
      <c r="L423">
        <v>72005091</v>
      </c>
      <c r="M423" t="s">
        <v>764</v>
      </c>
      <c r="N423" t="s">
        <v>132</v>
      </c>
      <c r="O423" t="s">
        <v>528</v>
      </c>
      <c r="P423" t="s">
        <v>765</v>
      </c>
      <c r="Q423" t="s">
        <v>766</v>
      </c>
      <c r="R423" t="s">
        <v>54</v>
      </c>
      <c r="S423">
        <v>72301932</v>
      </c>
      <c r="T423" t="s">
        <v>94</v>
      </c>
      <c r="U423" t="s">
        <v>2392</v>
      </c>
      <c r="V423" t="s">
        <v>2393</v>
      </c>
      <c r="W423" t="s">
        <v>1739</v>
      </c>
      <c r="X423" t="s">
        <v>2394</v>
      </c>
      <c r="Y423" t="s">
        <v>121</v>
      </c>
      <c r="Z423">
        <v>12</v>
      </c>
      <c r="AA423" t="s">
        <v>65</v>
      </c>
      <c r="AB423" t="s">
        <v>56</v>
      </c>
      <c r="AC423" t="s">
        <v>56</v>
      </c>
      <c r="AD423">
        <v>0</v>
      </c>
      <c r="AE423" t="s">
        <v>66</v>
      </c>
      <c r="AF423" t="s">
        <v>56</v>
      </c>
      <c r="AG423" t="s">
        <v>56</v>
      </c>
      <c r="AH423" t="s">
        <v>56</v>
      </c>
      <c r="AI423" t="s">
        <v>56</v>
      </c>
      <c r="AJ423" t="s">
        <v>454</v>
      </c>
      <c r="AK423" t="s">
        <v>455</v>
      </c>
      <c r="AL423" t="s">
        <v>56</v>
      </c>
      <c r="AM423" t="s">
        <v>56</v>
      </c>
      <c r="AN423" t="s">
        <v>56</v>
      </c>
      <c r="AO423" t="s">
        <v>56</v>
      </c>
      <c r="AP423" t="s">
        <v>56</v>
      </c>
      <c r="AQ423" t="s">
        <v>71</v>
      </c>
      <c r="AR423" t="s">
        <v>56</v>
      </c>
      <c r="AS423" t="s">
        <v>56</v>
      </c>
      <c r="AT423" t="s">
        <v>56</v>
      </c>
      <c r="AU423" t="s">
        <v>56</v>
      </c>
      <c r="AV423" t="s">
        <v>56</v>
      </c>
      <c r="AW423" t="s">
        <v>56</v>
      </c>
      <c r="AX423">
        <v>4</v>
      </c>
    </row>
    <row r="424" spans="1:50" x14ac:dyDescent="0.25">
      <c r="A424" t="str">
        <f>"20200127115017048512"</f>
        <v>20200127115017048512</v>
      </c>
      <c r="B424" t="s">
        <v>190</v>
      </c>
      <c r="C424" t="s">
        <v>190</v>
      </c>
      <c r="D424" t="s">
        <v>2395</v>
      </c>
      <c r="E424" t="str">
        <f>"700010016301"</f>
        <v>700010016301</v>
      </c>
      <c r="F424" t="s">
        <v>52</v>
      </c>
      <c r="G424">
        <v>823002800</v>
      </c>
      <c r="H424">
        <v>70001</v>
      </c>
      <c r="I424" t="s">
        <v>603</v>
      </c>
      <c r="J424">
        <v>3126692716</v>
      </c>
      <c r="K424" t="s">
        <v>54</v>
      </c>
      <c r="L424">
        <v>72199805</v>
      </c>
      <c r="M424" t="s">
        <v>2242</v>
      </c>
      <c r="N424" t="s">
        <v>492</v>
      </c>
      <c r="O424" t="s">
        <v>2243</v>
      </c>
      <c r="P424" t="s">
        <v>938</v>
      </c>
      <c r="Q424" t="s">
        <v>2244</v>
      </c>
      <c r="R424" t="s">
        <v>54</v>
      </c>
      <c r="S424">
        <v>18760305</v>
      </c>
      <c r="T424" t="s">
        <v>1222</v>
      </c>
      <c r="U424" t="s">
        <v>2396</v>
      </c>
      <c r="V424" t="s">
        <v>1060</v>
      </c>
      <c r="W424" t="s">
        <v>2397</v>
      </c>
      <c r="X424" t="s">
        <v>605</v>
      </c>
      <c r="Y424" t="s">
        <v>330</v>
      </c>
      <c r="Z424">
        <v>11</v>
      </c>
      <c r="AA424" t="s">
        <v>87</v>
      </c>
      <c r="AB424" t="s">
        <v>56</v>
      </c>
      <c r="AC424" t="s">
        <v>56</v>
      </c>
      <c r="AD424">
        <v>0</v>
      </c>
      <c r="AE424" t="s">
        <v>66</v>
      </c>
      <c r="AF424" t="s">
        <v>56</v>
      </c>
      <c r="AG424" t="s">
        <v>56</v>
      </c>
      <c r="AH424" t="s">
        <v>56</v>
      </c>
      <c r="AI424" t="s">
        <v>56</v>
      </c>
      <c r="AJ424" t="s">
        <v>2398</v>
      </c>
      <c r="AK424" t="s">
        <v>2399</v>
      </c>
      <c r="AL424" t="s">
        <v>56</v>
      </c>
      <c r="AM424" t="s">
        <v>56</v>
      </c>
      <c r="AN424" t="s">
        <v>56</v>
      </c>
      <c r="AO424" t="s">
        <v>56</v>
      </c>
      <c r="AP424" t="s">
        <v>56</v>
      </c>
      <c r="AQ424" t="s">
        <v>71</v>
      </c>
      <c r="AR424" t="s">
        <v>56</v>
      </c>
      <c r="AS424" t="s">
        <v>56</v>
      </c>
      <c r="AT424" t="s">
        <v>56</v>
      </c>
      <c r="AU424" t="s">
        <v>56</v>
      </c>
      <c r="AV424" t="s">
        <v>56</v>
      </c>
      <c r="AW424" t="s">
        <v>56</v>
      </c>
      <c r="AX424">
        <v>4</v>
      </c>
    </row>
    <row r="425" spans="1:50" x14ac:dyDescent="0.25">
      <c r="A425" t="str">
        <f>"20200130136017144106"</f>
        <v>20200130136017144106</v>
      </c>
      <c r="B425" t="s">
        <v>124</v>
      </c>
      <c r="C425" t="s">
        <v>124</v>
      </c>
      <c r="D425" t="s">
        <v>2400</v>
      </c>
      <c r="E425" t="str">
        <f>"200010205401"</f>
        <v>200010205401</v>
      </c>
      <c r="F425" t="s">
        <v>52</v>
      </c>
      <c r="G425">
        <v>901058547</v>
      </c>
      <c r="H425">
        <v>20001</v>
      </c>
      <c r="I425" t="s">
        <v>512</v>
      </c>
      <c r="J425" t="s">
        <v>513</v>
      </c>
      <c r="K425" t="s">
        <v>54</v>
      </c>
      <c r="L425">
        <v>32769391</v>
      </c>
      <c r="M425" t="s">
        <v>2401</v>
      </c>
      <c r="N425" t="s">
        <v>56</v>
      </c>
      <c r="O425" t="s">
        <v>1294</v>
      </c>
      <c r="P425" t="s">
        <v>392</v>
      </c>
      <c r="Q425">
        <v>1919</v>
      </c>
      <c r="R425" t="s">
        <v>237</v>
      </c>
      <c r="S425">
        <v>1067724277</v>
      </c>
      <c r="T425" t="s">
        <v>1007</v>
      </c>
      <c r="U425" t="s">
        <v>62</v>
      </c>
      <c r="V425" t="s">
        <v>225</v>
      </c>
      <c r="W425" t="s">
        <v>225</v>
      </c>
      <c r="X425" t="s">
        <v>704</v>
      </c>
      <c r="Y425" t="s">
        <v>86</v>
      </c>
      <c r="Z425">
        <v>12</v>
      </c>
      <c r="AA425" t="s">
        <v>65</v>
      </c>
      <c r="AB425" t="s">
        <v>56</v>
      </c>
      <c r="AC425" t="s">
        <v>56</v>
      </c>
      <c r="AD425">
        <v>0</v>
      </c>
      <c r="AE425" t="s">
        <v>66</v>
      </c>
      <c r="AF425" t="s">
        <v>56</v>
      </c>
      <c r="AG425" t="s">
        <v>56</v>
      </c>
      <c r="AH425" t="s">
        <v>56</v>
      </c>
      <c r="AI425" t="s">
        <v>56</v>
      </c>
      <c r="AJ425" t="s">
        <v>2402</v>
      </c>
      <c r="AK425" t="s">
        <v>2403</v>
      </c>
      <c r="AL425" t="s">
        <v>56</v>
      </c>
      <c r="AM425" t="s">
        <v>56</v>
      </c>
      <c r="AN425" t="s">
        <v>56</v>
      </c>
      <c r="AO425" t="s">
        <v>56</v>
      </c>
      <c r="AP425" t="s">
        <v>56</v>
      </c>
      <c r="AQ425" t="s">
        <v>71</v>
      </c>
      <c r="AR425" t="s">
        <v>56</v>
      </c>
      <c r="AS425" t="s">
        <v>56</v>
      </c>
      <c r="AT425" t="s">
        <v>56</v>
      </c>
      <c r="AU425" t="s">
        <v>56</v>
      </c>
      <c r="AV425" t="s">
        <v>56</v>
      </c>
      <c r="AW425" t="s">
        <v>56</v>
      </c>
      <c r="AX425">
        <v>4</v>
      </c>
    </row>
    <row r="426" spans="1:50" x14ac:dyDescent="0.25">
      <c r="A426" t="str">
        <f>"20200124119017015484"</f>
        <v>20200124119017015484</v>
      </c>
      <c r="B426" t="s">
        <v>201</v>
      </c>
      <c r="C426" t="s">
        <v>201</v>
      </c>
      <c r="D426" t="s">
        <v>2404</v>
      </c>
      <c r="E426" t="str">
        <f>"200110057201"</f>
        <v>200110057201</v>
      </c>
      <c r="F426" t="s">
        <v>52</v>
      </c>
      <c r="G426">
        <v>892300445</v>
      </c>
      <c r="H426">
        <v>20011</v>
      </c>
      <c r="I426" t="s">
        <v>2405</v>
      </c>
      <c r="J426" t="s">
        <v>2406</v>
      </c>
      <c r="K426" t="s">
        <v>54</v>
      </c>
      <c r="L426">
        <v>12522868</v>
      </c>
      <c r="M426" t="s">
        <v>897</v>
      </c>
      <c r="N426" t="s">
        <v>291</v>
      </c>
      <c r="O426" t="s">
        <v>2407</v>
      </c>
      <c r="P426" t="s">
        <v>2141</v>
      </c>
      <c r="Q426" t="s">
        <v>2408</v>
      </c>
      <c r="R426" t="s">
        <v>54</v>
      </c>
      <c r="S426">
        <v>40046820</v>
      </c>
      <c r="T426" t="s">
        <v>2323</v>
      </c>
      <c r="U426" t="s">
        <v>62</v>
      </c>
      <c r="V426" t="s">
        <v>977</v>
      </c>
      <c r="W426" t="s">
        <v>79</v>
      </c>
      <c r="X426" t="s">
        <v>2409</v>
      </c>
      <c r="Y426" t="s">
        <v>86</v>
      </c>
      <c r="Z426">
        <v>11</v>
      </c>
      <c r="AA426" t="s">
        <v>87</v>
      </c>
      <c r="AB426" t="s">
        <v>56</v>
      </c>
      <c r="AC426" t="s">
        <v>56</v>
      </c>
      <c r="AD426">
        <v>0</v>
      </c>
      <c r="AE426" t="s">
        <v>66</v>
      </c>
      <c r="AF426" t="s">
        <v>56</v>
      </c>
      <c r="AG426" t="s">
        <v>56</v>
      </c>
      <c r="AH426" t="s">
        <v>56</v>
      </c>
      <c r="AI426" t="s">
        <v>56</v>
      </c>
      <c r="AJ426" t="s">
        <v>215</v>
      </c>
      <c r="AK426" t="s">
        <v>216</v>
      </c>
      <c r="AL426" t="s">
        <v>56</v>
      </c>
      <c r="AM426" t="s">
        <v>56</v>
      </c>
      <c r="AN426" t="s">
        <v>56</v>
      </c>
      <c r="AO426" t="s">
        <v>56</v>
      </c>
      <c r="AP426" t="s">
        <v>56</v>
      </c>
      <c r="AQ426" t="s">
        <v>71</v>
      </c>
      <c r="AR426" t="s">
        <v>56</v>
      </c>
      <c r="AS426" t="s">
        <v>56</v>
      </c>
      <c r="AT426" t="s">
        <v>56</v>
      </c>
      <c r="AU426" t="s">
        <v>56</v>
      </c>
      <c r="AV426" t="s">
        <v>56</v>
      </c>
      <c r="AW426" t="s">
        <v>56</v>
      </c>
      <c r="AX426">
        <v>4</v>
      </c>
    </row>
    <row r="427" spans="1:50" x14ac:dyDescent="0.25">
      <c r="A427" t="str">
        <f>"20200129166017111753"</f>
        <v>20200129166017111753</v>
      </c>
      <c r="B427" t="s">
        <v>72</v>
      </c>
      <c r="C427" t="s">
        <v>72</v>
      </c>
      <c r="D427" t="s">
        <v>2410</v>
      </c>
      <c r="E427" t="str">
        <f>"200010205401"</f>
        <v>200010205401</v>
      </c>
      <c r="F427" t="s">
        <v>52</v>
      </c>
      <c r="G427">
        <v>901058547</v>
      </c>
      <c r="H427">
        <v>20001</v>
      </c>
      <c r="I427" t="s">
        <v>512</v>
      </c>
      <c r="J427" t="s">
        <v>513</v>
      </c>
      <c r="K427" t="s">
        <v>54</v>
      </c>
      <c r="L427">
        <v>56078839</v>
      </c>
      <c r="M427" t="s">
        <v>577</v>
      </c>
      <c r="N427" t="s">
        <v>275</v>
      </c>
      <c r="O427" t="s">
        <v>225</v>
      </c>
      <c r="P427" t="s">
        <v>578</v>
      </c>
      <c r="Q427">
        <v>7093</v>
      </c>
      <c r="R427" t="s">
        <v>54</v>
      </c>
      <c r="S427">
        <v>1067714393</v>
      </c>
      <c r="T427" t="s">
        <v>2411</v>
      </c>
      <c r="U427" t="s">
        <v>62</v>
      </c>
      <c r="V427" t="s">
        <v>99</v>
      </c>
      <c r="W427" t="s">
        <v>2412</v>
      </c>
      <c r="X427" t="s">
        <v>462</v>
      </c>
      <c r="Y427" t="s">
        <v>86</v>
      </c>
      <c r="Z427">
        <v>11</v>
      </c>
      <c r="AA427" t="s">
        <v>87</v>
      </c>
      <c r="AB427" t="s">
        <v>56</v>
      </c>
      <c r="AC427" t="s">
        <v>56</v>
      </c>
      <c r="AD427">
        <v>0</v>
      </c>
      <c r="AE427" t="s">
        <v>66</v>
      </c>
      <c r="AF427" t="s">
        <v>56</v>
      </c>
      <c r="AG427" t="s">
        <v>56</v>
      </c>
      <c r="AH427" t="s">
        <v>56</v>
      </c>
      <c r="AI427" t="s">
        <v>56</v>
      </c>
      <c r="AJ427" t="s">
        <v>1950</v>
      </c>
      <c r="AK427" t="s">
        <v>1951</v>
      </c>
      <c r="AL427" t="s">
        <v>2413</v>
      </c>
      <c r="AM427" t="s">
        <v>2414</v>
      </c>
      <c r="AN427" t="s">
        <v>56</v>
      </c>
      <c r="AO427" t="s">
        <v>56</v>
      </c>
      <c r="AP427" t="s">
        <v>56</v>
      </c>
      <c r="AQ427" t="s">
        <v>71</v>
      </c>
      <c r="AR427" t="s">
        <v>56</v>
      </c>
      <c r="AS427" t="s">
        <v>56</v>
      </c>
      <c r="AT427" t="s">
        <v>56</v>
      </c>
      <c r="AU427" t="s">
        <v>56</v>
      </c>
      <c r="AV427" t="s">
        <v>56</v>
      </c>
      <c r="AW427" t="s">
        <v>56</v>
      </c>
      <c r="AX427">
        <v>4</v>
      </c>
    </row>
    <row r="428" spans="1:50" x14ac:dyDescent="0.25">
      <c r="A428" t="str">
        <f>"20200131193017163225"</f>
        <v>20200131193017163225</v>
      </c>
      <c r="B428" t="s">
        <v>110</v>
      </c>
      <c r="C428" t="s">
        <v>110</v>
      </c>
      <c r="D428" t="s">
        <v>2415</v>
      </c>
      <c r="E428" t="str">
        <f>"200010001801"</f>
        <v>200010001801</v>
      </c>
      <c r="F428" t="s">
        <v>52</v>
      </c>
      <c r="G428">
        <v>900008328</v>
      </c>
      <c r="H428">
        <v>20001</v>
      </c>
      <c r="I428" t="s">
        <v>336</v>
      </c>
      <c r="J428" t="s">
        <v>337</v>
      </c>
      <c r="K428" t="s">
        <v>338</v>
      </c>
      <c r="L428">
        <v>607562</v>
      </c>
      <c r="M428" t="s">
        <v>339</v>
      </c>
      <c r="N428" t="s">
        <v>282</v>
      </c>
      <c r="O428" t="s">
        <v>340</v>
      </c>
      <c r="P428" t="s">
        <v>225</v>
      </c>
      <c r="Q428" t="s">
        <v>341</v>
      </c>
      <c r="R428" t="s">
        <v>54</v>
      </c>
      <c r="S428">
        <v>12710878</v>
      </c>
      <c r="T428" t="s">
        <v>132</v>
      </c>
      <c r="U428" t="s">
        <v>2416</v>
      </c>
      <c r="V428" t="s">
        <v>376</v>
      </c>
      <c r="W428" t="s">
        <v>2417</v>
      </c>
      <c r="X428" t="s">
        <v>462</v>
      </c>
      <c r="Y428" t="s">
        <v>86</v>
      </c>
      <c r="Z428">
        <v>22</v>
      </c>
      <c r="AA428" t="s">
        <v>102</v>
      </c>
      <c r="AB428">
        <v>0</v>
      </c>
      <c r="AC428" t="s">
        <v>66</v>
      </c>
      <c r="AD428">
        <v>0</v>
      </c>
      <c r="AE428" t="s">
        <v>66</v>
      </c>
      <c r="AF428" t="s">
        <v>56</v>
      </c>
      <c r="AG428" t="s">
        <v>56</v>
      </c>
      <c r="AH428" t="s">
        <v>56</v>
      </c>
      <c r="AI428" t="s">
        <v>56</v>
      </c>
      <c r="AJ428" t="s">
        <v>346</v>
      </c>
      <c r="AK428" t="s">
        <v>347</v>
      </c>
      <c r="AL428" t="s">
        <v>56</v>
      </c>
      <c r="AM428" t="s">
        <v>56</v>
      </c>
      <c r="AN428" t="s">
        <v>56</v>
      </c>
      <c r="AO428" t="s">
        <v>56</v>
      </c>
      <c r="AP428" t="s">
        <v>56</v>
      </c>
      <c r="AQ428" t="s">
        <v>71</v>
      </c>
      <c r="AR428" t="s">
        <v>56</v>
      </c>
      <c r="AS428" t="s">
        <v>56</v>
      </c>
      <c r="AT428" t="s">
        <v>56</v>
      </c>
      <c r="AU428" t="s">
        <v>56</v>
      </c>
      <c r="AV428" t="s">
        <v>56</v>
      </c>
      <c r="AW428" t="s">
        <v>56</v>
      </c>
      <c r="AX428">
        <v>4</v>
      </c>
    </row>
    <row r="429" spans="1:50" x14ac:dyDescent="0.25">
      <c r="A429" t="str">
        <f>"20200130144017152418"</f>
        <v>20200130144017152418</v>
      </c>
      <c r="B429" t="s">
        <v>124</v>
      </c>
      <c r="C429" t="s">
        <v>124</v>
      </c>
      <c r="D429" t="s">
        <v>2418</v>
      </c>
      <c r="E429" t="str">
        <f>"200010038901"</f>
        <v>200010038901</v>
      </c>
      <c r="F429" t="s">
        <v>52</v>
      </c>
      <c r="G429">
        <v>824004867</v>
      </c>
      <c r="H429">
        <v>20001</v>
      </c>
      <c r="I429" t="s">
        <v>1232</v>
      </c>
      <c r="J429" t="s">
        <v>1233</v>
      </c>
      <c r="K429" t="s">
        <v>54</v>
      </c>
      <c r="L429">
        <v>8711046</v>
      </c>
      <c r="M429" t="s">
        <v>261</v>
      </c>
      <c r="N429" t="s">
        <v>164</v>
      </c>
      <c r="O429" t="s">
        <v>343</v>
      </c>
      <c r="P429" t="s">
        <v>362</v>
      </c>
      <c r="Q429">
        <v>11109</v>
      </c>
      <c r="R429" t="s">
        <v>54</v>
      </c>
      <c r="S429">
        <v>908839</v>
      </c>
      <c r="T429" t="s">
        <v>2419</v>
      </c>
      <c r="U429" t="s">
        <v>1492</v>
      </c>
      <c r="V429" t="s">
        <v>553</v>
      </c>
      <c r="W429" t="s">
        <v>691</v>
      </c>
      <c r="X429" t="s">
        <v>1277</v>
      </c>
      <c r="Y429" t="s">
        <v>101</v>
      </c>
      <c r="Z429">
        <v>12</v>
      </c>
      <c r="AA429" t="s">
        <v>65</v>
      </c>
      <c r="AB429" t="s">
        <v>56</v>
      </c>
      <c r="AC429" t="s">
        <v>56</v>
      </c>
      <c r="AD429">
        <v>0</v>
      </c>
      <c r="AE429" t="s">
        <v>66</v>
      </c>
      <c r="AF429" t="s">
        <v>56</v>
      </c>
      <c r="AG429" t="s">
        <v>56</v>
      </c>
      <c r="AH429" t="s">
        <v>56</v>
      </c>
      <c r="AI429" t="s">
        <v>56</v>
      </c>
      <c r="AJ429" t="s">
        <v>463</v>
      </c>
      <c r="AK429" t="s">
        <v>464</v>
      </c>
      <c r="AL429" t="s">
        <v>56</v>
      </c>
      <c r="AM429" t="s">
        <v>56</v>
      </c>
      <c r="AN429" t="s">
        <v>56</v>
      </c>
      <c r="AO429" t="s">
        <v>56</v>
      </c>
      <c r="AP429" t="s">
        <v>56</v>
      </c>
      <c r="AQ429" t="s">
        <v>71</v>
      </c>
      <c r="AR429" t="s">
        <v>56</v>
      </c>
      <c r="AS429" t="s">
        <v>56</v>
      </c>
      <c r="AT429" t="s">
        <v>56</v>
      </c>
      <c r="AU429" t="s">
        <v>56</v>
      </c>
      <c r="AV429" t="s">
        <v>56</v>
      </c>
      <c r="AW429" t="s">
        <v>56</v>
      </c>
      <c r="AX429">
        <v>4</v>
      </c>
    </row>
    <row r="430" spans="1:50" x14ac:dyDescent="0.25">
      <c r="A430" t="str">
        <f>"20200125154017027008"</f>
        <v>20200125154017027008</v>
      </c>
      <c r="B430" t="s">
        <v>752</v>
      </c>
      <c r="C430" t="s">
        <v>752</v>
      </c>
      <c r="D430" t="s">
        <v>2420</v>
      </c>
      <c r="E430" t="str">
        <f>"087580001301"</f>
        <v>087580001301</v>
      </c>
      <c r="F430" t="s">
        <v>52</v>
      </c>
      <c r="G430">
        <v>890112801</v>
      </c>
      <c r="H430" t="s">
        <v>74</v>
      </c>
      <c r="I430" t="s">
        <v>75</v>
      </c>
      <c r="J430">
        <v>3715562</v>
      </c>
      <c r="K430" t="s">
        <v>54</v>
      </c>
      <c r="L430">
        <v>66767932</v>
      </c>
      <c r="M430" t="s">
        <v>248</v>
      </c>
      <c r="N430" t="s">
        <v>419</v>
      </c>
      <c r="O430" t="s">
        <v>1092</v>
      </c>
      <c r="P430" t="s">
        <v>2421</v>
      </c>
      <c r="Q430">
        <v>7624911998</v>
      </c>
      <c r="R430" t="s">
        <v>54</v>
      </c>
      <c r="S430">
        <v>1041896164</v>
      </c>
      <c r="T430" t="s">
        <v>2422</v>
      </c>
      <c r="U430" t="s">
        <v>2423</v>
      </c>
      <c r="V430" t="s">
        <v>1305</v>
      </c>
      <c r="W430" t="s">
        <v>568</v>
      </c>
      <c r="X430" t="s">
        <v>1774</v>
      </c>
      <c r="Y430" t="s">
        <v>121</v>
      </c>
      <c r="Z430">
        <v>12</v>
      </c>
      <c r="AA430" t="s">
        <v>65</v>
      </c>
      <c r="AB430" t="s">
        <v>56</v>
      </c>
      <c r="AC430" t="s">
        <v>56</v>
      </c>
      <c r="AD430">
        <v>0</v>
      </c>
      <c r="AE430" t="s">
        <v>66</v>
      </c>
      <c r="AF430" t="s">
        <v>56</v>
      </c>
      <c r="AG430" t="s">
        <v>56</v>
      </c>
      <c r="AH430" t="s">
        <v>56</v>
      </c>
      <c r="AI430" t="s">
        <v>56</v>
      </c>
      <c r="AJ430" t="s">
        <v>2424</v>
      </c>
      <c r="AK430" t="s">
        <v>2425</v>
      </c>
      <c r="AL430" t="s">
        <v>56</v>
      </c>
      <c r="AM430" t="s">
        <v>56</v>
      </c>
      <c r="AN430" t="s">
        <v>56</v>
      </c>
      <c r="AO430" t="s">
        <v>56</v>
      </c>
      <c r="AP430" t="s">
        <v>56</v>
      </c>
      <c r="AQ430" t="s">
        <v>71</v>
      </c>
      <c r="AR430" t="s">
        <v>56</v>
      </c>
      <c r="AS430" t="s">
        <v>56</v>
      </c>
      <c r="AT430" t="s">
        <v>56</v>
      </c>
      <c r="AU430" t="s">
        <v>56</v>
      </c>
      <c r="AV430" t="s">
        <v>56</v>
      </c>
      <c r="AW430" t="s">
        <v>56</v>
      </c>
      <c r="AX430">
        <v>4</v>
      </c>
    </row>
    <row r="431" spans="1:50" x14ac:dyDescent="0.25">
      <c r="A431" t="str">
        <f>"20200125152017030037"</f>
        <v>20200125152017030037</v>
      </c>
      <c r="B431" t="s">
        <v>752</v>
      </c>
      <c r="C431" t="s">
        <v>752</v>
      </c>
      <c r="D431" t="s">
        <v>2426</v>
      </c>
      <c r="E431" t="str">
        <f>"080010025301"</f>
        <v>080010025301</v>
      </c>
      <c r="F431" t="s">
        <v>52</v>
      </c>
      <c r="G431">
        <v>800033723</v>
      </c>
      <c r="H431" t="s">
        <v>112</v>
      </c>
      <c r="I431" t="s">
        <v>763</v>
      </c>
      <c r="J431">
        <v>3681522</v>
      </c>
      <c r="K431" t="s">
        <v>54</v>
      </c>
      <c r="L431">
        <v>72005091</v>
      </c>
      <c r="M431" t="s">
        <v>764</v>
      </c>
      <c r="N431" t="s">
        <v>132</v>
      </c>
      <c r="O431" t="s">
        <v>528</v>
      </c>
      <c r="P431" t="s">
        <v>765</v>
      </c>
      <c r="Q431" t="s">
        <v>766</v>
      </c>
      <c r="R431" t="s">
        <v>54</v>
      </c>
      <c r="S431">
        <v>838394</v>
      </c>
      <c r="T431" t="s">
        <v>2427</v>
      </c>
      <c r="U431" t="s">
        <v>62</v>
      </c>
      <c r="V431" t="s">
        <v>2428</v>
      </c>
      <c r="W431" t="s">
        <v>2429</v>
      </c>
      <c r="X431" t="s">
        <v>120</v>
      </c>
      <c r="Y431" t="s">
        <v>121</v>
      </c>
      <c r="Z431">
        <v>12</v>
      </c>
      <c r="AA431" t="s">
        <v>65</v>
      </c>
      <c r="AB431" t="s">
        <v>56</v>
      </c>
      <c r="AC431" t="s">
        <v>56</v>
      </c>
      <c r="AD431">
        <v>0</v>
      </c>
      <c r="AE431" t="s">
        <v>66</v>
      </c>
      <c r="AF431" t="s">
        <v>56</v>
      </c>
      <c r="AG431" t="s">
        <v>56</v>
      </c>
      <c r="AH431" t="s">
        <v>56</v>
      </c>
      <c r="AI431" t="s">
        <v>56</v>
      </c>
      <c r="AJ431" t="s">
        <v>255</v>
      </c>
      <c r="AK431" t="s">
        <v>256</v>
      </c>
      <c r="AL431" t="s">
        <v>56</v>
      </c>
      <c r="AM431" t="s">
        <v>56</v>
      </c>
      <c r="AN431" t="s">
        <v>56</v>
      </c>
      <c r="AO431" t="s">
        <v>56</v>
      </c>
      <c r="AP431" t="s">
        <v>56</v>
      </c>
      <c r="AQ431" t="s">
        <v>71</v>
      </c>
      <c r="AR431" t="s">
        <v>56</v>
      </c>
      <c r="AS431" t="s">
        <v>56</v>
      </c>
      <c r="AT431" t="s">
        <v>56</v>
      </c>
      <c r="AU431" t="s">
        <v>56</v>
      </c>
      <c r="AV431" t="s">
        <v>56</v>
      </c>
      <c r="AW431" t="s">
        <v>56</v>
      </c>
      <c r="AX431">
        <v>4</v>
      </c>
    </row>
    <row r="432" spans="1:50" x14ac:dyDescent="0.25">
      <c r="A432" t="str">
        <f>"20200128173017076268"</f>
        <v>20200128173017076268</v>
      </c>
      <c r="B432" t="s">
        <v>151</v>
      </c>
      <c r="C432" t="s">
        <v>151</v>
      </c>
      <c r="D432" t="s">
        <v>2430</v>
      </c>
      <c r="E432" t="str">
        <f>"200010067601"</f>
        <v>200010067601</v>
      </c>
      <c r="F432" t="s">
        <v>52</v>
      </c>
      <c r="G432">
        <v>824005694</v>
      </c>
      <c r="H432">
        <v>20001</v>
      </c>
      <c r="I432" t="s">
        <v>153</v>
      </c>
      <c r="J432">
        <v>5885989</v>
      </c>
      <c r="K432" t="s">
        <v>54</v>
      </c>
      <c r="L432">
        <v>40936825</v>
      </c>
      <c r="M432" t="s">
        <v>1688</v>
      </c>
      <c r="N432" t="s">
        <v>275</v>
      </c>
      <c r="O432" t="s">
        <v>425</v>
      </c>
      <c r="P432" t="s">
        <v>1689</v>
      </c>
      <c r="Q432">
        <v>200466</v>
      </c>
      <c r="R432" t="s">
        <v>54</v>
      </c>
      <c r="S432">
        <v>15247195</v>
      </c>
      <c r="T432" t="s">
        <v>2431</v>
      </c>
      <c r="U432" t="s">
        <v>155</v>
      </c>
      <c r="V432" t="s">
        <v>393</v>
      </c>
      <c r="W432" t="s">
        <v>2432</v>
      </c>
      <c r="X432" t="s">
        <v>344</v>
      </c>
      <c r="Y432" t="s">
        <v>345</v>
      </c>
      <c r="Z432">
        <v>11</v>
      </c>
      <c r="AA432" t="s">
        <v>87</v>
      </c>
      <c r="AB432" t="s">
        <v>56</v>
      </c>
      <c r="AC432" t="s">
        <v>56</v>
      </c>
      <c r="AD432">
        <v>0</v>
      </c>
      <c r="AE432" t="s">
        <v>66</v>
      </c>
      <c r="AF432" t="s">
        <v>56</v>
      </c>
      <c r="AG432" t="s">
        <v>56</v>
      </c>
      <c r="AH432" t="s">
        <v>56</v>
      </c>
      <c r="AI432" t="s">
        <v>56</v>
      </c>
      <c r="AJ432" t="s">
        <v>2433</v>
      </c>
      <c r="AK432" t="s">
        <v>2434</v>
      </c>
      <c r="AL432" t="s">
        <v>56</v>
      </c>
      <c r="AM432" t="s">
        <v>56</v>
      </c>
      <c r="AN432" t="s">
        <v>56</v>
      </c>
      <c r="AO432" t="s">
        <v>56</v>
      </c>
      <c r="AP432" t="s">
        <v>56</v>
      </c>
      <c r="AQ432" t="s">
        <v>71</v>
      </c>
      <c r="AR432" t="s">
        <v>56</v>
      </c>
      <c r="AS432" t="s">
        <v>56</v>
      </c>
      <c r="AT432" t="s">
        <v>56</v>
      </c>
      <c r="AU432" t="s">
        <v>56</v>
      </c>
      <c r="AV432" t="s">
        <v>56</v>
      </c>
      <c r="AW432" t="s">
        <v>56</v>
      </c>
      <c r="AX432">
        <v>4</v>
      </c>
    </row>
    <row r="433" spans="1:50" x14ac:dyDescent="0.25">
      <c r="A433" t="str">
        <f>"20200129116017105743"</f>
        <v>20200129116017105743</v>
      </c>
      <c r="B433" t="s">
        <v>72</v>
      </c>
      <c r="C433" t="s">
        <v>72</v>
      </c>
      <c r="D433" t="s">
        <v>2435</v>
      </c>
      <c r="E433" t="str">
        <f>"080010133502"</f>
        <v>080010133502</v>
      </c>
      <c r="F433" t="s">
        <v>52</v>
      </c>
      <c r="G433">
        <v>800253167</v>
      </c>
      <c r="H433" t="s">
        <v>112</v>
      </c>
      <c r="I433" t="s">
        <v>313</v>
      </c>
      <c r="J433">
        <v>3309000</v>
      </c>
      <c r="K433" t="s">
        <v>54</v>
      </c>
      <c r="L433">
        <v>22468295</v>
      </c>
      <c r="M433" t="s">
        <v>314</v>
      </c>
      <c r="N433" t="s">
        <v>117</v>
      </c>
      <c r="O433" t="s">
        <v>276</v>
      </c>
      <c r="P433" t="s">
        <v>315</v>
      </c>
      <c r="Q433">
        <v>22468295</v>
      </c>
      <c r="R433" t="s">
        <v>54</v>
      </c>
      <c r="S433">
        <v>22643200</v>
      </c>
      <c r="T433" t="s">
        <v>2436</v>
      </c>
      <c r="U433" t="s">
        <v>62</v>
      </c>
      <c r="V433" t="s">
        <v>2437</v>
      </c>
      <c r="W433" t="s">
        <v>1244</v>
      </c>
      <c r="X433" t="s">
        <v>299</v>
      </c>
      <c r="Y433" t="s">
        <v>121</v>
      </c>
      <c r="Z433">
        <v>12</v>
      </c>
      <c r="AA433" t="s">
        <v>65</v>
      </c>
      <c r="AB433" t="s">
        <v>56</v>
      </c>
      <c r="AC433" t="s">
        <v>56</v>
      </c>
      <c r="AD433">
        <v>0</v>
      </c>
      <c r="AE433" t="s">
        <v>66</v>
      </c>
      <c r="AF433" t="s">
        <v>56</v>
      </c>
      <c r="AG433" t="s">
        <v>56</v>
      </c>
      <c r="AH433" t="s">
        <v>56</v>
      </c>
      <c r="AI433" t="s">
        <v>56</v>
      </c>
      <c r="AJ433" t="s">
        <v>1556</v>
      </c>
      <c r="AK433" t="s">
        <v>1557</v>
      </c>
      <c r="AL433" t="s">
        <v>2438</v>
      </c>
      <c r="AM433" t="s">
        <v>2439</v>
      </c>
      <c r="AN433" t="s">
        <v>56</v>
      </c>
      <c r="AO433" t="s">
        <v>56</v>
      </c>
      <c r="AP433" t="s">
        <v>56</v>
      </c>
      <c r="AQ433" t="s">
        <v>71</v>
      </c>
      <c r="AR433" t="s">
        <v>56</v>
      </c>
      <c r="AS433" t="s">
        <v>56</v>
      </c>
      <c r="AT433" t="s">
        <v>56</v>
      </c>
      <c r="AU433" t="s">
        <v>56</v>
      </c>
      <c r="AV433" t="s">
        <v>56</v>
      </c>
      <c r="AW433" t="s">
        <v>56</v>
      </c>
      <c r="AX433">
        <v>4</v>
      </c>
    </row>
    <row r="434" spans="1:50" x14ac:dyDescent="0.25">
      <c r="A434" t="str">
        <f>"20200127124017047971"</f>
        <v>20200127124017047971</v>
      </c>
      <c r="B434" t="s">
        <v>190</v>
      </c>
      <c r="C434" t="s">
        <v>190</v>
      </c>
      <c r="D434" t="s">
        <v>2440</v>
      </c>
      <c r="E434" t="str">
        <f>"080010122401"</f>
        <v>080010122401</v>
      </c>
      <c r="F434" t="s">
        <v>52</v>
      </c>
      <c r="G434">
        <v>802013835</v>
      </c>
      <c r="H434" t="s">
        <v>112</v>
      </c>
      <c r="I434" t="s">
        <v>808</v>
      </c>
      <c r="J434" t="s">
        <v>56</v>
      </c>
      <c r="K434" t="s">
        <v>54</v>
      </c>
      <c r="L434">
        <v>8734418</v>
      </c>
      <c r="M434" t="s">
        <v>223</v>
      </c>
      <c r="N434" t="s">
        <v>809</v>
      </c>
      <c r="O434" t="s">
        <v>810</v>
      </c>
      <c r="P434" t="s">
        <v>811</v>
      </c>
      <c r="Q434">
        <v>8734418</v>
      </c>
      <c r="R434" t="s">
        <v>54</v>
      </c>
      <c r="S434">
        <v>6574564</v>
      </c>
      <c r="T434" t="s">
        <v>94</v>
      </c>
      <c r="U434" t="s">
        <v>1123</v>
      </c>
      <c r="V434" t="s">
        <v>134</v>
      </c>
      <c r="W434" t="s">
        <v>560</v>
      </c>
      <c r="X434" t="s">
        <v>120</v>
      </c>
      <c r="Y434" t="s">
        <v>121</v>
      </c>
      <c r="Z434">
        <v>12</v>
      </c>
      <c r="AA434" t="s">
        <v>65</v>
      </c>
      <c r="AB434" t="s">
        <v>56</v>
      </c>
      <c r="AC434" t="s">
        <v>56</v>
      </c>
      <c r="AD434">
        <v>0</v>
      </c>
      <c r="AE434" t="s">
        <v>66</v>
      </c>
      <c r="AF434" t="s">
        <v>56</v>
      </c>
      <c r="AG434" t="s">
        <v>56</v>
      </c>
      <c r="AH434" t="s">
        <v>56</v>
      </c>
      <c r="AI434" t="s">
        <v>56</v>
      </c>
      <c r="AJ434" t="s">
        <v>507</v>
      </c>
      <c r="AK434" t="s">
        <v>508</v>
      </c>
      <c r="AL434" t="s">
        <v>56</v>
      </c>
      <c r="AM434" t="s">
        <v>56</v>
      </c>
      <c r="AN434" t="s">
        <v>56</v>
      </c>
      <c r="AO434" t="s">
        <v>56</v>
      </c>
      <c r="AP434" t="s">
        <v>56</v>
      </c>
      <c r="AQ434" t="s">
        <v>71</v>
      </c>
      <c r="AR434" t="s">
        <v>56</v>
      </c>
      <c r="AS434" t="s">
        <v>56</v>
      </c>
      <c r="AT434" t="s">
        <v>56</v>
      </c>
      <c r="AU434" t="s">
        <v>56</v>
      </c>
      <c r="AV434" t="s">
        <v>56</v>
      </c>
      <c r="AW434" t="s">
        <v>56</v>
      </c>
      <c r="AX434">
        <v>4</v>
      </c>
    </row>
    <row r="435" spans="1:50" x14ac:dyDescent="0.25">
      <c r="A435" t="str">
        <f>"20200131140017159979"</f>
        <v>20200131140017159979</v>
      </c>
      <c r="B435" t="s">
        <v>110</v>
      </c>
      <c r="C435" t="s">
        <v>110</v>
      </c>
      <c r="D435" t="s">
        <v>2441</v>
      </c>
      <c r="E435" t="str">
        <f>"080010030801"</f>
        <v>080010030801</v>
      </c>
      <c r="F435" t="s">
        <v>52</v>
      </c>
      <c r="G435">
        <v>800218024</v>
      </c>
      <c r="H435" t="s">
        <v>112</v>
      </c>
      <c r="I435" t="s">
        <v>1534</v>
      </c>
      <c r="J435">
        <v>3852808</v>
      </c>
      <c r="K435" t="s">
        <v>54</v>
      </c>
      <c r="L435">
        <v>19345831</v>
      </c>
      <c r="M435" t="s">
        <v>423</v>
      </c>
      <c r="N435" t="s">
        <v>261</v>
      </c>
      <c r="O435" t="s">
        <v>1535</v>
      </c>
      <c r="P435" t="s">
        <v>1536</v>
      </c>
      <c r="Q435" t="s">
        <v>1537</v>
      </c>
      <c r="R435" t="s">
        <v>54</v>
      </c>
      <c r="S435">
        <v>3827607</v>
      </c>
      <c r="T435" t="s">
        <v>2431</v>
      </c>
      <c r="U435" t="s">
        <v>62</v>
      </c>
      <c r="V435" t="s">
        <v>2442</v>
      </c>
      <c r="W435" t="s">
        <v>2443</v>
      </c>
      <c r="X435" t="s">
        <v>1098</v>
      </c>
      <c r="Y435" t="s">
        <v>101</v>
      </c>
      <c r="Z435">
        <v>12</v>
      </c>
      <c r="AA435" t="s">
        <v>65</v>
      </c>
      <c r="AB435" t="s">
        <v>56</v>
      </c>
      <c r="AC435" t="s">
        <v>56</v>
      </c>
      <c r="AD435">
        <v>0</v>
      </c>
      <c r="AE435" t="s">
        <v>66</v>
      </c>
      <c r="AF435" t="s">
        <v>56</v>
      </c>
      <c r="AG435" t="s">
        <v>56</v>
      </c>
      <c r="AH435" t="s">
        <v>56</v>
      </c>
      <c r="AI435" t="s">
        <v>56</v>
      </c>
      <c r="AJ435" t="s">
        <v>2444</v>
      </c>
      <c r="AK435" t="s">
        <v>2445</v>
      </c>
      <c r="AL435" t="s">
        <v>56</v>
      </c>
      <c r="AM435" t="s">
        <v>56</v>
      </c>
      <c r="AN435" t="s">
        <v>56</v>
      </c>
      <c r="AO435" t="s">
        <v>56</v>
      </c>
      <c r="AP435" t="s">
        <v>56</v>
      </c>
      <c r="AQ435" t="s">
        <v>71</v>
      </c>
      <c r="AR435" t="s">
        <v>56</v>
      </c>
      <c r="AS435" t="s">
        <v>56</v>
      </c>
      <c r="AT435" t="s">
        <v>56</v>
      </c>
      <c r="AU435" t="s">
        <v>56</v>
      </c>
      <c r="AV435" t="s">
        <v>56</v>
      </c>
      <c r="AW435" t="s">
        <v>56</v>
      </c>
      <c r="AX435">
        <v>4</v>
      </c>
    </row>
    <row r="436" spans="1:50" x14ac:dyDescent="0.25">
      <c r="A436" t="str">
        <f>"20200131190017165171"</f>
        <v>20200131190017165171</v>
      </c>
      <c r="B436" t="s">
        <v>110</v>
      </c>
      <c r="C436" t="s">
        <v>110</v>
      </c>
      <c r="D436" t="s">
        <v>2446</v>
      </c>
      <c r="E436" t="str">
        <f>"761470681501"</f>
        <v>761470681501</v>
      </c>
      <c r="F436" t="s">
        <v>52</v>
      </c>
      <c r="G436">
        <v>830515000</v>
      </c>
      <c r="H436">
        <v>76147</v>
      </c>
      <c r="I436" t="s">
        <v>1217</v>
      </c>
      <c r="J436">
        <v>2145150</v>
      </c>
      <c r="K436" t="s">
        <v>54</v>
      </c>
      <c r="L436">
        <v>16231597</v>
      </c>
      <c r="M436" t="s">
        <v>1218</v>
      </c>
      <c r="N436" t="s">
        <v>1219</v>
      </c>
      <c r="O436" t="s">
        <v>1220</v>
      </c>
      <c r="P436" t="s">
        <v>1221</v>
      </c>
      <c r="Q436">
        <v>76257504</v>
      </c>
      <c r="R436" t="s">
        <v>54</v>
      </c>
      <c r="S436">
        <v>29377419</v>
      </c>
      <c r="T436" t="s">
        <v>117</v>
      </c>
      <c r="U436" t="s">
        <v>2447</v>
      </c>
      <c r="V436" t="s">
        <v>2448</v>
      </c>
      <c r="W436" t="s">
        <v>715</v>
      </c>
      <c r="X436" t="s">
        <v>277</v>
      </c>
      <c r="Y436" t="s">
        <v>64</v>
      </c>
      <c r="Z436">
        <v>12</v>
      </c>
      <c r="AA436" t="s">
        <v>65</v>
      </c>
      <c r="AB436" t="s">
        <v>56</v>
      </c>
      <c r="AC436" t="s">
        <v>56</v>
      </c>
      <c r="AD436">
        <v>0</v>
      </c>
      <c r="AE436" t="s">
        <v>66</v>
      </c>
      <c r="AF436" t="s">
        <v>56</v>
      </c>
      <c r="AG436" t="s">
        <v>56</v>
      </c>
      <c r="AH436" t="s">
        <v>56</v>
      </c>
      <c r="AI436" t="s">
        <v>56</v>
      </c>
      <c r="AJ436" t="s">
        <v>1119</v>
      </c>
      <c r="AK436" t="s">
        <v>1120</v>
      </c>
      <c r="AL436" t="s">
        <v>669</v>
      </c>
      <c r="AM436" t="s">
        <v>670</v>
      </c>
      <c r="AN436" t="s">
        <v>56</v>
      </c>
      <c r="AO436" t="s">
        <v>56</v>
      </c>
      <c r="AP436" t="s">
        <v>56</v>
      </c>
      <c r="AQ436" t="s">
        <v>71</v>
      </c>
      <c r="AR436" t="s">
        <v>56</v>
      </c>
      <c r="AS436" t="s">
        <v>56</v>
      </c>
      <c r="AT436" t="s">
        <v>56</v>
      </c>
      <c r="AU436" t="s">
        <v>56</v>
      </c>
      <c r="AV436" t="s">
        <v>56</v>
      </c>
      <c r="AW436" t="s">
        <v>56</v>
      </c>
      <c r="AX436">
        <v>4</v>
      </c>
    </row>
    <row r="437" spans="1:50" x14ac:dyDescent="0.25">
      <c r="A437" t="str">
        <f>"20200131147017174898"</f>
        <v>20200131147017174898</v>
      </c>
      <c r="B437" t="s">
        <v>110</v>
      </c>
      <c r="C437" t="s">
        <v>110</v>
      </c>
      <c r="D437" t="s">
        <v>2449</v>
      </c>
      <c r="E437" t="str">
        <f>"761470681501"</f>
        <v>761470681501</v>
      </c>
      <c r="F437" t="s">
        <v>52</v>
      </c>
      <c r="G437">
        <v>830515000</v>
      </c>
      <c r="H437">
        <v>76147</v>
      </c>
      <c r="I437" t="s">
        <v>1217</v>
      </c>
      <c r="J437">
        <v>2145150</v>
      </c>
      <c r="K437" t="s">
        <v>54</v>
      </c>
      <c r="L437">
        <v>16231597</v>
      </c>
      <c r="M437" t="s">
        <v>1218</v>
      </c>
      <c r="N437" t="s">
        <v>1219</v>
      </c>
      <c r="O437" t="s">
        <v>1220</v>
      </c>
      <c r="P437" t="s">
        <v>1221</v>
      </c>
      <c r="Q437">
        <v>76257504</v>
      </c>
      <c r="R437" t="s">
        <v>54</v>
      </c>
      <c r="S437">
        <v>31421272</v>
      </c>
      <c r="T437" t="s">
        <v>117</v>
      </c>
      <c r="U437" t="s">
        <v>2450</v>
      </c>
      <c r="V437" t="s">
        <v>1585</v>
      </c>
      <c r="W437" t="s">
        <v>2451</v>
      </c>
      <c r="X437" t="s">
        <v>277</v>
      </c>
      <c r="Y437" t="s">
        <v>64</v>
      </c>
      <c r="Z437">
        <v>12</v>
      </c>
      <c r="AA437" t="s">
        <v>65</v>
      </c>
      <c r="AB437" t="s">
        <v>56</v>
      </c>
      <c r="AC437" t="s">
        <v>56</v>
      </c>
      <c r="AD437">
        <v>0</v>
      </c>
      <c r="AE437" t="s">
        <v>66</v>
      </c>
      <c r="AF437" t="s">
        <v>56</v>
      </c>
      <c r="AG437" t="s">
        <v>56</v>
      </c>
      <c r="AH437" t="s">
        <v>56</v>
      </c>
      <c r="AI437" t="s">
        <v>56</v>
      </c>
      <c r="AJ437" t="s">
        <v>2452</v>
      </c>
      <c r="AK437" t="s">
        <v>2453</v>
      </c>
      <c r="AL437" t="s">
        <v>1119</v>
      </c>
      <c r="AM437" t="s">
        <v>1120</v>
      </c>
      <c r="AN437" t="s">
        <v>56</v>
      </c>
      <c r="AO437" t="s">
        <v>56</v>
      </c>
      <c r="AP437" t="s">
        <v>56</v>
      </c>
      <c r="AQ437" t="s">
        <v>71</v>
      </c>
      <c r="AR437" t="s">
        <v>56</v>
      </c>
      <c r="AS437" t="s">
        <v>56</v>
      </c>
      <c r="AT437" t="s">
        <v>56</v>
      </c>
      <c r="AU437" t="s">
        <v>56</v>
      </c>
      <c r="AV437" t="s">
        <v>56</v>
      </c>
      <c r="AW437" t="s">
        <v>56</v>
      </c>
      <c r="AX437">
        <v>4</v>
      </c>
    </row>
    <row r="438" spans="1:50" x14ac:dyDescent="0.25">
      <c r="A438" t="str">
        <f>"20200201157017184296"</f>
        <v>20200201157017184296</v>
      </c>
      <c r="B438" t="s">
        <v>50</v>
      </c>
      <c r="C438" t="s">
        <v>50</v>
      </c>
      <c r="D438" t="s">
        <v>2454</v>
      </c>
      <c r="E438" t="str">
        <f>"080010003601"</f>
        <v>080010003601</v>
      </c>
      <c r="F438" t="s">
        <v>52</v>
      </c>
      <c r="G438">
        <v>802000955</v>
      </c>
      <c r="H438" t="s">
        <v>112</v>
      </c>
      <c r="I438" t="s">
        <v>218</v>
      </c>
      <c r="J438" t="s">
        <v>56</v>
      </c>
      <c r="K438" t="s">
        <v>54</v>
      </c>
      <c r="L438">
        <v>32672981</v>
      </c>
      <c r="M438" t="s">
        <v>117</v>
      </c>
      <c r="N438" t="s">
        <v>97</v>
      </c>
      <c r="O438" t="s">
        <v>977</v>
      </c>
      <c r="P438" t="s">
        <v>1168</v>
      </c>
      <c r="Q438" t="s">
        <v>1169</v>
      </c>
      <c r="R438" t="s">
        <v>54</v>
      </c>
      <c r="S438">
        <v>23148222</v>
      </c>
      <c r="T438" t="s">
        <v>117</v>
      </c>
      <c r="U438" t="s">
        <v>2455</v>
      </c>
      <c r="V438" t="s">
        <v>108</v>
      </c>
      <c r="W438" t="s">
        <v>324</v>
      </c>
      <c r="X438" t="s">
        <v>241</v>
      </c>
      <c r="Y438" t="s">
        <v>121</v>
      </c>
      <c r="Z438">
        <v>12</v>
      </c>
      <c r="AA438" t="s">
        <v>65</v>
      </c>
      <c r="AB438" t="s">
        <v>56</v>
      </c>
      <c r="AC438" t="s">
        <v>56</v>
      </c>
      <c r="AD438">
        <v>0</v>
      </c>
      <c r="AE438" t="s">
        <v>66</v>
      </c>
      <c r="AF438" t="s">
        <v>56</v>
      </c>
      <c r="AG438" t="s">
        <v>56</v>
      </c>
      <c r="AH438" t="s">
        <v>56</v>
      </c>
      <c r="AI438" t="s">
        <v>56</v>
      </c>
      <c r="AJ438" t="s">
        <v>545</v>
      </c>
      <c r="AK438" t="s">
        <v>546</v>
      </c>
      <c r="AL438" t="s">
        <v>56</v>
      </c>
      <c r="AM438" t="s">
        <v>56</v>
      </c>
      <c r="AN438" t="s">
        <v>56</v>
      </c>
      <c r="AO438" t="s">
        <v>56</v>
      </c>
      <c r="AP438" t="s">
        <v>56</v>
      </c>
      <c r="AQ438" t="s">
        <v>71</v>
      </c>
      <c r="AR438" t="s">
        <v>56</v>
      </c>
      <c r="AS438" t="s">
        <v>56</v>
      </c>
      <c r="AT438" t="s">
        <v>56</v>
      </c>
      <c r="AU438" t="s">
        <v>56</v>
      </c>
      <c r="AV438" t="s">
        <v>56</v>
      </c>
      <c r="AW438" t="s">
        <v>56</v>
      </c>
      <c r="AX438">
        <v>4</v>
      </c>
    </row>
    <row r="439" spans="1:50" x14ac:dyDescent="0.25">
      <c r="A439" t="str">
        <f>"20200124151017008780"</f>
        <v>20200124151017008780</v>
      </c>
      <c r="B439" t="s">
        <v>201</v>
      </c>
      <c r="C439" t="s">
        <v>201</v>
      </c>
      <c r="D439" t="s">
        <v>2456</v>
      </c>
      <c r="E439" t="str">
        <f>"080010112201"</f>
        <v>080010112201</v>
      </c>
      <c r="F439" t="s">
        <v>52</v>
      </c>
      <c r="G439">
        <v>890108597</v>
      </c>
      <c r="H439" t="s">
        <v>112</v>
      </c>
      <c r="I439" t="s">
        <v>2457</v>
      </c>
      <c r="J439">
        <v>3565109</v>
      </c>
      <c r="K439" t="s">
        <v>54</v>
      </c>
      <c r="L439">
        <v>7464267</v>
      </c>
      <c r="M439" t="s">
        <v>250</v>
      </c>
      <c r="N439" t="s">
        <v>165</v>
      </c>
      <c r="O439" t="s">
        <v>134</v>
      </c>
      <c r="P439" t="s">
        <v>1334</v>
      </c>
      <c r="Q439">
        <v>18759</v>
      </c>
      <c r="R439" t="s">
        <v>54</v>
      </c>
      <c r="S439">
        <v>22466721</v>
      </c>
      <c r="T439" t="s">
        <v>117</v>
      </c>
      <c r="U439" t="s">
        <v>1679</v>
      </c>
      <c r="V439" t="s">
        <v>658</v>
      </c>
      <c r="W439" t="s">
        <v>1116</v>
      </c>
      <c r="X439" t="s">
        <v>120</v>
      </c>
      <c r="Y439" t="s">
        <v>121</v>
      </c>
      <c r="Z439">
        <v>12</v>
      </c>
      <c r="AA439" t="s">
        <v>65</v>
      </c>
      <c r="AB439" t="s">
        <v>56</v>
      </c>
      <c r="AC439" t="s">
        <v>56</v>
      </c>
      <c r="AD439">
        <v>0</v>
      </c>
      <c r="AE439" t="s">
        <v>66</v>
      </c>
      <c r="AF439" t="s">
        <v>56</v>
      </c>
      <c r="AG439" t="s">
        <v>56</v>
      </c>
      <c r="AH439" t="s">
        <v>56</v>
      </c>
      <c r="AI439" t="s">
        <v>56</v>
      </c>
      <c r="AJ439" t="s">
        <v>2138</v>
      </c>
      <c r="AK439" t="s">
        <v>2139</v>
      </c>
      <c r="AL439" t="s">
        <v>56</v>
      </c>
      <c r="AM439" t="s">
        <v>56</v>
      </c>
      <c r="AN439" t="s">
        <v>56</v>
      </c>
      <c r="AO439" t="s">
        <v>56</v>
      </c>
      <c r="AP439" t="s">
        <v>56</v>
      </c>
      <c r="AQ439" t="s">
        <v>71</v>
      </c>
      <c r="AR439" t="s">
        <v>56</v>
      </c>
      <c r="AS439" t="s">
        <v>56</v>
      </c>
      <c r="AT439" t="s">
        <v>56</v>
      </c>
      <c r="AU439" t="s">
        <v>56</v>
      </c>
      <c r="AV439" t="s">
        <v>56</v>
      </c>
      <c r="AW439" t="s">
        <v>56</v>
      </c>
      <c r="AX439">
        <v>4</v>
      </c>
    </row>
    <row r="440" spans="1:50" x14ac:dyDescent="0.25">
      <c r="A440" t="str">
        <f>"20200124178017018380"</f>
        <v>20200124178017018380</v>
      </c>
      <c r="B440" t="s">
        <v>201</v>
      </c>
      <c r="C440" t="s">
        <v>201</v>
      </c>
      <c r="D440" t="s">
        <v>2458</v>
      </c>
      <c r="E440" t="str">
        <f>"764000165501"</f>
        <v>764000165501</v>
      </c>
      <c r="F440" t="s">
        <v>52</v>
      </c>
      <c r="G440">
        <v>891900367</v>
      </c>
      <c r="H440">
        <v>76400</v>
      </c>
      <c r="I440" t="s">
        <v>2144</v>
      </c>
      <c r="J440" t="s">
        <v>2145</v>
      </c>
      <c r="K440" t="s">
        <v>54</v>
      </c>
      <c r="L440">
        <v>1116268056</v>
      </c>
      <c r="M440" t="s">
        <v>259</v>
      </c>
      <c r="N440" t="s">
        <v>1463</v>
      </c>
      <c r="O440" t="s">
        <v>1680</v>
      </c>
      <c r="P440" t="s">
        <v>1092</v>
      </c>
      <c r="Q440" t="s">
        <v>2146</v>
      </c>
      <c r="R440" t="s">
        <v>54</v>
      </c>
      <c r="S440">
        <v>1007198501</v>
      </c>
      <c r="T440" t="s">
        <v>250</v>
      </c>
      <c r="U440" t="s">
        <v>107</v>
      </c>
      <c r="V440" t="s">
        <v>2459</v>
      </c>
      <c r="W440" t="s">
        <v>2460</v>
      </c>
      <c r="X440" t="s">
        <v>1337</v>
      </c>
      <c r="Y440" t="s">
        <v>64</v>
      </c>
      <c r="Z440">
        <v>12</v>
      </c>
      <c r="AA440" t="s">
        <v>65</v>
      </c>
      <c r="AB440" t="s">
        <v>56</v>
      </c>
      <c r="AC440" t="s">
        <v>56</v>
      </c>
      <c r="AD440">
        <v>0</v>
      </c>
      <c r="AE440" t="s">
        <v>66</v>
      </c>
      <c r="AF440" t="s">
        <v>56</v>
      </c>
      <c r="AG440" t="s">
        <v>56</v>
      </c>
      <c r="AH440" t="s">
        <v>56</v>
      </c>
      <c r="AI440" t="s">
        <v>56</v>
      </c>
      <c r="AJ440" t="s">
        <v>2461</v>
      </c>
      <c r="AK440" t="s">
        <v>2462</v>
      </c>
      <c r="AL440" t="s">
        <v>2463</v>
      </c>
      <c r="AM440" t="s">
        <v>2464</v>
      </c>
      <c r="AN440" t="s">
        <v>356</v>
      </c>
      <c r="AO440" t="s">
        <v>357</v>
      </c>
      <c r="AP440" t="s">
        <v>56</v>
      </c>
      <c r="AQ440" t="s">
        <v>71</v>
      </c>
      <c r="AR440" t="s">
        <v>56</v>
      </c>
      <c r="AS440" t="s">
        <v>56</v>
      </c>
      <c r="AT440" t="s">
        <v>56</v>
      </c>
      <c r="AU440" t="s">
        <v>56</v>
      </c>
      <c r="AV440" t="s">
        <v>56</v>
      </c>
      <c r="AW440" t="s">
        <v>56</v>
      </c>
      <c r="AX440">
        <v>4</v>
      </c>
    </row>
    <row r="441" spans="1:50" x14ac:dyDescent="0.25">
      <c r="A441" t="str">
        <f>"20200201165017185754"</f>
        <v>20200201165017185754</v>
      </c>
      <c r="B441" t="s">
        <v>50</v>
      </c>
      <c r="C441" t="s">
        <v>50</v>
      </c>
      <c r="D441" t="s">
        <v>2465</v>
      </c>
      <c r="E441" t="str">
        <f>"761470851601"</f>
        <v>761470851601</v>
      </c>
      <c r="F441" t="s">
        <v>52</v>
      </c>
      <c r="G441">
        <v>900472731</v>
      </c>
      <c r="H441">
        <v>76147</v>
      </c>
      <c r="I441" t="s">
        <v>53</v>
      </c>
      <c r="J441">
        <v>2146686</v>
      </c>
      <c r="K441" t="s">
        <v>54</v>
      </c>
      <c r="L441">
        <v>10110853</v>
      </c>
      <c r="M441" t="s">
        <v>897</v>
      </c>
      <c r="N441" t="s">
        <v>291</v>
      </c>
      <c r="O441" t="s">
        <v>1962</v>
      </c>
      <c r="P441" t="s">
        <v>2466</v>
      </c>
      <c r="Q441">
        <v>1217</v>
      </c>
      <c r="R441" t="s">
        <v>54</v>
      </c>
      <c r="S441">
        <v>29134971</v>
      </c>
      <c r="T441" t="s">
        <v>2467</v>
      </c>
      <c r="U441" t="s">
        <v>62</v>
      </c>
      <c r="V441" t="s">
        <v>449</v>
      </c>
      <c r="W441" t="s">
        <v>364</v>
      </c>
      <c r="X441" t="s">
        <v>453</v>
      </c>
      <c r="Y441" t="s">
        <v>64</v>
      </c>
      <c r="Z441">
        <v>12</v>
      </c>
      <c r="AA441" t="s">
        <v>65</v>
      </c>
      <c r="AB441" t="s">
        <v>56</v>
      </c>
      <c r="AC441" t="s">
        <v>56</v>
      </c>
      <c r="AD441">
        <v>0</v>
      </c>
      <c r="AE441" t="s">
        <v>66</v>
      </c>
      <c r="AF441" t="s">
        <v>56</v>
      </c>
      <c r="AG441" t="s">
        <v>56</v>
      </c>
      <c r="AH441" t="s">
        <v>56</v>
      </c>
      <c r="AI441" t="s">
        <v>56</v>
      </c>
      <c r="AJ441" t="s">
        <v>1669</v>
      </c>
      <c r="AK441" t="s">
        <v>1670</v>
      </c>
      <c r="AL441" t="s">
        <v>56</v>
      </c>
      <c r="AM441" t="s">
        <v>56</v>
      </c>
      <c r="AN441" t="s">
        <v>56</v>
      </c>
      <c r="AO441" t="s">
        <v>56</v>
      </c>
      <c r="AP441" t="s">
        <v>56</v>
      </c>
      <c r="AQ441" t="s">
        <v>71</v>
      </c>
      <c r="AR441" t="s">
        <v>56</v>
      </c>
      <c r="AS441" t="s">
        <v>56</v>
      </c>
      <c r="AT441" t="s">
        <v>56</v>
      </c>
      <c r="AU441" t="s">
        <v>56</v>
      </c>
      <c r="AV441" t="s">
        <v>56</v>
      </c>
      <c r="AW441" t="s">
        <v>56</v>
      </c>
      <c r="AX441">
        <v>4</v>
      </c>
    </row>
    <row r="442" spans="1:50" x14ac:dyDescent="0.25">
      <c r="A442" t="str">
        <f>"20200124119016998651"</f>
        <v>20200124119016998651</v>
      </c>
      <c r="B442" t="s">
        <v>201</v>
      </c>
      <c r="C442" t="s">
        <v>201</v>
      </c>
      <c r="D442" t="s">
        <v>2468</v>
      </c>
      <c r="E442" t="str">
        <f>"700010069001"</f>
        <v>700010069001</v>
      </c>
      <c r="F442" t="s">
        <v>52</v>
      </c>
      <c r="G442">
        <v>823003836</v>
      </c>
      <c r="H442">
        <v>70001</v>
      </c>
      <c r="I442" t="s">
        <v>1756</v>
      </c>
      <c r="J442">
        <v>52746476</v>
      </c>
      <c r="K442" t="s">
        <v>54</v>
      </c>
      <c r="L442">
        <v>23220031</v>
      </c>
      <c r="M442" t="s">
        <v>1757</v>
      </c>
      <c r="N442" t="s">
        <v>1758</v>
      </c>
      <c r="O442" t="s">
        <v>109</v>
      </c>
      <c r="P442" t="s">
        <v>1759</v>
      </c>
      <c r="Q442">
        <v>23361</v>
      </c>
      <c r="R442" t="s">
        <v>54</v>
      </c>
      <c r="S442">
        <v>33174908</v>
      </c>
      <c r="T442" t="s">
        <v>1321</v>
      </c>
      <c r="U442" t="s">
        <v>373</v>
      </c>
      <c r="V442" t="s">
        <v>194</v>
      </c>
      <c r="W442" t="s">
        <v>2469</v>
      </c>
      <c r="X442" t="s">
        <v>605</v>
      </c>
      <c r="Y442" t="s">
        <v>330</v>
      </c>
      <c r="Z442">
        <v>11</v>
      </c>
      <c r="AA442" t="s">
        <v>87</v>
      </c>
      <c r="AB442" t="s">
        <v>56</v>
      </c>
      <c r="AC442" t="s">
        <v>56</v>
      </c>
      <c r="AD442">
        <v>0</v>
      </c>
      <c r="AE442" t="s">
        <v>66</v>
      </c>
      <c r="AF442" t="s">
        <v>56</v>
      </c>
      <c r="AG442" t="s">
        <v>56</v>
      </c>
      <c r="AH442" t="s">
        <v>56</v>
      </c>
      <c r="AI442" t="s">
        <v>56</v>
      </c>
      <c r="AJ442" t="s">
        <v>2470</v>
      </c>
      <c r="AK442" t="s">
        <v>2471</v>
      </c>
      <c r="AL442" t="s">
        <v>2472</v>
      </c>
      <c r="AM442" t="s">
        <v>2473</v>
      </c>
      <c r="AN442" t="s">
        <v>56</v>
      </c>
      <c r="AO442" t="s">
        <v>56</v>
      </c>
      <c r="AP442" t="s">
        <v>56</v>
      </c>
      <c r="AQ442" t="s">
        <v>71</v>
      </c>
      <c r="AR442" t="s">
        <v>56</v>
      </c>
      <c r="AS442" t="s">
        <v>56</v>
      </c>
      <c r="AT442" t="s">
        <v>56</v>
      </c>
      <c r="AU442" t="s">
        <v>56</v>
      </c>
      <c r="AV442" t="s">
        <v>56</v>
      </c>
      <c r="AW442" t="s">
        <v>56</v>
      </c>
      <c r="AX442">
        <v>4</v>
      </c>
    </row>
    <row r="443" spans="1:50" x14ac:dyDescent="0.25">
      <c r="A443" t="str">
        <f>"20200127180017045711"</f>
        <v>20200127180017045711</v>
      </c>
      <c r="B443" t="s">
        <v>190</v>
      </c>
      <c r="C443" t="s">
        <v>190</v>
      </c>
      <c r="D443" t="s">
        <v>2474</v>
      </c>
      <c r="E443" t="str">
        <f>"700010151301"</f>
        <v>700010151301</v>
      </c>
      <c r="F443" t="s">
        <v>52</v>
      </c>
      <c r="G443">
        <v>830510991</v>
      </c>
      <c r="H443">
        <v>70001</v>
      </c>
      <c r="I443" t="s">
        <v>945</v>
      </c>
      <c r="J443">
        <v>2806901</v>
      </c>
      <c r="K443" t="s">
        <v>54</v>
      </c>
      <c r="L443">
        <v>15678411</v>
      </c>
      <c r="M443" t="s">
        <v>2078</v>
      </c>
      <c r="N443" t="s">
        <v>2079</v>
      </c>
      <c r="O443" t="s">
        <v>263</v>
      </c>
      <c r="P443" t="s">
        <v>298</v>
      </c>
      <c r="Q443">
        <v>2377902</v>
      </c>
      <c r="R443" t="s">
        <v>54</v>
      </c>
      <c r="S443">
        <v>1103107486</v>
      </c>
      <c r="T443" t="s">
        <v>2475</v>
      </c>
      <c r="U443" t="s">
        <v>1407</v>
      </c>
      <c r="V443" t="s">
        <v>2476</v>
      </c>
      <c r="W443" t="s">
        <v>2477</v>
      </c>
      <c r="X443" t="s">
        <v>605</v>
      </c>
      <c r="Y443" t="s">
        <v>330</v>
      </c>
      <c r="Z443">
        <v>22</v>
      </c>
      <c r="AA443" t="s">
        <v>102</v>
      </c>
      <c r="AB443">
        <v>0</v>
      </c>
      <c r="AC443" t="s">
        <v>66</v>
      </c>
      <c r="AD443">
        <v>0</v>
      </c>
      <c r="AE443" t="s">
        <v>66</v>
      </c>
      <c r="AF443" t="s">
        <v>56</v>
      </c>
      <c r="AG443" t="s">
        <v>56</v>
      </c>
      <c r="AH443" t="s">
        <v>56</v>
      </c>
      <c r="AI443" t="s">
        <v>56</v>
      </c>
      <c r="AJ443" t="s">
        <v>2478</v>
      </c>
      <c r="AK443" t="s">
        <v>2479</v>
      </c>
      <c r="AL443" t="s">
        <v>56</v>
      </c>
      <c r="AM443" t="s">
        <v>56</v>
      </c>
      <c r="AN443" t="s">
        <v>56</v>
      </c>
      <c r="AO443" t="s">
        <v>56</v>
      </c>
      <c r="AP443" t="s">
        <v>56</v>
      </c>
      <c r="AQ443" t="s">
        <v>71</v>
      </c>
      <c r="AR443" t="s">
        <v>56</v>
      </c>
      <c r="AS443" t="s">
        <v>56</v>
      </c>
      <c r="AT443" t="s">
        <v>56</v>
      </c>
      <c r="AU443" t="s">
        <v>56</v>
      </c>
      <c r="AV443" t="s">
        <v>56</v>
      </c>
      <c r="AW443" t="s">
        <v>56</v>
      </c>
      <c r="AX443">
        <v>4</v>
      </c>
    </row>
    <row r="444" spans="1:50" x14ac:dyDescent="0.25">
      <c r="A444" t="str">
        <f>"20200129127017099816"</f>
        <v>20200129127017099816</v>
      </c>
      <c r="B444" t="s">
        <v>72</v>
      </c>
      <c r="C444" t="s">
        <v>72</v>
      </c>
      <c r="D444" t="s">
        <v>2480</v>
      </c>
      <c r="E444" t="str">
        <f>"087580001301"</f>
        <v>087580001301</v>
      </c>
      <c r="F444" t="s">
        <v>52</v>
      </c>
      <c r="G444">
        <v>890112801</v>
      </c>
      <c r="H444" t="s">
        <v>74</v>
      </c>
      <c r="I444" t="s">
        <v>75</v>
      </c>
      <c r="J444">
        <v>3715562</v>
      </c>
      <c r="K444" t="s">
        <v>54</v>
      </c>
      <c r="L444">
        <v>72252684</v>
      </c>
      <c r="M444" t="s">
        <v>132</v>
      </c>
      <c r="N444" t="s">
        <v>2481</v>
      </c>
      <c r="O444" t="s">
        <v>1478</v>
      </c>
      <c r="P444" t="s">
        <v>2482</v>
      </c>
      <c r="Q444">
        <v>72252684</v>
      </c>
      <c r="R444" t="s">
        <v>54</v>
      </c>
      <c r="S444">
        <v>22501471</v>
      </c>
      <c r="T444" t="s">
        <v>2483</v>
      </c>
      <c r="U444" t="s">
        <v>62</v>
      </c>
      <c r="V444" t="s">
        <v>425</v>
      </c>
      <c r="W444" t="s">
        <v>2484</v>
      </c>
      <c r="X444" t="s">
        <v>383</v>
      </c>
      <c r="Y444" t="s">
        <v>121</v>
      </c>
      <c r="Z444">
        <v>12</v>
      </c>
      <c r="AA444" t="s">
        <v>65</v>
      </c>
      <c r="AB444" t="s">
        <v>56</v>
      </c>
      <c r="AC444" t="s">
        <v>56</v>
      </c>
      <c r="AD444">
        <v>0</v>
      </c>
      <c r="AE444" t="s">
        <v>66</v>
      </c>
      <c r="AF444" t="s">
        <v>56</v>
      </c>
      <c r="AG444" t="s">
        <v>56</v>
      </c>
      <c r="AH444" t="s">
        <v>56</v>
      </c>
      <c r="AI444" t="s">
        <v>56</v>
      </c>
      <c r="AJ444" t="s">
        <v>1284</v>
      </c>
      <c r="AK444" t="s">
        <v>1285</v>
      </c>
      <c r="AL444" t="s">
        <v>56</v>
      </c>
      <c r="AM444" t="s">
        <v>56</v>
      </c>
      <c r="AN444" t="s">
        <v>56</v>
      </c>
      <c r="AO444" t="s">
        <v>56</v>
      </c>
      <c r="AP444" t="s">
        <v>56</v>
      </c>
      <c r="AQ444" t="s">
        <v>71</v>
      </c>
      <c r="AR444" t="s">
        <v>56</v>
      </c>
      <c r="AS444" t="s">
        <v>56</v>
      </c>
      <c r="AT444" t="s">
        <v>56</v>
      </c>
      <c r="AU444" t="s">
        <v>56</v>
      </c>
      <c r="AV444" t="s">
        <v>56</v>
      </c>
      <c r="AW444" t="s">
        <v>56</v>
      </c>
      <c r="AX444">
        <v>4</v>
      </c>
    </row>
    <row r="445" spans="1:50" x14ac:dyDescent="0.25">
      <c r="A445" t="str">
        <f>"20200127187017044840"</f>
        <v>20200127187017044840</v>
      </c>
      <c r="B445" t="s">
        <v>190</v>
      </c>
      <c r="C445" t="s">
        <v>190</v>
      </c>
      <c r="D445" t="s">
        <v>2485</v>
      </c>
      <c r="E445" t="str">
        <f>"200010023201"</f>
        <v>200010023201</v>
      </c>
      <c r="F445" t="s">
        <v>52</v>
      </c>
      <c r="G445">
        <v>77028533</v>
      </c>
      <c r="H445">
        <v>20001</v>
      </c>
      <c r="I445" t="s">
        <v>990</v>
      </c>
      <c r="J445">
        <v>5804242</v>
      </c>
      <c r="K445" t="s">
        <v>54</v>
      </c>
      <c r="L445">
        <v>77028533</v>
      </c>
      <c r="M445" t="s">
        <v>991</v>
      </c>
      <c r="N445" t="s">
        <v>56</v>
      </c>
      <c r="O445" t="s">
        <v>992</v>
      </c>
      <c r="P445" t="s">
        <v>993</v>
      </c>
      <c r="Q445" t="s">
        <v>56</v>
      </c>
      <c r="R445" t="s">
        <v>54</v>
      </c>
      <c r="S445">
        <v>1003315392</v>
      </c>
      <c r="T445" t="s">
        <v>2486</v>
      </c>
      <c r="U445" t="s">
        <v>2487</v>
      </c>
      <c r="V445" t="s">
        <v>2488</v>
      </c>
      <c r="W445" t="s">
        <v>1485</v>
      </c>
      <c r="X445" t="s">
        <v>462</v>
      </c>
      <c r="Y445" t="s">
        <v>86</v>
      </c>
      <c r="Z445">
        <v>11</v>
      </c>
      <c r="AA445" t="s">
        <v>87</v>
      </c>
      <c r="AB445" t="s">
        <v>56</v>
      </c>
      <c r="AC445" t="s">
        <v>56</v>
      </c>
      <c r="AD445">
        <v>0</v>
      </c>
      <c r="AE445" t="s">
        <v>66</v>
      </c>
      <c r="AF445" t="s">
        <v>56</v>
      </c>
      <c r="AG445" t="s">
        <v>56</v>
      </c>
      <c r="AH445" t="s">
        <v>56</v>
      </c>
      <c r="AI445" t="s">
        <v>56</v>
      </c>
      <c r="AJ445" t="s">
        <v>997</v>
      </c>
      <c r="AK445" t="s">
        <v>998</v>
      </c>
      <c r="AL445" t="s">
        <v>56</v>
      </c>
      <c r="AM445" t="s">
        <v>56</v>
      </c>
      <c r="AN445" t="s">
        <v>56</v>
      </c>
      <c r="AO445" t="s">
        <v>56</v>
      </c>
      <c r="AP445" t="s">
        <v>56</v>
      </c>
      <c r="AQ445" t="s">
        <v>71</v>
      </c>
      <c r="AR445" t="s">
        <v>56</v>
      </c>
      <c r="AS445" t="s">
        <v>56</v>
      </c>
      <c r="AT445" t="s">
        <v>56</v>
      </c>
      <c r="AU445" t="s">
        <v>56</v>
      </c>
      <c r="AV445" t="s">
        <v>56</v>
      </c>
      <c r="AW445" t="s">
        <v>56</v>
      </c>
      <c r="AX445">
        <v>4</v>
      </c>
    </row>
    <row r="446" spans="1:50" x14ac:dyDescent="0.25">
      <c r="A446" t="str">
        <f>"20200127162017044613"</f>
        <v>20200127162017044613</v>
      </c>
      <c r="B446" t="s">
        <v>190</v>
      </c>
      <c r="C446" t="s">
        <v>190</v>
      </c>
      <c r="D446" t="s">
        <v>2489</v>
      </c>
      <c r="E446" t="str">
        <f>"200010023201"</f>
        <v>200010023201</v>
      </c>
      <c r="F446" t="s">
        <v>52</v>
      </c>
      <c r="G446">
        <v>77028533</v>
      </c>
      <c r="H446">
        <v>20001</v>
      </c>
      <c r="I446" t="s">
        <v>990</v>
      </c>
      <c r="J446">
        <v>5804242</v>
      </c>
      <c r="K446" t="s">
        <v>54</v>
      </c>
      <c r="L446">
        <v>77028533</v>
      </c>
      <c r="M446" t="s">
        <v>991</v>
      </c>
      <c r="N446" t="s">
        <v>56</v>
      </c>
      <c r="O446" t="s">
        <v>992</v>
      </c>
      <c r="P446" t="s">
        <v>993</v>
      </c>
      <c r="Q446" t="s">
        <v>56</v>
      </c>
      <c r="R446" t="s">
        <v>54</v>
      </c>
      <c r="S446">
        <v>1003315392</v>
      </c>
      <c r="T446" t="s">
        <v>2486</v>
      </c>
      <c r="U446" t="s">
        <v>2487</v>
      </c>
      <c r="V446" t="s">
        <v>2488</v>
      </c>
      <c r="W446" t="s">
        <v>1485</v>
      </c>
      <c r="X446" t="s">
        <v>462</v>
      </c>
      <c r="Y446" t="s">
        <v>86</v>
      </c>
      <c r="Z446">
        <v>11</v>
      </c>
      <c r="AA446" t="s">
        <v>87</v>
      </c>
      <c r="AB446" t="s">
        <v>56</v>
      </c>
      <c r="AC446" t="s">
        <v>56</v>
      </c>
      <c r="AD446">
        <v>0</v>
      </c>
      <c r="AE446" t="s">
        <v>66</v>
      </c>
      <c r="AF446" t="s">
        <v>56</v>
      </c>
      <c r="AG446" t="s">
        <v>56</v>
      </c>
      <c r="AH446" t="s">
        <v>56</v>
      </c>
      <c r="AI446" t="s">
        <v>56</v>
      </c>
      <c r="AJ446" t="s">
        <v>1948</v>
      </c>
      <c r="AK446" t="s">
        <v>1949</v>
      </c>
      <c r="AL446" t="s">
        <v>56</v>
      </c>
      <c r="AM446" t="s">
        <v>56</v>
      </c>
      <c r="AN446" t="s">
        <v>56</v>
      </c>
      <c r="AO446" t="s">
        <v>56</v>
      </c>
      <c r="AP446" t="s">
        <v>56</v>
      </c>
      <c r="AQ446" t="s">
        <v>71</v>
      </c>
      <c r="AR446" t="s">
        <v>56</v>
      </c>
      <c r="AS446" t="s">
        <v>56</v>
      </c>
      <c r="AT446" t="s">
        <v>56</v>
      </c>
      <c r="AU446" t="s">
        <v>56</v>
      </c>
      <c r="AV446" t="s">
        <v>56</v>
      </c>
      <c r="AW446" t="s">
        <v>56</v>
      </c>
      <c r="AX446">
        <v>4</v>
      </c>
    </row>
    <row r="447" spans="1:50" x14ac:dyDescent="0.25">
      <c r="A447" t="str">
        <f>"20200130157017131358"</f>
        <v>20200130157017131358</v>
      </c>
      <c r="B447" t="s">
        <v>124</v>
      </c>
      <c r="C447" t="s">
        <v>124</v>
      </c>
      <c r="D447" t="s">
        <v>2490</v>
      </c>
      <c r="E447" t="str">
        <f>"080010003601"</f>
        <v>080010003601</v>
      </c>
      <c r="F447" t="s">
        <v>52</v>
      </c>
      <c r="G447">
        <v>802000955</v>
      </c>
      <c r="H447" t="s">
        <v>112</v>
      </c>
      <c r="I447" t="s">
        <v>218</v>
      </c>
      <c r="J447" t="s">
        <v>56</v>
      </c>
      <c r="K447" t="s">
        <v>54</v>
      </c>
      <c r="L447">
        <v>1045754222</v>
      </c>
      <c r="M447" t="s">
        <v>607</v>
      </c>
      <c r="N447" t="s">
        <v>117</v>
      </c>
      <c r="O447" t="s">
        <v>608</v>
      </c>
      <c r="P447" t="s">
        <v>528</v>
      </c>
      <c r="Q447">
        <v>1045754222</v>
      </c>
      <c r="R447" t="s">
        <v>54</v>
      </c>
      <c r="S447">
        <v>7465787</v>
      </c>
      <c r="T447" t="s">
        <v>917</v>
      </c>
      <c r="U447" t="s">
        <v>424</v>
      </c>
      <c r="V447" t="s">
        <v>2491</v>
      </c>
      <c r="W447" t="s">
        <v>691</v>
      </c>
      <c r="X447" t="s">
        <v>120</v>
      </c>
      <c r="Y447" t="s">
        <v>121</v>
      </c>
      <c r="Z447">
        <v>12</v>
      </c>
      <c r="AA447" t="s">
        <v>65</v>
      </c>
      <c r="AB447" t="s">
        <v>56</v>
      </c>
      <c r="AC447" t="s">
        <v>56</v>
      </c>
      <c r="AD447">
        <v>0</v>
      </c>
      <c r="AE447" t="s">
        <v>66</v>
      </c>
      <c r="AF447" t="s">
        <v>56</v>
      </c>
      <c r="AG447" t="s">
        <v>56</v>
      </c>
      <c r="AH447" t="s">
        <v>56</v>
      </c>
      <c r="AI447" t="s">
        <v>56</v>
      </c>
      <c r="AJ447" t="s">
        <v>2492</v>
      </c>
      <c r="AK447" t="s">
        <v>2493</v>
      </c>
      <c r="AL447" t="s">
        <v>56</v>
      </c>
      <c r="AM447" t="s">
        <v>56</v>
      </c>
      <c r="AN447" t="s">
        <v>56</v>
      </c>
      <c r="AO447" t="s">
        <v>56</v>
      </c>
      <c r="AP447" t="s">
        <v>56</v>
      </c>
      <c r="AQ447" t="s">
        <v>71</v>
      </c>
      <c r="AR447" t="s">
        <v>56</v>
      </c>
      <c r="AS447" t="s">
        <v>56</v>
      </c>
      <c r="AT447" t="s">
        <v>56</v>
      </c>
      <c r="AU447" t="s">
        <v>56</v>
      </c>
      <c r="AV447" t="s">
        <v>56</v>
      </c>
      <c r="AW447" t="s">
        <v>56</v>
      </c>
      <c r="AX447">
        <v>4</v>
      </c>
    </row>
    <row r="448" spans="1:50" x14ac:dyDescent="0.25">
      <c r="A448" t="str">
        <f>"20200127163017051272"</f>
        <v>20200127163017051272</v>
      </c>
      <c r="B448" t="s">
        <v>190</v>
      </c>
      <c r="C448" t="s">
        <v>190</v>
      </c>
      <c r="D448" t="s">
        <v>2494</v>
      </c>
      <c r="E448" t="str">
        <f>"761470851601"</f>
        <v>761470851601</v>
      </c>
      <c r="F448" t="s">
        <v>52</v>
      </c>
      <c r="G448">
        <v>900472731</v>
      </c>
      <c r="H448">
        <v>76147</v>
      </c>
      <c r="I448" t="s">
        <v>53</v>
      </c>
      <c r="J448">
        <v>2146686</v>
      </c>
      <c r="K448" t="s">
        <v>54</v>
      </c>
      <c r="L448">
        <v>10110853</v>
      </c>
      <c r="M448" t="s">
        <v>897</v>
      </c>
      <c r="N448" t="s">
        <v>291</v>
      </c>
      <c r="O448" t="s">
        <v>1962</v>
      </c>
      <c r="P448" t="s">
        <v>2466</v>
      </c>
      <c r="Q448">
        <v>1217</v>
      </c>
      <c r="R448" t="s">
        <v>54</v>
      </c>
      <c r="S448">
        <v>31407646</v>
      </c>
      <c r="T448" t="s">
        <v>1214</v>
      </c>
      <c r="U448" t="s">
        <v>62</v>
      </c>
      <c r="V448" t="s">
        <v>2495</v>
      </c>
      <c r="W448" t="s">
        <v>2496</v>
      </c>
      <c r="X448" t="s">
        <v>277</v>
      </c>
      <c r="Y448" t="s">
        <v>64</v>
      </c>
      <c r="Z448">
        <v>12</v>
      </c>
      <c r="AA448" t="s">
        <v>65</v>
      </c>
      <c r="AB448" t="s">
        <v>56</v>
      </c>
      <c r="AC448" t="s">
        <v>56</v>
      </c>
      <c r="AD448">
        <v>0</v>
      </c>
      <c r="AE448" t="s">
        <v>66</v>
      </c>
      <c r="AF448" t="s">
        <v>56</v>
      </c>
      <c r="AG448" t="s">
        <v>56</v>
      </c>
      <c r="AH448" t="s">
        <v>56</v>
      </c>
      <c r="AI448" t="s">
        <v>56</v>
      </c>
      <c r="AJ448" t="s">
        <v>2062</v>
      </c>
      <c r="AK448" t="s">
        <v>2063</v>
      </c>
      <c r="AL448" t="s">
        <v>56</v>
      </c>
      <c r="AM448" t="s">
        <v>56</v>
      </c>
      <c r="AN448" t="s">
        <v>56</v>
      </c>
      <c r="AO448" t="s">
        <v>56</v>
      </c>
      <c r="AP448" t="s">
        <v>56</v>
      </c>
      <c r="AQ448" t="s">
        <v>71</v>
      </c>
      <c r="AR448" t="s">
        <v>56</v>
      </c>
      <c r="AS448" t="s">
        <v>56</v>
      </c>
      <c r="AT448" t="s">
        <v>56</v>
      </c>
      <c r="AU448" t="s">
        <v>56</v>
      </c>
      <c r="AV448" t="s">
        <v>56</v>
      </c>
      <c r="AW448" t="s">
        <v>56</v>
      </c>
      <c r="AX448">
        <v>4</v>
      </c>
    </row>
    <row r="449" spans="1:50" x14ac:dyDescent="0.25">
      <c r="A449" t="str">
        <f>"20200130110017146721"</f>
        <v>20200130110017146721</v>
      </c>
      <c r="B449" t="s">
        <v>124</v>
      </c>
      <c r="C449" t="s">
        <v>124</v>
      </c>
      <c r="D449" t="s">
        <v>2497</v>
      </c>
      <c r="E449" t="str">
        <f>"761470728201"</f>
        <v>761470728201</v>
      </c>
      <c r="F449" t="s">
        <v>52</v>
      </c>
      <c r="G449">
        <v>900247710</v>
      </c>
      <c r="H449">
        <v>76147</v>
      </c>
      <c r="I449" t="s">
        <v>526</v>
      </c>
      <c r="J449">
        <v>2108988</v>
      </c>
      <c r="K449" t="s">
        <v>54</v>
      </c>
      <c r="L449">
        <v>18615571</v>
      </c>
      <c r="M449" t="s">
        <v>164</v>
      </c>
      <c r="N449" t="s">
        <v>527</v>
      </c>
      <c r="O449" t="s">
        <v>528</v>
      </c>
      <c r="P449" t="s">
        <v>249</v>
      </c>
      <c r="Q449" t="s">
        <v>529</v>
      </c>
      <c r="R449" t="s">
        <v>54</v>
      </c>
      <c r="S449">
        <v>2369364</v>
      </c>
      <c r="T449" t="s">
        <v>154</v>
      </c>
      <c r="U449" t="s">
        <v>62</v>
      </c>
      <c r="V449" t="s">
        <v>2498</v>
      </c>
      <c r="W449" t="s">
        <v>62</v>
      </c>
      <c r="X449" t="s">
        <v>573</v>
      </c>
      <c r="Y449" t="s">
        <v>64</v>
      </c>
      <c r="Z449">
        <v>12</v>
      </c>
      <c r="AA449" t="s">
        <v>65</v>
      </c>
      <c r="AB449" t="s">
        <v>56</v>
      </c>
      <c r="AC449" t="s">
        <v>56</v>
      </c>
      <c r="AD449">
        <v>0</v>
      </c>
      <c r="AE449" t="s">
        <v>66</v>
      </c>
      <c r="AF449" t="s">
        <v>56</v>
      </c>
      <c r="AG449" t="s">
        <v>56</v>
      </c>
      <c r="AH449" t="s">
        <v>56</v>
      </c>
      <c r="AI449" t="s">
        <v>56</v>
      </c>
      <c r="AJ449" t="s">
        <v>226</v>
      </c>
      <c r="AK449" t="s">
        <v>227</v>
      </c>
      <c r="AL449" t="s">
        <v>56</v>
      </c>
      <c r="AM449" t="s">
        <v>56</v>
      </c>
      <c r="AN449" t="s">
        <v>56</v>
      </c>
      <c r="AO449" t="s">
        <v>56</v>
      </c>
      <c r="AP449" t="s">
        <v>56</v>
      </c>
      <c r="AQ449" t="s">
        <v>71</v>
      </c>
      <c r="AR449" t="s">
        <v>56</v>
      </c>
      <c r="AS449" t="s">
        <v>56</v>
      </c>
      <c r="AT449" t="s">
        <v>56</v>
      </c>
      <c r="AU449" t="s">
        <v>56</v>
      </c>
      <c r="AV449" t="s">
        <v>56</v>
      </c>
      <c r="AW449" t="s">
        <v>56</v>
      </c>
      <c r="AX449">
        <v>4</v>
      </c>
    </row>
    <row r="450" spans="1:50" x14ac:dyDescent="0.25">
      <c r="A450" t="str">
        <f>"20200126139017036461"</f>
        <v>20200126139017036461</v>
      </c>
      <c r="B450" t="s">
        <v>244</v>
      </c>
      <c r="C450" t="s">
        <v>244</v>
      </c>
      <c r="D450" t="s">
        <v>2499</v>
      </c>
      <c r="E450" t="str">
        <f>"702150136101"</f>
        <v>702150136101</v>
      </c>
      <c r="F450" t="s">
        <v>52</v>
      </c>
      <c r="G450">
        <v>900415382</v>
      </c>
      <c r="H450">
        <v>70215</v>
      </c>
      <c r="I450" t="s">
        <v>2500</v>
      </c>
      <c r="J450">
        <v>2840170</v>
      </c>
      <c r="K450" t="s">
        <v>54</v>
      </c>
      <c r="L450">
        <v>78741285</v>
      </c>
      <c r="M450" t="s">
        <v>76</v>
      </c>
      <c r="N450" t="s">
        <v>117</v>
      </c>
      <c r="O450" t="s">
        <v>129</v>
      </c>
      <c r="P450" t="s">
        <v>198</v>
      </c>
      <c r="Q450" t="s">
        <v>2501</v>
      </c>
      <c r="R450" t="s">
        <v>54</v>
      </c>
      <c r="S450">
        <v>23132679</v>
      </c>
      <c r="T450" t="s">
        <v>2205</v>
      </c>
      <c r="U450" t="s">
        <v>62</v>
      </c>
      <c r="V450" t="s">
        <v>2502</v>
      </c>
      <c r="W450" t="s">
        <v>376</v>
      </c>
      <c r="X450" t="s">
        <v>1708</v>
      </c>
      <c r="Y450" t="s">
        <v>330</v>
      </c>
      <c r="Z450">
        <v>22</v>
      </c>
      <c r="AA450" t="s">
        <v>102</v>
      </c>
      <c r="AB450">
        <v>0</v>
      </c>
      <c r="AC450" t="s">
        <v>66</v>
      </c>
      <c r="AD450">
        <v>0</v>
      </c>
      <c r="AE450" t="s">
        <v>66</v>
      </c>
      <c r="AF450" t="s">
        <v>56</v>
      </c>
      <c r="AG450" t="s">
        <v>56</v>
      </c>
      <c r="AH450" t="s">
        <v>56</v>
      </c>
      <c r="AI450" t="s">
        <v>56</v>
      </c>
      <c r="AJ450" t="s">
        <v>1056</v>
      </c>
      <c r="AK450" t="s">
        <v>1057</v>
      </c>
      <c r="AL450" t="s">
        <v>1570</v>
      </c>
      <c r="AM450" t="s">
        <v>1571</v>
      </c>
      <c r="AN450" t="s">
        <v>2503</v>
      </c>
      <c r="AO450" t="s">
        <v>2504</v>
      </c>
      <c r="AP450" t="s">
        <v>56</v>
      </c>
      <c r="AQ450" t="s">
        <v>71</v>
      </c>
      <c r="AR450" t="s">
        <v>56</v>
      </c>
      <c r="AS450" t="s">
        <v>56</v>
      </c>
      <c r="AT450" t="s">
        <v>56</v>
      </c>
      <c r="AU450" t="s">
        <v>56</v>
      </c>
      <c r="AV450" t="s">
        <v>56</v>
      </c>
      <c r="AW450" t="s">
        <v>56</v>
      </c>
      <c r="AX450">
        <v>4</v>
      </c>
    </row>
    <row r="451" spans="1:50" x14ac:dyDescent="0.25">
      <c r="A451" t="str">
        <f>"20200124191017010145"</f>
        <v>20200124191017010145</v>
      </c>
      <c r="B451" t="s">
        <v>201</v>
      </c>
      <c r="C451" t="s">
        <v>201</v>
      </c>
      <c r="D451" t="s">
        <v>2505</v>
      </c>
      <c r="E451" t="str">
        <f>"470580002301"</f>
        <v>470580002301</v>
      </c>
      <c r="F451" t="s">
        <v>52</v>
      </c>
      <c r="G451">
        <v>819001107</v>
      </c>
      <c r="H451">
        <v>47058</v>
      </c>
      <c r="I451" t="s">
        <v>626</v>
      </c>
      <c r="J451">
        <v>4258152</v>
      </c>
      <c r="K451" t="s">
        <v>54</v>
      </c>
      <c r="L451">
        <v>22478433</v>
      </c>
      <c r="M451" t="s">
        <v>2506</v>
      </c>
      <c r="N451" t="s">
        <v>972</v>
      </c>
      <c r="O451" t="s">
        <v>1260</v>
      </c>
      <c r="P451" t="s">
        <v>2507</v>
      </c>
      <c r="Q451" t="s">
        <v>2508</v>
      </c>
      <c r="R451" t="s">
        <v>54</v>
      </c>
      <c r="S451">
        <v>39065541</v>
      </c>
      <c r="T451" t="s">
        <v>1453</v>
      </c>
      <c r="U451" t="s">
        <v>62</v>
      </c>
      <c r="V451" t="s">
        <v>96</v>
      </c>
      <c r="W451" t="s">
        <v>601</v>
      </c>
      <c r="X451" t="s">
        <v>344</v>
      </c>
      <c r="Y451" t="s">
        <v>345</v>
      </c>
      <c r="Z451">
        <v>12</v>
      </c>
      <c r="AA451" t="s">
        <v>65</v>
      </c>
      <c r="AB451" t="s">
        <v>56</v>
      </c>
      <c r="AC451" t="s">
        <v>56</v>
      </c>
      <c r="AD451">
        <v>0</v>
      </c>
      <c r="AE451" t="s">
        <v>66</v>
      </c>
      <c r="AF451" t="s">
        <v>56</v>
      </c>
      <c r="AG451" t="s">
        <v>56</v>
      </c>
      <c r="AH451" t="s">
        <v>56</v>
      </c>
      <c r="AI451" t="s">
        <v>56</v>
      </c>
      <c r="AJ451" t="s">
        <v>414</v>
      </c>
      <c r="AK451" t="s">
        <v>415</v>
      </c>
      <c r="AL451" t="s">
        <v>56</v>
      </c>
      <c r="AM451" t="s">
        <v>56</v>
      </c>
      <c r="AN451" t="s">
        <v>56</v>
      </c>
      <c r="AO451" t="s">
        <v>56</v>
      </c>
      <c r="AP451" t="s">
        <v>56</v>
      </c>
      <c r="AQ451" t="s">
        <v>71</v>
      </c>
      <c r="AR451" t="s">
        <v>56</v>
      </c>
      <c r="AS451" t="s">
        <v>56</v>
      </c>
      <c r="AT451" t="s">
        <v>56</v>
      </c>
      <c r="AU451" t="s">
        <v>56</v>
      </c>
      <c r="AV451" t="s">
        <v>56</v>
      </c>
      <c r="AW451" t="s">
        <v>56</v>
      </c>
      <c r="AX451">
        <v>4</v>
      </c>
    </row>
    <row r="452" spans="1:50" x14ac:dyDescent="0.25">
      <c r="A452" t="str">
        <f>"20200127193017057445"</f>
        <v>20200127193017057445</v>
      </c>
      <c r="B452" t="s">
        <v>190</v>
      </c>
      <c r="C452" t="s">
        <v>190</v>
      </c>
      <c r="D452" t="s">
        <v>2509</v>
      </c>
      <c r="E452" t="str">
        <f>"700010003801"</f>
        <v>700010003801</v>
      </c>
      <c r="F452" t="s">
        <v>52</v>
      </c>
      <c r="G452">
        <v>823003317</v>
      </c>
      <c r="H452">
        <v>70001</v>
      </c>
      <c r="I452" t="s">
        <v>323</v>
      </c>
      <c r="J452">
        <v>2818471</v>
      </c>
      <c r="K452" t="s">
        <v>54</v>
      </c>
      <c r="L452">
        <v>92502384</v>
      </c>
      <c r="M452" t="s">
        <v>791</v>
      </c>
      <c r="N452" t="s">
        <v>132</v>
      </c>
      <c r="O452" t="s">
        <v>2070</v>
      </c>
      <c r="P452" t="s">
        <v>608</v>
      </c>
      <c r="Q452" t="s">
        <v>2071</v>
      </c>
      <c r="R452" t="s">
        <v>54</v>
      </c>
      <c r="S452">
        <v>33237550</v>
      </c>
      <c r="T452" t="s">
        <v>1668</v>
      </c>
      <c r="U452" t="s">
        <v>117</v>
      </c>
      <c r="V452" t="s">
        <v>2301</v>
      </c>
      <c r="W452" t="s">
        <v>1025</v>
      </c>
      <c r="X452" t="s">
        <v>135</v>
      </c>
      <c r="Y452" t="s">
        <v>330</v>
      </c>
      <c r="Z452">
        <v>11</v>
      </c>
      <c r="AA452" t="s">
        <v>87</v>
      </c>
      <c r="AB452" t="s">
        <v>56</v>
      </c>
      <c r="AC452" t="s">
        <v>56</v>
      </c>
      <c r="AD452">
        <v>0</v>
      </c>
      <c r="AE452" t="s">
        <v>66</v>
      </c>
      <c r="AF452" t="s">
        <v>56</v>
      </c>
      <c r="AG452" t="s">
        <v>56</v>
      </c>
      <c r="AH452" t="s">
        <v>56</v>
      </c>
      <c r="AI452" t="s">
        <v>56</v>
      </c>
      <c r="AJ452" t="s">
        <v>2510</v>
      </c>
      <c r="AK452" t="s">
        <v>2511</v>
      </c>
      <c r="AL452" t="s">
        <v>56</v>
      </c>
      <c r="AM452" t="s">
        <v>56</v>
      </c>
      <c r="AN452" t="s">
        <v>56</v>
      </c>
      <c r="AO452" t="s">
        <v>56</v>
      </c>
      <c r="AP452" t="s">
        <v>56</v>
      </c>
      <c r="AQ452" t="s">
        <v>71</v>
      </c>
      <c r="AR452" t="s">
        <v>56</v>
      </c>
      <c r="AS452" t="s">
        <v>56</v>
      </c>
      <c r="AT452" t="s">
        <v>56</v>
      </c>
      <c r="AU452" t="s">
        <v>56</v>
      </c>
      <c r="AV452" t="s">
        <v>56</v>
      </c>
      <c r="AW452" t="s">
        <v>56</v>
      </c>
      <c r="AX452">
        <v>4</v>
      </c>
    </row>
    <row r="453" spans="1:50" x14ac:dyDescent="0.25">
      <c r="A453" t="str">
        <f>"20200130163017131643"</f>
        <v>20200130163017131643</v>
      </c>
      <c r="B453" t="s">
        <v>124</v>
      </c>
      <c r="C453" t="s">
        <v>124</v>
      </c>
      <c r="D453" t="s">
        <v>2512</v>
      </c>
      <c r="E453" t="str">
        <f>"087580001301"</f>
        <v>087580001301</v>
      </c>
      <c r="F453" t="s">
        <v>52</v>
      </c>
      <c r="G453">
        <v>890112801</v>
      </c>
      <c r="H453" t="s">
        <v>74</v>
      </c>
      <c r="I453" t="s">
        <v>75</v>
      </c>
      <c r="J453">
        <v>3715562</v>
      </c>
      <c r="K453" t="s">
        <v>54</v>
      </c>
      <c r="L453">
        <v>32707012</v>
      </c>
      <c r="M453" t="s">
        <v>2513</v>
      </c>
      <c r="N453" t="s">
        <v>196</v>
      </c>
      <c r="O453" t="s">
        <v>1385</v>
      </c>
      <c r="P453" t="s">
        <v>2514</v>
      </c>
      <c r="Q453">
        <v>3086</v>
      </c>
      <c r="R453" t="s">
        <v>54</v>
      </c>
      <c r="S453">
        <v>20142250</v>
      </c>
      <c r="T453" t="s">
        <v>2515</v>
      </c>
      <c r="U453" t="s">
        <v>62</v>
      </c>
      <c r="V453" t="s">
        <v>2516</v>
      </c>
      <c r="W453" t="s">
        <v>2517</v>
      </c>
      <c r="X453" t="s">
        <v>254</v>
      </c>
      <c r="Y453" t="s">
        <v>121</v>
      </c>
      <c r="Z453">
        <v>12</v>
      </c>
      <c r="AA453" t="s">
        <v>65</v>
      </c>
      <c r="AB453" t="s">
        <v>56</v>
      </c>
      <c r="AC453" t="s">
        <v>56</v>
      </c>
      <c r="AD453">
        <v>0</v>
      </c>
      <c r="AE453" t="s">
        <v>66</v>
      </c>
      <c r="AF453" t="s">
        <v>56</v>
      </c>
      <c r="AG453" t="s">
        <v>56</v>
      </c>
      <c r="AH453" t="s">
        <v>56</v>
      </c>
      <c r="AI453" t="s">
        <v>56</v>
      </c>
      <c r="AJ453" t="s">
        <v>1061</v>
      </c>
      <c r="AK453" t="s">
        <v>1062</v>
      </c>
      <c r="AL453" t="s">
        <v>56</v>
      </c>
      <c r="AM453" t="s">
        <v>56</v>
      </c>
      <c r="AN453" t="s">
        <v>56</v>
      </c>
      <c r="AO453" t="s">
        <v>56</v>
      </c>
      <c r="AP453" t="s">
        <v>56</v>
      </c>
      <c r="AQ453" t="s">
        <v>71</v>
      </c>
      <c r="AR453" t="s">
        <v>56</v>
      </c>
      <c r="AS453" t="s">
        <v>56</v>
      </c>
      <c r="AT453" t="s">
        <v>56</v>
      </c>
      <c r="AU453" t="s">
        <v>56</v>
      </c>
      <c r="AV453" t="s">
        <v>56</v>
      </c>
      <c r="AW453" t="s">
        <v>56</v>
      </c>
      <c r="AX453">
        <v>4</v>
      </c>
    </row>
    <row r="454" spans="1:50" x14ac:dyDescent="0.25">
      <c r="A454" t="str">
        <f>"20200129144017102086"</f>
        <v>20200129144017102086</v>
      </c>
      <c r="B454" t="s">
        <v>72</v>
      </c>
      <c r="C454" t="s">
        <v>72</v>
      </c>
      <c r="D454" t="s">
        <v>2518</v>
      </c>
      <c r="E454" t="str">
        <f>"200010205401"</f>
        <v>200010205401</v>
      </c>
      <c r="F454" t="s">
        <v>52</v>
      </c>
      <c r="G454">
        <v>901058547</v>
      </c>
      <c r="H454">
        <v>20001</v>
      </c>
      <c r="I454" t="s">
        <v>512</v>
      </c>
      <c r="J454" t="s">
        <v>513</v>
      </c>
      <c r="K454" t="s">
        <v>54</v>
      </c>
      <c r="L454">
        <v>18937856</v>
      </c>
      <c r="M454" t="s">
        <v>81</v>
      </c>
      <c r="N454" t="s">
        <v>164</v>
      </c>
      <c r="O454" t="s">
        <v>816</v>
      </c>
      <c r="P454" t="s">
        <v>425</v>
      </c>
      <c r="Q454" t="s">
        <v>817</v>
      </c>
      <c r="R454" t="s">
        <v>54</v>
      </c>
      <c r="S454">
        <v>30029579</v>
      </c>
      <c r="T454" t="s">
        <v>2519</v>
      </c>
      <c r="U454" t="s">
        <v>196</v>
      </c>
      <c r="V454" t="s">
        <v>327</v>
      </c>
      <c r="W454" t="s">
        <v>2520</v>
      </c>
      <c r="X454" t="s">
        <v>704</v>
      </c>
      <c r="Y454" t="s">
        <v>86</v>
      </c>
      <c r="Z454">
        <v>12</v>
      </c>
      <c r="AA454" t="s">
        <v>65</v>
      </c>
      <c r="AB454" t="s">
        <v>56</v>
      </c>
      <c r="AC454" t="s">
        <v>56</v>
      </c>
      <c r="AD454">
        <v>0</v>
      </c>
      <c r="AE454" t="s">
        <v>66</v>
      </c>
      <c r="AF454" t="s">
        <v>56</v>
      </c>
      <c r="AG454" t="s">
        <v>56</v>
      </c>
      <c r="AH454" t="s">
        <v>56</v>
      </c>
      <c r="AI454" t="s">
        <v>56</v>
      </c>
      <c r="AJ454" t="s">
        <v>822</v>
      </c>
      <c r="AK454" t="s">
        <v>823</v>
      </c>
      <c r="AL454" t="s">
        <v>824</v>
      </c>
      <c r="AM454" t="s">
        <v>825</v>
      </c>
      <c r="AN454" t="s">
        <v>56</v>
      </c>
      <c r="AO454" t="s">
        <v>56</v>
      </c>
      <c r="AP454" t="s">
        <v>56</v>
      </c>
      <c r="AQ454" t="s">
        <v>71</v>
      </c>
      <c r="AR454" t="s">
        <v>56</v>
      </c>
      <c r="AS454" t="s">
        <v>56</v>
      </c>
      <c r="AT454" t="s">
        <v>56</v>
      </c>
      <c r="AU454" t="s">
        <v>56</v>
      </c>
      <c r="AV454" t="s">
        <v>56</v>
      </c>
      <c r="AW454" t="s">
        <v>56</v>
      </c>
      <c r="AX454">
        <v>4</v>
      </c>
    </row>
    <row r="455" spans="1:50" x14ac:dyDescent="0.25">
      <c r="A455" t="str">
        <f>"20200127117017061940"</f>
        <v>20200127117017061940</v>
      </c>
      <c r="B455" t="s">
        <v>190</v>
      </c>
      <c r="C455" t="s">
        <v>190</v>
      </c>
      <c r="D455" t="s">
        <v>2521</v>
      </c>
      <c r="E455" t="str">
        <f>"080010003601"</f>
        <v>080010003601</v>
      </c>
      <c r="F455" t="s">
        <v>52</v>
      </c>
      <c r="G455">
        <v>802000955</v>
      </c>
      <c r="H455" t="s">
        <v>112</v>
      </c>
      <c r="I455" t="s">
        <v>218</v>
      </c>
      <c r="J455" t="s">
        <v>56</v>
      </c>
      <c r="K455" t="s">
        <v>54</v>
      </c>
      <c r="L455">
        <v>1045754222</v>
      </c>
      <c r="M455" t="s">
        <v>607</v>
      </c>
      <c r="N455" t="s">
        <v>117</v>
      </c>
      <c r="O455" t="s">
        <v>608</v>
      </c>
      <c r="P455" t="s">
        <v>528</v>
      </c>
      <c r="Q455">
        <v>1045754222</v>
      </c>
      <c r="R455" t="s">
        <v>54</v>
      </c>
      <c r="S455">
        <v>22704312</v>
      </c>
      <c r="T455" t="s">
        <v>117</v>
      </c>
      <c r="U455" t="s">
        <v>479</v>
      </c>
      <c r="V455" t="s">
        <v>220</v>
      </c>
      <c r="W455" t="s">
        <v>2522</v>
      </c>
      <c r="X455" t="s">
        <v>1430</v>
      </c>
      <c r="Y455" t="s">
        <v>121</v>
      </c>
      <c r="Z455">
        <v>12</v>
      </c>
      <c r="AA455" t="s">
        <v>65</v>
      </c>
      <c r="AB455" t="s">
        <v>56</v>
      </c>
      <c r="AC455" t="s">
        <v>56</v>
      </c>
      <c r="AD455">
        <v>0</v>
      </c>
      <c r="AE455" t="s">
        <v>66</v>
      </c>
      <c r="AF455" t="s">
        <v>56</v>
      </c>
      <c r="AG455" t="s">
        <v>56</v>
      </c>
      <c r="AH455" t="s">
        <v>56</v>
      </c>
      <c r="AI455" t="s">
        <v>56</v>
      </c>
      <c r="AJ455" t="s">
        <v>463</v>
      </c>
      <c r="AK455" t="s">
        <v>464</v>
      </c>
      <c r="AL455" t="s">
        <v>2523</v>
      </c>
      <c r="AM455" t="s">
        <v>2524</v>
      </c>
      <c r="AN455" t="s">
        <v>56</v>
      </c>
      <c r="AO455" t="s">
        <v>56</v>
      </c>
      <c r="AP455" t="s">
        <v>56</v>
      </c>
      <c r="AQ455" t="s">
        <v>71</v>
      </c>
      <c r="AR455" t="s">
        <v>56</v>
      </c>
      <c r="AS455" t="s">
        <v>56</v>
      </c>
      <c r="AT455" t="s">
        <v>56</v>
      </c>
      <c r="AU455" t="s">
        <v>56</v>
      </c>
      <c r="AV455" t="s">
        <v>56</v>
      </c>
      <c r="AW455" t="s">
        <v>56</v>
      </c>
      <c r="AX455">
        <v>4</v>
      </c>
    </row>
    <row r="456" spans="1:50" x14ac:dyDescent="0.25">
      <c r="A456" t="str">
        <f>"20200131120017171340"</f>
        <v>20200131120017171340</v>
      </c>
      <c r="B456" t="s">
        <v>110</v>
      </c>
      <c r="C456" t="s">
        <v>110</v>
      </c>
      <c r="D456" t="s">
        <v>2525</v>
      </c>
      <c r="E456" t="str">
        <f>"270010036201"</f>
        <v>270010036201</v>
      </c>
      <c r="F456" t="s">
        <v>52</v>
      </c>
      <c r="G456">
        <v>900210883</v>
      </c>
      <c r="H456">
        <v>27001</v>
      </c>
      <c r="I456" t="s">
        <v>2057</v>
      </c>
      <c r="J456">
        <v>6724232</v>
      </c>
      <c r="K456" t="s">
        <v>54</v>
      </c>
      <c r="L456">
        <v>11811594</v>
      </c>
      <c r="M456" t="s">
        <v>2526</v>
      </c>
      <c r="N456" t="s">
        <v>56</v>
      </c>
      <c r="O456" t="s">
        <v>2527</v>
      </c>
      <c r="P456" t="s">
        <v>249</v>
      </c>
      <c r="Q456">
        <v>270126</v>
      </c>
      <c r="R456" t="s">
        <v>54</v>
      </c>
      <c r="S456">
        <v>26260645</v>
      </c>
      <c r="T456" t="s">
        <v>2528</v>
      </c>
      <c r="U456" t="s">
        <v>62</v>
      </c>
      <c r="V456" t="s">
        <v>715</v>
      </c>
      <c r="W456" t="s">
        <v>715</v>
      </c>
      <c r="X456" t="s">
        <v>860</v>
      </c>
      <c r="Y456" t="s">
        <v>717</v>
      </c>
      <c r="Z456">
        <v>11</v>
      </c>
      <c r="AA456" t="s">
        <v>87</v>
      </c>
      <c r="AB456" t="s">
        <v>56</v>
      </c>
      <c r="AC456" t="s">
        <v>56</v>
      </c>
      <c r="AD456">
        <v>0</v>
      </c>
      <c r="AE456" t="s">
        <v>66</v>
      </c>
      <c r="AF456" t="s">
        <v>56</v>
      </c>
      <c r="AG456" t="s">
        <v>56</v>
      </c>
      <c r="AH456" t="s">
        <v>56</v>
      </c>
      <c r="AI456" t="s">
        <v>56</v>
      </c>
      <c r="AJ456" t="s">
        <v>2529</v>
      </c>
      <c r="AK456" t="s">
        <v>2530</v>
      </c>
      <c r="AL456" t="s">
        <v>56</v>
      </c>
      <c r="AM456" t="s">
        <v>56</v>
      </c>
      <c r="AN456" t="s">
        <v>56</v>
      </c>
      <c r="AO456" t="s">
        <v>56</v>
      </c>
      <c r="AP456" t="s">
        <v>56</v>
      </c>
      <c r="AQ456" t="s">
        <v>71</v>
      </c>
      <c r="AR456" t="s">
        <v>56</v>
      </c>
      <c r="AS456" t="s">
        <v>56</v>
      </c>
      <c r="AT456" t="s">
        <v>56</v>
      </c>
      <c r="AU456" t="s">
        <v>56</v>
      </c>
      <c r="AV456" t="s">
        <v>56</v>
      </c>
      <c r="AW456" t="s">
        <v>56</v>
      </c>
      <c r="AX456">
        <v>4</v>
      </c>
    </row>
    <row r="457" spans="1:50" x14ac:dyDescent="0.25">
      <c r="A457" t="str">
        <f>"20200130190017134834"</f>
        <v>20200130190017134834</v>
      </c>
      <c r="B457" t="s">
        <v>124</v>
      </c>
      <c r="C457" t="s">
        <v>124</v>
      </c>
      <c r="D457" t="s">
        <v>2531</v>
      </c>
      <c r="E457" t="str">
        <f>"080010003601"</f>
        <v>080010003601</v>
      </c>
      <c r="F457" t="s">
        <v>52</v>
      </c>
      <c r="G457">
        <v>802000955</v>
      </c>
      <c r="H457" t="s">
        <v>112</v>
      </c>
      <c r="I457" t="s">
        <v>218</v>
      </c>
      <c r="J457" t="s">
        <v>56</v>
      </c>
      <c r="K457" t="s">
        <v>54</v>
      </c>
      <c r="L457">
        <v>1051357508</v>
      </c>
      <c r="M457" t="s">
        <v>644</v>
      </c>
      <c r="N457" t="s">
        <v>645</v>
      </c>
      <c r="O457" t="s">
        <v>646</v>
      </c>
      <c r="P457" t="s">
        <v>647</v>
      </c>
      <c r="Q457">
        <v>81153</v>
      </c>
      <c r="R457" t="s">
        <v>54</v>
      </c>
      <c r="S457">
        <v>32810227</v>
      </c>
      <c r="T457" t="s">
        <v>59</v>
      </c>
      <c r="U457" t="s">
        <v>296</v>
      </c>
      <c r="V457" t="s">
        <v>2103</v>
      </c>
      <c r="W457" t="s">
        <v>376</v>
      </c>
      <c r="X457" t="s">
        <v>299</v>
      </c>
      <c r="Y457" t="s">
        <v>121</v>
      </c>
      <c r="Z457">
        <v>12</v>
      </c>
      <c r="AA457" t="s">
        <v>65</v>
      </c>
      <c r="AB457" t="s">
        <v>56</v>
      </c>
      <c r="AC457" t="s">
        <v>56</v>
      </c>
      <c r="AD457">
        <v>0</v>
      </c>
      <c r="AE457" t="s">
        <v>66</v>
      </c>
      <c r="AF457" t="s">
        <v>56</v>
      </c>
      <c r="AG457" t="s">
        <v>56</v>
      </c>
      <c r="AH457" t="s">
        <v>56</v>
      </c>
      <c r="AI457" t="s">
        <v>56</v>
      </c>
      <c r="AJ457" t="s">
        <v>228</v>
      </c>
      <c r="AK457" t="s">
        <v>229</v>
      </c>
      <c r="AL457" t="s">
        <v>56</v>
      </c>
      <c r="AM457" t="s">
        <v>56</v>
      </c>
      <c r="AN457" t="s">
        <v>56</v>
      </c>
      <c r="AO457" t="s">
        <v>56</v>
      </c>
      <c r="AP457" t="s">
        <v>56</v>
      </c>
      <c r="AQ457" t="s">
        <v>71</v>
      </c>
      <c r="AR457" t="s">
        <v>56</v>
      </c>
      <c r="AS457" t="s">
        <v>56</v>
      </c>
      <c r="AT457" t="s">
        <v>56</v>
      </c>
      <c r="AU457" t="s">
        <v>56</v>
      </c>
      <c r="AV457" t="s">
        <v>56</v>
      </c>
      <c r="AW457" t="s">
        <v>56</v>
      </c>
      <c r="AX457">
        <v>4</v>
      </c>
    </row>
    <row r="458" spans="1:50" x14ac:dyDescent="0.25">
      <c r="A458" t="str">
        <f>"20200124193017008160"</f>
        <v>20200124193017008160</v>
      </c>
      <c r="B458" t="s">
        <v>201</v>
      </c>
      <c r="C458" t="s">
        <v>201</v>
      </c>
      <c r="D458" t="s">
        <v>2532</v>
      </c>
      <c r="E458" t="str">
        <f>"761470681501"</f>
        <v>761470681501</v>
      </c>
      <c r="F458" t="s">
        <v>52</v>
      </c>
      <c r="G458">
        <v>830515000</v>
      </c>
      <c r="H458">
        <v>76147</v>
      </c>
      <c r="I458" t="s">
        <v>1217</v>
      </c>
      <c r="J458">
        <v>2145150</v>
      </c>
      <c r="K458" t="s">
        <v>54</v>
      </c>
      <c r="L458">
        <v>16231597</v>
      </c>
      <c r="M458" t="s">
        <v>1218</v>
      </c>
      <c r="N458" t="s">
        <v>1219</v>
      </c>
      <c r="O458" t="s">
        <v>1220</v>
      </c>
      <c r="P458" t="s">
        <v>1221</v>
      </c>
      <c r="Q458">
        <v>76257504</v>
      </c>
      <c r="R458" t="s">
        <v>54</v>
      </c>
      <c r="S458">
        <v>24926479</v>
      </c>
      <c r="T458" t="s">
        <v>117</v>
      </c>
      <c r="U458" t="s">
        <v>2533</v>
      </c>
      <c r="V458" t="s">
        <v>362</v>
      </c>
      <c r="W458" t="s">
        <v>62</v>
      </c>
      <c r="X458" t="s">
        <v>277</v>
      </c>
      <c r="Y458" t="s">
        <v>64</v>
      </c>
      <c r="Z458">
        <v>12</v>
      </c>
      <c r="AA458" t="s">
        <v>65</v>
      </c>
      <c r="AB458" t="s">
        <v>56</v>
      </c>
      <c r="AC458" t="s">
        <v>56</v>
      </c>
      <c r="AD458">
        <v>0</v>
      </c>
      <c r="AE458" t="s">
        <v>66</v>
      </c>
      <c r="AF458" t="s">
        <v>56</v>
      </c>
      <c r="AG458" t="s">
        <v>56</v>
      </c>
      <c r="AH458" t="s">
        <v>56</v>
      </c>
      <c r="AI458" t="s">
        <v>56</v>
      </c>
      <c r="AJ458" t="s">
        <v>2534</v>
      </c>
      <c r="AK458" t="s">
        <v>2535</v>
      </c>
      <c r="AL458" t="s">
        <v>56</v>
      </c>
      <c r="AM458" t="s">
        <v>56</v>
      </c>
      <c r="AN458" t="s">
        <v>56</v>
      </c>
      <c r="AO458" t="s">
        <v>56</v>
      </c>
      <c r="AP458" t="s">
        <v>56</v>
      </c>
      <c r="AQ458" t="s">
        <v>71</v>
      </c>
      <c r="AR458" t="s">
        <v>56</v>
      </c>
      <c r="AS458" t="s">
        <v>56</v>
      </c>
      <c r="AT458" t="s">
        <v>56</v>
      </c>
      <c r="AU458" t="s">
        <v>56</v>
      </c>
      <c r="AV458" t="s">
        <v>56</v>
      </c>
      <c r="AW458" t="s">
        <v>56</v>
      </c>
      <c r="AX458">
        <v>4</v>
      </c>
    </row>
    <row r="459" spans="1:50" x14ac:dyDescent="0.25">
      <c r="A459" t="str">
        <f>"20200128133017089738"</f>
        <v>20200128133017089738</v>
      </c>
      <c r="B459" t="s">
        <v>151</v>
      </c>
      <c r="C459" t="s">
        <v>151</v>
      </c>
      <c r="D459" t="s">
        <v>2536</v>
      </c>
      <c r="E459" t="str">
        <f>"080010430501"</f>
        <v>080010430501</v>
      </c>
      <c r="F459" t="s">
        <v>52</v>
      </c>
      <c r="G459">
        <v>900206215</v>
      </c>
      <c r="H459" t="s">
        <v>112</v>
      </c>
      <c r="I459" t="s">
        <v>1084</v>
      </c>
      <c r="J459">
        <v>3174342880</v>
      </c>
      <c r="K459" t="s">
        <v>54</v>
      </c>
      <c r="L459">
        <v>32833623</v>
      </c>
      <c r="M459" t="s">
        <v>1065</v>
      </c>
      <c r="N459" t="s">
        <v>59</v>
      </c>
      <c r="O459" t="s">
        <v>659</v>
      </c>
      <c r="P459" t="s">
        <v>252</v>
      </c>
      <c r="Q459">
        <v>32833623</v>
      </c>
      <c r="R459" t="s">
        <v>54</v>
      </c>
      <c r="S459">
        <v>1047224230</v>
      </c>
      <c r="T459" t="s">
        <v>2537</v>
      </c>
      <c r="U459" t="s">
        <v>132</v>
      </c>
      <c r="V459" t="s">
        <v>225</v>
      </c>
      <c r="W459" t="s">
        <v>2538</v>
      </c>
      <c r="X459" t="s">
        <v>120</v>
      </c>
      <c r="Y459" t="s">
        <v>121</v>
      </c>
      <c r="Z459">
        <v>12</v>
      </c>
      <c r="AA459" t="s">
        <v>65</v>
      </c>
      <c r="AB459" t="s">
        <v>56</v>
      </c>
      <c r="AC459" t="s">
        <v>56</v>
      </c>
      <c r="AD459">
        <v>0</v>
      </c>
      <c r="AE459" t="s">
        <v>66</v>
      </c>
      <c r="AF459" t="s">
        <v>56</v>
      </c>
      <c r="AG459" t="s">
        <v>56</v>
      </c>
      <c r="AH459" t="s">
        <v>56</v>
      </c>
      <c r="AI459" t="s">
        <v>56</v>
      </c>
      <c r="AJ459" t="s">
        <v>894</v>
      </c>
      <c r="AK459" t="s">
        <v>895</v>
      </c>
      <c r="AL459" t="s">
        <v>122</v>
      </c>
      <c r="AM459" t="s">
        <v>123</v>
      </c>
      <c r="AN459" t="s">
        <v>2539</v>
      </c>
      <c r="AO459" t="s">
        <v>2540</v>
      </c>
      <c r="AP459" t="s">
        <v>56</v>
      </c>
      <c r="AQ459" t="s">
        <v>71</v>
      </c>
      <c r="AR459" t="s">
        <v>56</v>
      </c>
      <c r="AS459" t="s">
        <v>56</v>
      </c>
      <c r="AT459" t="s">
        <v>56</v>
      </c>
      <c r="AU459" t="s">
        <v>56</v>
      </c>
      <c r="AV459" t="s">
        <v>56</v>
      </c>
      <c r="AW459" t="s">
        <v>56</v>
      </c>
      <c r="AX459">
        <v>4</v>
      </c>
    </row>
    <row r="460" spans="1:50" x14ac:dyDescent="0.25">
      <c r="A460" t="str">
        <f>"20200129118017109948"</f>
        <v>20200129118017109948</v>
      </c>
      <c r="B460" t="s">
        <v>72</v>
      </c>
      <c r="C460" t="s">
        <v>72</v>
      </c>
      <c r="D460" t="s">
        <v>2541</v>
      </c>
      <c r="E460" t="str">
        <f>"700010104501"</f>
        <v>700010104501</v>
      </c>
      <c r="F460" t="s">
        <v>52</v>
      </c>
      <c r="G460">
        <v>900112364</v>
      </c>
      <c r="H460">
        <v>70001</v>
      </c>
      <c r="I460" t="s">
        <v>2542</v>
      </c>
      <c r="J460">
        <v>2823970</v>
      </c>
      <c r="K460" t="s">
        <v>54</v>
      </c>
      <c r="L460">
        <v>73195759</v>
      </c>
      <c r="M460" t="s">
        <v>2543</v>
      </c>
      <c r="N460" t="s">
        <v>76</v>
      </c>
      <c r="O460" t="s">
        <v>1715</v>
      </c>
      <c r="P460" t="s">
        <v>1301</v>
      </c>
      <c r="Q460">
        <v>70739</v>
      </c>
      <c r="R460" t="s">
        <v>54</v>
      </c>
      <c r="S460">
        <v>64563607</v>
      </c>
      <c r="T460" t="s">
        <v>1138</v>
      </c>
      <c r="U460" t="s">
        <v>2544</v>
      </c>
      <c r="V460" t="s">
        <v>520</v>
      </c>
      <c r="W460" t="s">
        <v>1254</v>
      </c>
      <c r="X460" t="s">
        <v>605</v>
      </c>
      <c r="Y460" t="s">
        <v>330</v>
      </c>
      <c r="Z460">
        <v>11</v>
      </c>
      <c r="AA460" t="s">
        <v>87</v>
      </c>
      <c r="AB460" t="s">
        <v>56</v>
      </c>
      <c r="AC460" t="s">
        <v>56</v>
      </c>
      <c r="AD460">
        <v>0</v>
      </c>
      <c r="AE460" t="s">
        <v>66</v>
      </c>
      <c r="AF460" t="s">
        <v>56</v>
      </c>
      <c r="AG460" t="s">
        <v>56</v>
      </c>
      <c r="AH460" t="s">
        <v>56</v>
      </c>
      <c r="AI460" t="s">
        <v>56</v>
      </c>
      <c r="AJ460" t="s">
        <v>88</v>
      </c>
      <c r="AK460" t="s">
        <v>89</v>
      </c>
      <c r="AL460" t="s">
        <v>56</v>
      </c>
      <c r="AM460" t="s">
        <v>56</v>
      </c>
      <c r="AN460" t="s">
        <v>56</v>
      </c>
      <c r="AO460" t="s">
        <v>56</v>
      </c>
      <c r="AP460" t="s">
        <v>56</v>
      </c>
      <c r="AQ460" t="s">
        <v>71</v>
      </c>
      <c r="AR460" t="s">
        <v>56</v>
      </c>
      <c r="AS460" t="s">
        <v>56</v>
      </c>
      <c r="AT460" t="s">
        <v>56</v>
      </c>
      <c r="AU460" t="s">
        <v>56</v>
      </c>
      <c r="AV460" t="s">
        <v>56</v>
      </c>
      <c r="AW460" t="s">
        <v>56</v>
      </c>
      <c r="AX460">
        <v>4</v>
      </c>
    </row>
    <row r="461" spans="1:50" x14ac:dyDescent="0.25">
      <c r="A461" t="str">
        <f>"20200124111017009131"</f>
        <v>20200124111017009131</v>
      </c>
      <c r="B461" t="s">
        <v>201</v>
      </c>
      <c r="C461" t="s">
        <v>201</v>
      </c>
      <c r="D461" t="s">
        <v>2545</v>
      </c>
      <c r="E461" t="str">
        <f>"086850011001"</f>
        <v>086850011001</v>
      </c>
      <c r="F461" t="s">
        <v>52</v>
      </c>
      <c r="G461">
        <v>800174123</v>
      </c>
      <c r="H461" t="s">
        <v>433</v>
      </c>
      <c r="I461" t="s">
        <v>434</v>
      </c>
      <c r="J461">
        <v>8790494</v>
      </c>
      <c r="K461" t="s">
        <v>54</v>
      </c>
      <c r="L461">
        <v>1140854953</v>
      </c>
      <c r="M461" t="s">
        <v>435</v>
      </c>
      <c r="N461" t="s">
        <v>436</v>
      </c>
      <c r="O461" t="s">
        <v>437</v>
      </c>
      <c r="P461" t="s">
        <v>438</v>
      </c>
      <c r="Q461" t="s">
        <v>439</v>
      </c>
      <c r="R461" t="s">
        <v>440</v>
      </c>
      <c r="S461">
        <v>1048405256</v>
      </c>
      <c r="T461" t="s">
        <v>1721</v>
      </c>
      <c r="U461" t="s">
        <v>117</v>
      </c>
      <c r="V461" t="s">
        <v>99</v>
      </c>
      <c r="W461" t="s">
        <v>355</v>
      </c>
      <c r="X461" t="s">
        <v>443</v>
      </c>
      <c r="Y461" t="s">
        <v>121</v>
      </c>
      <c r="Z461">
        <v>12</v>
      </c>
      <c r="AA461" t="s">
        <v>65</v>
      </c>
      <c r="AB461" t="s">
        <v>56</v>
      </c>
      <c r="AC461" t="s">
        <v>56</v>
      </c>
      <c r="AD461">
        <v>0</v>
      </c>
      <c r="AE461" t="s">
        <v>66</v>
      </c>
      <c r="AF461" t="s">
        <v>56</v>
      </c>
      <c r="AG461" t="s">
        <v>56</v>
      </c>
      <c r="AH461" t="s">
        <v>56</v>
      </c>
      <c r="AI461" t="s">
        <v>56</v>
      </c>
      <c r="AJ461" t="s">
        <v>444</v>
      </c>
      <c r="AK461" t="s">
        <v>445</v>
      </c>
      <c r="AL461" t="s">
        <v>56</v>
      </c>
      <c r="AM461" t="s">
        <v>56</v>
      </c>
      <c r="AN461" t="s">
        <v>56</v>
      </c>
      <c r="AO461" t="s">
        <v>56</v>
      </c>
      <c r="AP461" t="s">
        <v>56</v>
      </c>
      <c r="AQ461" t="s">
        <v>71</v>
      </c>
      <c r="AR461" t="s">
        <v>56</v>
      </c>
      <c r="AS461" t="s">
        <v>56</v>
      </c>
      <c r="AT461" t="s">
        <v>56</v>
      </c>
      <c r="AU461" t="s">
        <v>56</v>
      </c>
      <c r="AV461" t="s">
        <v>56</v>
      </c>
      <c r="AW461" t="s">
        <v>56</v>
      </c>
      <c r="AX461">
        <v>4</v>
      </c>
    </row>
    <row r="462" spans="1:50" x14ac:dyDescent="0.25">
      <c r="A462" t="str">
        <f>"20200130160017144611"</f>
        <v>20200130160017144611</v>
      </c>
      <c r="B462" t="s">
        <v>124</v>
      </c>
      <c r="C462" t="s">
        <v>124</v>
      </c>
      <c r="D462" t="s">
        <v>2546</v>
      </c>
      <c r="E462" t="str">
        <f>"700010096901"</f>
        <v>700010096901</v>
      </c>
      <c r="F462" t="s">
        <v>52</v>
      </c>
      <c r="G462">
        <v>900118990</v>
      </c>
      <c r="H462">
        <v>70001</v>
      </c>
      <c r="I462" t="s">
        <v>869</v>
      </c>
      <c r="J462">
        <v>2761605</v>
      </c>
      <c r="K462" t="s">
        <v>54</v>
      </c>
      <c r="L462">
        <v>1104010331</v>
      </c>
      <c r="M462" t="s">
        <v>2199</v>
      </c>
      <c r="N462" t="s">
        <v>2200</v>
      </c>
      <c r="O462" t="s">
        <v>84</v>
      </c>
      <c r="P462" t="s">
        <v>179</v>
      </c>
      <c r="Q462" t="s">
        <v>2201</v>
      </c>
      <c r="R462" t="s">
        <v>54</v>
      </c>
      <c r="S462">
        <v>3918020</v>
      </c>
      <c r="T462" t="s">
        <v>2078</v>
      </c>
      <c r="U462" t="s">
        <v>424</v>
      </c>
      <c r="V462" t="s">
        <v>2172</v>
      </c>
      <c r="W462" t="s">
        <v>560</v>
      </c>
      <c r="X462" t="s">
        <v>394</v>
      </c>
      <c r="Y462" t="s">
        <v>330</v>
      </c>
      <c r="Z462">
        <v>12</v>
      </c>
      <c r="AA462" t="s">
        <v>65</v>
      </c>
      <c r="AB462" t="s">
        <v>56</v>
      </c>
      <c r="AC462" t="s">
        <v>56</v>
      </c>
      <c r="AD462">
        <v>0</v>
      </c>
      <c r="AE462" t="s">
        <v>66</v>
      </c>
      <c r="AF462" t="s">
        <v>56</v>
      </c>
      <c r="AG462" t="s">
        <v>56</v>
      </c>
      <c r="AH462" t="s">
        <v>56</v>
      </c>
      <c r="AI462" t="s">
        <v>56</v>
      </c>
      <c r="AJ462" t="s">
        <v>828</v>
      </c>
      <c r="AK462" t="s">
        <v>829</v>
      </c>
      <c r="AL462" t="s">
        <v>2547</v>
      </c>
      <c r="AM462" t="s">
        <v>2548</v>
      </c>
      <c r="AN462" t="s">
        <v>56</v>
      </c>
      <c r="AO462" t="s">
        <v>56</v>
      </c>
      <c r="AP462" t="s">
        <v>56</v>
      </c>
      <c r="AQ462" t="s">
        <v>71</v>
      </c>
      <c r="AR462" t="s">
        <v>56</v>
      </c>
      <c r="AS462" t="s">
        <v>56</v>
      </c>
      <c r="AT462" t="s">
        <v>56</v>
      </c>
      <c r="AU462" t="s">
        <v>56</v>
      </c>
      <c r="AV462" t="s">
        <v>56</v>
      </c>
      <c r="AW462" t="s">
        <v>56</v>
      </c>
      <c r="AX462">
        <v>4</v>
      </c>
    </row>
    <row r="463" spans="1:50" x14ac:dyDescent="0.25">
      <c r="A463" t="str">
        <f>"20200201124017187175"</f>
        <v>20200201124017187175</v>
      </c>
      <c r="B463" t="s">
        <v>50</v>
      </c>
      <c r="C463" t="s">
        <v>50</v>
      </c>
      <c r="D463" t="s">
        <v>2549</v>
      </c>
      <c r="E463" t="str">
        <f>"087580001301"</f>
        <v>087580001301</v>
      </c>
      <c r="F463" t="s">
        <v>52</v>
      </c>
      <c r="G463">
        <v>890112801</v>
      </c>
      <c r="H463" t="s">
        <v>74</v>
      </c>
      <c r="I463" t="s">
        <v>75</v>
      </c>
      <c r="J463">
        <v>3715562</v>
      </c>
      <c r="K463" t="s">
        <v>54</v>
      </c>
      <c r="L463">
        <v>8721390</v>
      </c>
      <c r="M463" t="s">
        <v>291</v>
      </c>
      <c r="N463" t="s">
        <v>292</v>
      </c>
      <c r="O463" t="s">
        <v>293</v>
      </c>
      <c r="P463" t="s">
        <v>294</v>
      </c>
      <c r="Q463">
        <v>3149</v>
      </c>
      <c r="R463" t="s">
        <v>54</v>
      </c>
      <c r="S463">
        <v>72040929</v>
      </c>
      <c r="T463" t="s">
        <v>791</v>
      </c>
      <c r="U463" t="s">
        <v>94</v>
      </c>
      <c r="V463" t="s">
        <v>178</v>
      </c>
      <c r="W463" t="s">
        <v>225</v>
      </c>
      <c r="X463" t="s">
        <v>241</v>
      </c>
      <c r="Y463" t="s">
        <v>121</v>
      </c>
      <c r="Z463">
        <v>12</v>
      </c>
      <c r="AA463" t="s">
        <v>65</v>
      </c>
      <c r="AB463" t="s">
        <v>56</v>
      </c>
      <c r="AC463" t="s">
        <v>56</v>
      </c>
      <c r="AD463">
        <v>0</v>
      </c>
      <c r="AE463" t="s">
        <v>66</v>
      </c>
      <c r="AF463" t="s">
        <v>56</v>
      </c>
      <c r="AG463" t="s">
        <v>56</v>
      </c>
      <c r="AH463" t="s">
        <v>56</v>
      </c>
      <c r="AI463" t="s">
        <v>56</v>
      </c>
      <c r="AJ463" t="s">
        <v>2550</v>
      </c>
      <c r="AK463" t="s">
        <v>2551</v>
      </c>
      <c r="AL463" t="s">
        <v>56</v>
      </c>
      <c r="AM463" t="s">
        <v>56</v>
      </c>
      <c r="AN463" t="s">
        <v>56</v>
      </c>
      <c r="AO463" t="s">
        <v>56</v>
      </c>
      <c r="AP463" t="s">
        <v>56</v>
      </c>
      <c r="AQ463" t="s">
        <v>71</v>
      </c>
      <c r="AR463" t="s">
        <v>56</v>
      </c>
      <c r="AS463" t="s">
        <v>56</v>
      </c>
      <c r="AT463" t="s">
        <v>56</v>
      </c>
      <c r="AU463" t="s">
        <v>56</v>
      </c>
      <c r="AV463" t="s">
        <v>56</v>
      </c>
      <c r="AW463" t="s">
        <v>56</v>
      </c>
      <c r="AX463">
        <v>4</v>
      </c>
    </row>
    <row r="464" spans="1:50" x14ac:dyDescent="0.25">
      <c r="A464" t="str">
        <f>"20200124129017009517"</f>
        <v>20200124129017009517</v>
      </c>
      <c r="B464" t="s">
        <v>201</v>
      </c>
      <c r="C464" t="s">
        <v>201</v>
      </c>
      <c r="D464" t="s">
        <v>2552</v>
      </c>
      <c r="E464" t="str">
        <f>"080010112201"</f>
        <v>080010112201</v>
      </c>
      <c r="F464" t="s">
        <v>52</v>
      </c>
      <c r="G464">
        <v>890108597</v>
      </c>
      <c r="H464" t="s">
        <v>112</v>
      </c>
      <c r="I464" t="s">
        <v>2457</v>
      </c>
      <c r="J464">
        <v>3565109</v>
      </c>
      <c r="K464" t="s">
        <v>54</v>
      </c>
      <c r="L464">
        <v>7464267</v>
      </c>
      <c r="M464" t="s">
        <v>250</v>
      </c>
      <c r="N464" t="s">
        <v>165</v>
      </c>
      <c r="O464" t="s">
        <v>134</v>
      </c>
      <c r="P464" t="s">
        <v>1334</v>
      </c>
      <c r="Q464">
        <v>18759</v>
      </c>
      <c r="R464" t="s">
        <v>237</v>
      </c>
      <c r="S464">
        <v>1159213482</v>
      </c>
      <c r="T464" t="s">
        <v>2553</v>
      </c>
      <c r="U464" t="s">
        <v>2554</v>
      </c>
      <c r="V464" t="s">
        <v>406</v>
      </c>
      <c r="W464" t="s">
        <v>115</v>
      </c>
      <c r="X464" t="s">
        <v>241</v>
      </c>
      <c r="Y464" t="s">
        <v>121</v>
      </c>
      <c r="Z464">
        <v>12</v>
      </c>
      <c r="AA464" t="s">
        <v>65</v>
      </c>
      <c r="AB464" t="s">
        <v>56</v>
      </c>
      <c r="AC464" t="s">
        <v>56</v>
      </c>
      <c r="AD464">
        <v>0</v>
      </c>
      <c r="AE464" t="s">
        <v>66</v>
      </c>
      <c r="AF464" t="s">
        <v>56</v>
      </c>
      <c r="AG464" t="s">
        <v>56</v>
      </c>
      <c r="AH464" t="s">
        <v>56</v>
      </c>
      <c r="AI464" t="s">
        <v>56</v>
      </c>
      <c r="AJ464" t="s">
        <v>2555</v>
      </c>
      <c r="AK464" t="s">
        <v>2556</v>
      </c>
      <c r="AL464" t="s">
        <v>56</v>
      </c>
      <c r="AM464" t="s">
        <v>56</v>
      </c>
      <c r="AN464" t="s">
        <v>56</v>
      </c>
      <c r="AO464" t="s">
        <v>56</v>
      </c>
      <c r="AP464" t="s">
        <v>56</v>
      </c>
      <c r="AQ464" t="s">
        <v>71</v>
      </c>
      <c r="AR464" t="s">
        <v>56</v>
      </c>
      <c r="AS464" t="s">
        <v>56</v>
      </c>
      <c r="AT464" t="s">
        <v>56</v>
      </c>
      <c r="AU464" t="s">
        <v>56</v>
      </c>
      <c r="AV464" t="s">
        <v>56</v>
      </c>
      <c r="AW464" t="s">
        <v>56</v>
      </c>
      <c r="AX464">
        <v>4</v>
      </c>
    </row>
    <row r="465" spans="1:50" x14ac:dyDescent="0.25">
      <c r="A465" t="str">
        <f>"20200127110017053641"</f>
        <v>20200127110017053641</v>
      </c>
      <c r="B465" t="s">
        <v>190</v>
      </c>
      <c r="C465" t="s">
        <v>190</v>
      </c>
      <c r="D465" t="s">
        <v>2557</v>
      </c>
      <c r="E465" t="str">
        <f>"134300290801"</f>
        <v>134300290801</v>
      </c>
      <c r="F465" t="s">
        <v>52</v>
      </c>
      <c r="G465">
        <v>800033723</v>
      </c>
      <c r="H465">
        <v>13430</v>
      </c>
      <c r="I465" t="s">
        <v>1672</v>
      </c>
      <c r="J465">
        <v>3187117423</v>
      </c>
      <c r="K465" t="s">
        <v>54</v>
      </c>
      <c r="L465">
        <v>9273444</v>
      </c>
      <c r="M465" t="s">
        <v>76</v>
      </c>
      <c r="N465" t="s">
        <v>2095</v>
      </c>
      <c r="O465" t="s">
        <v>2096</v>
      </c>
      <c r="P465" t="s">
        <v>2097</v>
      </c>
      <c r="Q465">
        <v>9273444</v>
      </c>
      <c r="R465" t="s">
        <v>54</v>
      </c>
      <c r="S465">
        <v>12553255</v>
      </c>
      <c r="T465" t="s">
        <v>1912</v>
      </c>
      <c r="U465" t="s">
        <v>165</v>
      </c>
      <c r="V465" t="s">
        <v>2558</v>
      </c>
      <c r="W465" t="s">
        <v>263</v>
      </c>
      <c r="X465" t="s">
        <v>2559</v>
      </c>
      <c r="Y465" t="s">
        <v>345</v>
      </c>
      <c r="Z465">
        <v>11</v>
      </c>
      <c r="AA465" t="s">
        <v>87</v>
      </c>
      <c r="AB465" t="s">
        <v>56</v>
      </c>
      <c r="AC465" t="s">
        <v>56</v>
      </c>
      <c r="AD465">
        <v>0</v>
      </c>
      <c r="AE465" t="s">
        <v>66</v>
      </c>
      <c r="AF465" t="s">
        <v>56</v>
      </c>
      <c r="AG465" t="s">
        <v>56</v>
      </c>
      <c r="AH465" t="s">
        <v>56</v>
      </c>
      <c r="AI465" t="s">
        <v>56</v>
      </c>
      <c r="AJ465" t="s">
        <v>1479</v>
      </c>
      <c r="AK465" t="s">
        <v>1480</v>
      </c>
      <c r="AL465" t="s">
        <v>215</v>
      </c>
      <c r="AM465" t="s">
        <v>216</v>
      </c>
      <c r="AN465" t="s">
        <v>56</v>
      </c>
      <c r="AO465" t="s">
        <v>56</v>
      </c>
      <c r="AP465" t="s">
        <v>56</v>
      </c>
      <c r="AQ465" t="s">
        <v>71</v>
      </c>
      <c r="AR465" t="s">
        <v>56</v>
      </c>
      <c r="AS465" t="s">
        <v>56</v>
      </c>
      <c r="AT465" t="s">
        <v>56</v>
      </c>
      <c r="AU465" t="s">
        <v>56</v>
      </c>
      <c r="AV465" t="s">
        <v>56</v>
      </c>
      <c r="AW465" t="s">
        <v>56</v>
      </c>
      <c r="AX465">
        <v>4</v>
      </c>
    </row>
    <row r="466" spans="1:50" x14ac:dyDescent="0.25">
      <c r="A466" t="str">
        <f>"20200124146017015625"</f>
        <v>20200124146017015625</v>
      </c>
      <c r="B466" t="s">
        <v>201</v>
      </c>
      <c r="C466" t="s">
        <v>201</v>
      </c>
      <c r="D466" t="s">
        <v>2560</v>
      </c>
      <c r="E466" t="str">
        <f>"080010139101"</f>
        <v>080010139101</v>
      </c>
      <c r="F466" t="s">
        <v>52</v>
      </c>
      <c r="G466">
        <v>830007355</v>
      </c>
      <c r="H466" t="s">
        <v>112</v>
      </c>
      <c r="I466" t="s">
        <v>2561</v>
      </c>
      <c r="J466">
        <v>3680444</v>
      </c>
      <c r="K466" t="s">
        <v>54</v>
      </c>
      <c r="L466">
        <v>79142887</v>
      </c>
      <c r="M466" t="s">
        <v>2562</v>
      </c>
      <c r="N466" t="s">
        <v>76</v>
      </c>
      <c r="O466" t="s">
        <v>691</v>
      </c>
      <c r="P466" t="s">
        <v>1478</v>
      </c>
      <c r="Q466">
        <v>79142887</v>
      </c>
      <c r="R466" t="s">
        <v>54</v>
      </c>
      <c r="S466">
        <v>32840575</v>
      </c>
      <c r="T466" t="s">
        <v>1633</v>
      </c>
      <c r="U466" t="s">
        <v>296</v>
      </c>
      <c r="V466" t="s">
        <v>1244</v>
      </c>
      <c r="W466" t="s">
        <v>315</v>
      </c>
      <c r="X466" t="s">
        <v>383</v>
      </c>
      <c r="Y466" t="s">
        <v>121</v>
      </c>
      <c r="Z466">
        <v>11</v>
      </c>
      <c r="AA466" t="s">
        <v>87</v>
      </c>
      <c r="AB466" t="s">
        <v>56</v>
      </c>
      <c r="AC466" t="s">
        <v>56</v>
      </c>
      <c r="AD466">
        <v>0</v>
      </c>
      <c r="AE466" t="s">
        <v>66</v>
      </c>
      <c r="AF466" t="s">
        <v>56</v>
      </c>
      <c r="AG466" t="s">
        <v>56</v>
      </c>
      <c r="AH466" t="s">
        <v>56</v>
      </c>
      <c r="AI466" t="s">
        <v>56</v>
      </c>
      <c r="AJ466" t="s">
        <v>1676</v>
      </c>
      <c r="AK466" t="s">
        <v>1677</v>
      </c>
      <c r="AL466" t="s">
        <v>56</v>
      </c>
      <c r="AM466" t="s">
        <v>56</v>
      </c>
      <c r="AN466" t="s">
        <v>56</v>
      </c>
      <c r="AO466" t="s">
        <v>56</v>
      </c>
      <c r="AP466" t="s">
        <v>56</v>
      </c>
      <c r="AQ466" t="s">
        <v>71</v>
      </c>
      <c r="AR466" t="s">
        <v>56</v>
      </c>
      <c r="AS466" t="s">
        <v>56</v>
      </c>
      <c r="AT466" t="s">
        <v>56</v>
      </c>
      <c r="AU466" t="s">
        <v>56</v>
      </c>
      <c r="AV466" t="s">
        <v>56</v>
      </c>
      <c r="AW466" t="s">
        <v>56</v>
      </c>
      <c r="AX466">
        <v>4</v>
      </c>
    </row>
    <row r="467" spans="1:50" x14ac:dyDescent="0.25">
      <c r="A467" t="str">
        <f>"20200127140017065971"</f>
        <v>20200127140017065971</v>
      </c>
      <c r="B467" t="s">
        <v>190</v>
      </c>
      <c r="C467" t="s">
        <v>190</v>
      </c>
      <c r="D467" t="s">
        <v>2563</v>
      </c>
      <c r="E467" t="str">
        <f>"085730086901"</f>
        <v>085730086901</v>
      </c>
      <c r="F467" t="s">
        <v>52</v>
      </c>
      <c r="G467">
        <v>900617858</v>
      </c>
      <c r="H467" t="s">
        <v>1605</v>
      </c>
      <c r="I467" t="s">
        <v>2564</v>
      </c>
      <c r="J467">
        <v>3584047</v>
      </c>
      <c r="K467" t="s">
        <v>54</v>
      </c>
      <c r="L467">
        <v>73192539</v>
      </c>
      <c r="M467" t="s">
        <v>2565</v>
      </c>
      <c r="N467" t="s">
        <v>56</v>
      </c>
      <c r="O467" t="s">
        <v>2566</v>
      </c>
      <c r="P467" t="s">
        <v>207</v>
      </c>
      <c r="Q467">
        <v>2312</v>
      </c>
      <c r="R467" t="s">
        <v>54</v>
      </c>
      <c r="S467">
        <v>8692743</v>
      </c>
      <c r="T467" t="s">
        <v>164</v>
      </c>
      <c r="U467" t="s">
        <v>132</v>
      </c>
      <c r="V467" t="s">
        <v>207</v>
      </c>
      <c r="W467" t="s">
        <v>564</v>
      </c>
      <c r="X467" t="s">
        <v>120</v>
      </c>
      <c r="Y467" t="s">
        <v>121</v>
      </c>
      <c r="Z467">
        <v>12</v>
      </c>
      <c r="AA467" t="s">
        <v>65</v>
      </c>
      <c r="AB467" t="s">
        <v>56</v>
      </c>
      <c r="AC467" t="s">
        <v>56</v>
      </c>
      <c r="AD467">
        <v>0</v>
      </c>
      <c r="AE467" t="s">
        <v>66</v>
      </c>
      <c r="AF467" t="s">
        <v>56</v>
      </c>
      <c r="AG467" t="s">
        <v>56</v>
      </c>
      <c r="AH467" t="s">
        <v>56</v>
      </c>
      <c r="AI467" t="s">
        <v>56</v>
      </c>
      <c r="AJ467" t="s">
        <v>913</v>
      </c>
      <c r="AK467" t="s">
        <v>914</v>
      </c>
      <c r="AL467" t="s">
        <v>56</v>
      </c>
      <c r="AM467" t="s">
        <v>56</v>
      </c>
      <c r="AN467" t="s">
        <v>56</v>
      </c>
      <c r="AO467" t="s">
        <v>56</v>
      </c>
      <c r="AP467" t="s">
        <v>56</v>
      </c>
      <c r="AQ467" t="s">
        <v>71</v>
      </c>
      <c r="AR467" t="s">
        <v>56</v>
      </c>
      <c r="AS467" t="s">
        <v>56</v>
      </c>
      <c r="AT467" t="s">
        <v>56</v>
      </c>
      <c r="AU467" t="s">
        <v>56</v>
      </c>
      <c r="AV467" t="s">
        <v>56</v>
      </c>
      <c r="AW467" t="s">
        <v>56</v>
      </c>
      <c r="AX467">
        <v>4</v>
      </c>
    </row>
    <row r="468" spans="1:50" x14ac:dyDescent="0.25">
      <c r="A468" t="str">
        <f>"20200127190017066084"</f>
        <v>20200127190017066084</v>
      </c>
      <c r="B468" t="s">
        <v>190</v>
      </c>
      <c r="C468" t="s">
        <v>190</v>
      </c>
      <c r="D468" t="s">
        <v>2567</v>
      </c>
      <c r="E468" t="str">
        <f>"085730086901"</f>
        <v>085730086901</v>
      </c>
      <c r="F468" t="s">
        <v>52</v>
      </c>
      <c r="G468">
        <v>900617858</v>
      </c>
      <c r="H468" t="s">
        <v>1605</v>
      </c>
      <c r="I468" t="s">
        <v>2564</v>
      </c>
      <c r="J468">
        <v>3584047</v>
      </c>
      <c r="K468" t="s">
        <v>54</v>
      </c>
      <c r="L468">
        <v>73192539</v>
      </c>
      <c r="M468" t="s">
        <v>2565</v>
      </c>
      <c r="N468" t="s">
        <v>56</v>
      </c>
      <c r="O468" t="s">
        <v>2566</v>
      </c>
      <c r="P468" t="s">
        <v>207</v>
      </c>
      <c r="Q468">
        <v>2312</v>
      </c>
      <c r="R468" t="s">
        <v>54</v>
      </c>
      <c r="S468">
        <v>8692743</v>
      </c>
      <c r="T468" t="s">
        <v>164</v>
      </c>
      <c r="U468" t="s">
        <v>132</v>
      </c>
      <c r="V468" t="s">
        <v>207</v>
      </c>
      <c r="W468" t="s">
        <v>564</v>
      </c>
      <c r="X468" t="s">
        <v>120</v>
      </c>
      <c r="Y468" t="s">
        <v>121</v>
      </c>
      <c r="Z468">
        <v>12</v>
      </c>
      <c r="AA468" t="s">
        <v>65</v>
      </c>
      <c r="AB468" t="s">
        <v>56</v>
      </c>
      <c r="AC468" t="s">
        <v>56</v>
      </c>
      <c r="AD468">
        <v>0</v>
      </c>
      <c r="AE468" t="s">
        <v>66</v>
      </c>
      <c r="AF468" t="s">
        <v>56</v>
      </c>
      <c r="AG468" t="s">
        <v>56</v>
      </c>
      <c r="AH468" t="s">
        <v>56</v>
      </c>
      <c r="AI468" t="s">
        <v>56</v>
      </c>
      <c r="AJ468" t="s">
        <v>913</v>
      </c>
      <c r="AK468" t="s">
        <v>914</v>
      </c>
      <c r="AL468" t="s">
        <v>56</v>
      </c>
      <c r="AM468" t="s">
        <v>56</v>
      </c>
      <c r="AN468" t="s">
        <v>56</v>
      </c>
      <c r="AO468" t="s">
        <v>56</v>
      </c>
      <c r="AP468" t="s">
        <v>56</v>
      </c>
      <c r="AQ468" t="s">
        <v>71</v>
      </c>
      <c r="AR468" t="s">
        <v>56</v>
      </c>
      <c r="AS468" t="s">
        <v>56</v>
      </c>
      <c r="AT468" t="s">
        <v>56</v>
      </c>
      <c r="AU468" t="s">
        <v>56</v>
      </c>
      <c r="AV468" t="s">
        <v>56</v>
      </c>
      <c r="AW468" t="s">
        <v>56</v>
      </c>
      <c r="AX468">
        <v>4</v>
      </c>
    </row>
    <row r="469" spans="1:50" x14ac:dyDescent="0.25">
      <c r="A469" t="str">
        <f>"20200201179017183660"</f>
        <v>20200201179017183660</v>
      </c>
      <c r="B469" t="s">
        <v>50</v>
      </c>
      <c r="C469" t="s">
        <v>50</v>
      </c>
      <c r="D469" t="s">
        <v>2568</v>
      </c>
      <c r="E469" t="str">
        <f>"080010003601"</f>
        <v>080010003601</v>
      </c>
      <c r="F469" t="s">
        <v>52</v>
      </c>
      <c r="G469">
        <v>802000955</v>
      </c>
      <c r="H469" t="s">
        <v>112</v>
      </c>
      <c r="I469" t="s">
        <v>218</v>
      </c>
      <c r="J469" t="s">
        <v>56</v>
      </c>
      <c r="K469" t="s">
        <v>54</v>
      </c>
      <c r="L469">
        <v>85472859</v>
      </c>
      <c r="M469" t="s">
        <v>897</v>
      </c>
      <c r="N469" t="s">
        <v>76</v>
      </c>
      <c r="O469" t="s">
        <v>1735</v>
      </c>
      <c r="P469" t="s">
        <v>1736</v>
      </c>
      <c r="Q469" t="s">
        <v>1737</v>
      </c>
      <c r="R469" t="s">
        <v>54</v>
      </c>
      <c r="S469">
        <v>8736943</v>
      </c>
      <c r="T469" t="s">
        <v>233</v>
      </c>
      <c r="U469" t="s">
        <v>192</v>
      </c>
      <c r="V469" t="s">
        <v>568</v>
      </c>
      <c r="W469" t="s">
        <v>1417</v>
      </c>
      <c r="X469" t="s">
        <v>120</v>
      </c>
      <c r="Y469" t="s">
        <v>121</v>
      </c>
      <c r="Z469">
        <v>12</v>
      </c>
      <c r="AA469" t="s">
        <v>65</v>
      </c>
      <c r="AB469" t="s">
        <v>56</v>
      </c>
      <c r="AC469" t="s">
        <v>56</v>
      </c>
      <c r="AD469">
        <v>0</v>
      </c>
      <c r="AE469" t="s">
        <v>66</v>
      </c>
      <c r="AF469" t="s">
        <v>56</v>
      </c>
      <c r="AG469" t="s">
        <v>56</v>
      </c>
      <c r="AH469" t="s">
        <v>56</v>
      </c>
      <c r="AI469" t="s">
        <v>56</v>
      </c>
      <c r="AJ469" t="s">
        <v>2569</v>
      </c>
      <c r="AK469" t="s">
        <v>2570</v>
      </c>
      <c r="AL469" t="s">
        <v>56</v>
      </c>
      <c r="AM469" t="s">
        <v>56</v>
      </c>
      <c r="AN469" t="s">
        <v>56</v>
      </c>
      <c r="AO469" t="s">
        <v>56</v>
      </c>
      <c r="AP469" t="s">
        <v>56</v>
      </c>
      <c r="AQ469" t="s">
        <v>71</v>
      </c>
      <c r="AR469" t="s">
        <v>56</v>
      </c>
      <c r="AS469" t="s">
        <v>56</v>
      </c>
      <c r="AT469" t="s">
        <v>56</v>
      </c>
      <c r="AU469" t="s">
        <v>56</v>
      </c>
      <c r="AV469" t="s">
        <v>56</v>
      </c>
      <c r="AW469" t="s">
        <v>56</v>
      </c>
      <c r="AX469">
        <v>4</v>
      </c>
    </row>
    <row r="470" spans="1:50" x14ac:dyDescent="0.25">
      <c r="A470" t="str">
        <f>"20200127195017041126"</f>
        <v>20200127195017041126</v>
      </c>
      <c r="B470" t="s">
        <v>190</v>
      </c>
      <c r="C470" t="s">
        <v>190</v>
      </c>
      <c r="D470" t="s">
        <v>2571</v>
      </c>
      <c r="E470" t="str">
        <f>"080010134801"</f>
        <v>080010134801</v>
      </c>
      <c r="F470" t="s">
        <v>52</v>
      </c>
      <c r="G470">
        <v>800131518</v>
      </c>
      <c r="H470" t="s">
        <v>112</v>
      </c>
      <c r="I470" t="s">
        <v>2572</v>
      </c>
      <c r="J470">
        <v>3145885430</v>
      </c>
      <c r="K470" t="s">
        <v>54</v>
      </c>
      <c r="L470">
        <v>1123994512</v>
      </c>
      <c r="M470" t="s">
        <v>55</v>
      </c>
      <c r="N470" t="s">
        <v>519</v>
      </c>
      <c r="O470" t="s">
        <v>996</v>
      </c>
      <c r="P470" t="s">
        <v>1244</v>
      </c>
      <c r="Q470">
        <v>1321190</v>
      </c>
      <c r="R470" t="s">
        <v>54</v>
      </c>
      <c r="S470">
        <v>22309635</v>
      </c>
      <c r="T470" t="s">
        <v>1210</v>
      </c>
      <c r="U470" t="s">
        <v>2298</v>
      </c>
      <c r="V470" t="s">
        <v>99</v>
      </c>
      <c r="W470" t="s">
        <v>425</v>
      </c>
      <c r="X470" t="s">
        <v>120</v>
      </c>
      <c r="Y470" t="s">
        <v>121</v>
      </c>
      <c r="Z470">
        <v>12</v>
      </c>
      <c r="AA470" t="s">
        <v>65</v>
      </c>
      <c r="AB470" t="s">
        <v>56</v>
      </c>
      <c r="AC470" t="s">
        <v>56</v>
      </c>
      <c r="AD470">
        <v>0</v>
      </c>
      <c r="AE470" t="s">
        <v>66</v>
      </c>
      <c r="AF470" t="s">
        <v>56</v>
      </c>
      <c r="AG470" t="s">
        <v>56</v>
      </c>
      <c r="AH470" t="s">
        <v>56</v>
      </c>
      <c r="AI470" t="s">
        <v>56</v>
      </c>
      <c r="AJ470" t="s">
        <v>199</v>
      </c>
      <c r="AK470" t="s">
        <v>200</v>
      </c>
      <c r="AL470" t="s">
        <v>56</v>
      </c>
      <c r="AM470" t="s">
        <v>56</v>
      </c>
      <c r="AN470" t="s">
        <v>56</v>
      </c>
      <c r="AO470" t="s">
        <v>56</v>
      </c>
      <c r="AP470" t="s">
        <v>56</v>
      </c>
      <c r="AQ470" t="s">
        <v>71</v>
      </c>
      <c r="AR470" t="s">
        <v>56</v>
      </c>
      <c r="AS470" t="s">
        <v>56</v>
      </c>
      <c r="AT470" t="s">
        <v>56</v>
      </c>
      <c r="AU470" t="s">
        <v>56</v>
      </c>
      <c r="AV470" t="s">
        <v>56</v>
      </c>
      <c r="AW470" t="s">
        <v>56</v>
      </c>
      <c r="AX470">
        <v>4</v>
      </c>
    </row>
    <row r="471" spans="1:50" x14ac:dyDescent="0.25">
      <c r="A471" t="str">
        <f>"20200127119017041700"</f>
        <v>20200127119017041700</v>
      </c>
      <c r="B471" t="s">
        <v>190</v>
      </c>
      <c r="C471" t="s">
        <v>190</v>
      </c>
      <c r="D471" t="s">
        <v>2573</v>
      </c>
      <c r="E471" t="str">
        <f>"080010134801"</f>
        <v>080010134801</v>
      </c>
      <c r="F471" t="s">
        <v>52</v>
      </c>
      <c r="G471">
        <v>800131518</v>
      </c>
      <c r="H471" t="s">
        <v>112</v>
      </c>
      <c r="I471" t="s">
        <v>2572</v>
      </c>
      <c r="J471">
        <v>3145885430</v>
      </c>
      <c r="K471" t="s">
        <v>54</v>
      </c>
      <c r="L471">
        <v>1123994512</v>
      </c>
      <c r="M471" t="s">
        <v>55</v>
      </c>
      <c r="N471" t="s">
        <v>519</v>
      </c>
      <c r="O471" t="s">
        <v>996</v>
      </c>
      <c r="P471" t="s">
        <v>1244</v>
      </c>
      <c r="Q471">
        <v>1321190</v>
      </c>
      <c r="R471" t="s">
        <v>54</v>
      </c>
      <c r="S471">
        <v>22309635</v>
      </c>
      <c r="T471" t="s">
        <v>1210</v>
      </c>
      <c r="U471" t="s">
        <v>2298</v>
      </c>
      <c r="V471" t="s">
        <v>99</v>
      </c>
      <c r="W471" t="s">
        <v>425</v>
      </c>
      <c r="X471" t="s">
        <v>120</v>
      </c>
      <c r="Y471" t="s">
        <v>121</v>
      </c>
      <c r="Z471">
        <v>12</v>
      </c>
      <c r="AA471" t="s">
        <v>65</v>
      </c>
      <c r="AB471" t="s">
        <v>56</v>
      </c>
      <c r="AC471" t="s">
        <v>56</v>
      </c>
      <c r="AD471">
        <v>0</v>
      </c>
      <c r="AE471" t="s">
        <v>66</v>
      </c>
      <c r="AF471" t="s">
        <v>56</v>
      </c>
      <c r="AG471" t="s">
        <v>56</v>
      </c>
      <c r="AH471" t="s">
        <v>56</v>
      </c>
      <c r="AI471" t="s">
        <v>56</v>
      </c>
      <c r="AJ471" t="s">
        <v>255</v>
      </c>
      <c r="AK471" t="s">
        <v>256</v>
      </c>
      <c r="AL471" t="s">
        <v>56</v>
      </c>
      <c r="AM471" t="s">
        <v>56</v>
      </c>
      <c r="AN471" t="s">
        <v>56</v>
      </c>
      <c r="AO471" t="s">
        <v>56</v>
      </c>
      <c r="AP471" t="s">
        <v>56</v>
      </c>
      <c r="AQ471" t="s">
        <v>71</v>
      </c>
      <c r="AR471" t="s">
        <v>56</v>
      </c>
      <c r="AS471" t="s">
        <v>56</v>
      </c>
      <c r="AT471" t="s">
        <v>56</v>
      </c>
      <c r="AU471" t="s">
        <v>56</v>
      </c>
      <c r="AV471" t="s">
        <v>56</v>
      </c>
      <c r="AW471" t="s">
        <v>56</v>
      </c>
      <c r="AX471">
        <v>4</v>
      </c>
    </row>
    <row r="472" spans="1:50" x14ac:dyDescent="0.25">
      <c r="A472" t="str">
        <f>"20200130111017135618"</f>
        <v>20200130111017135618</v>
      </c>
      <c r="B472" t="s">
        <v>124</v>
      </c>
      <c r="C472" t="s">
        <v>124</v>
      </c>
      <c r="D472" t="s">
        <v>2574</v>
      </c>
      <c r="E472" t="str">
        <f>"080010139101"</f>
        <v>080010139101</v>
      </c>
      <c r="F472" t="s">
        <v>52</v>
      </c>
      <c r="G472">
        <v>830007355</v>
      </c>
      <c r="H472" t="s">
        <v>112</v>
      </c>
      <c r="I472" t="s">
        <v>2561</v>
      </c>
      <c r="J472">
        <v>3680444</v>
      </c>
      <c r="K472" t="s">
        <v>54</v>
      </c>
      <c r="L472">
        <v>72009102</v>
      </c>
      <c r="M472" t="s">
        <v>291</v>
      </c>
      <c r="N472" t="s">
        <v>261</v>
      </c>
      <c r="O472" t="s">
        <v>2575</v>
      </c>
      <c r="P472" t="s">
        <v>179</v>
      </c>
      <c r="Q472">
        <v>653</v>
      </c>
      <c r="R472" t="s">
        <v>54</v>
      </c>
      <c r="S472">
        <v>1129569864</v>
      </c>
      <c r="T472" t="s">
        <v>2576</v>
      </c>
      <c r="U472" t="s">
        <v>1371</v>
      </c>
      <c r="V472" t="s">
        <v>1478</v>
      </c>
      <c r="W472" t="s">
        <v>364</v>
      </c>
      <c r="X472" t="s">
        <v>120</v>
      </c>
      <c r="Y472" t="s">
        <v>121</v>
      </c>
      <c r="Z472">
        <v>11</v>
      </c>
      <c r="AA472" t="s">
        <v>87</v>
      </c>
      <c r="AB472" t="s">
        <v>56</v>
      </c>
      <c r="AC472" t="s">
        <v>56</v>
      </c>
      <c r="AD472">
        <v>0</v>
      </c>
      <c r="AE472" t="s">
        <v>66</v>
      </c>
      <c r="AF472" t="s">
        <v>56</v>
      </c>
      <c r="AG472" t="s">
        <v>56</v>
      </c>
      <c r="AH472" t="s">
        <v>56</v>
      </c>
      <c r="AI472" t="s">
        <v>56</v>
      </c>
      <c r="AJ472" t="s">
        <v>1676</v>
      </c>
      <c r="AK472" t="s">
        <v>1677</v>
      </c>
      <c r="AL472" t="s">
        <v>56</v>
      </c>
      <c r="AM472" t="s">
        <v>56</v>
      </c>
      <c r="AN472" t="s">
        <v>56</v>
      </c>
      <c r="AO472" t="s">
        <v>56</v>
      </c>
      <c r="AP472" t="s">
        <v>56</v>
      </c>
      <c r="AQ472" t="s">
        <v>71</v>
      </c>
      <c r="AR472" t="s">
        <v>56</v>
      </c>
      <c r="AS472" t="s">
        <v>56</v>
      </c>
      <c r="AT472" t="s">
        <v>56</v>
      </c>
      <c r="AU472" t="s">
        <v>56</v>
      </c>
      <c r="AV472" t="s">
        <v>56</v>
      </c>
      <c r="AW472" t="s">
        <v>56</v>
      </c>
      <c r="AX472">
        <v>4</v>
      </c>
    </row>
    <row r="473" spans="1:50" x14ac:dyDescent="0.25">
      <c r="A473" t="str">
        <f>"20200131193017161194"</f>
        <v>20200131193017161194</v>
      </c>
      <c r="B473" t="s">
        <v>110</v>
      </c>
      <c r="C473" t="s">
        <v>110</v>
      </c>
      <c r="D473" t="s">
        <v>2577</v>
      </c>
      <c r="E473" t="str">
        <f>"761470681501"</f>
        <v>761470681501</v>
      </c>
      <c r="F473" t="s">
        <v>52</v>
      </c>
      <c r="G473">
        <v>830515000</v>
      </c>
      <c r="H473">
        <v>76147</v>
      </c>
      <c r="I473" t="s">
        <v>1217</v>
      </c>
      <c r="J473">
        <v>2145150</v>
      </c>
      <c r="K473" t="s">
        <v>54</v>
      </c>
      <c r="L473">
        <v>16231597</v>
      </c>
      <c r="M473" t="s">
        <v>1218</v>
      </c>
      <c r="N473" t="s">
        <v>1219</v>
      </c>
      <c r="O473" t="s">
        <v>1220</v>
      </c>
      <c r="P473" t="s">
        <v>1221</v>
      </c>
      <c r="Q473">
        <v>76257504</v>
      </c>
      <c r="R473" t="s">
        <v>54</v>
      </c>
      <c r="S473">
        <v>41300461</v>
      </c>
      <c r="T473" t="s">
        <v>504</v>
      </c>
      <c r="U473" t="s">
        <v>1210</v>
      </c>
      <c r="V473" t="s">
        <v>2578</v>
      </c>
      <c r="W473" t="s">
        <v>2579</v>
      </c>
      <c r="X473" t="s">
        <v>277</v>
      </c>
      <c r="Y473" t="s">
        <v>64</v>
      </c>
      <c r="Z473">
        <v>12</v>
      </c>
      <c r="AA473" t="s">
        <v>65</v>
      </c>
      <c r="AB473" t="s">
        <v>56</v>
      </c>
      <c r="AC473" t="s">
        <v>56</v>
      </c>
      <c r="AD473">
        <v>0</v>
      </c>
      <c r="AE473" t="s">
        <v>66</v>
      </c>
      <c r="AF473" t="s">
        <v>56</v>
      </c>
      <c r="AG473" t="s">
        <v>56</v>
      </c>
      <c r="AH473" t="s">
        <v>56</v>
      </c>
      <c r="AI473" t="s">
        <v>56</v>
      </c>
      <c r="AJ473" t="s">
        <v>2452</v>
      </c>
      <c r="AK473" t="s">
        <v>2453</v>
      </c>
      <c r="AL473" t="s">
        <v>1119</v>
      </c>
      <c r="AM473" t="s">
        <v>1120</v>
      </c>
      <c r="AN473" t="s">
        <v>56</v>
      </c>
      <c r="AO473" t="s">
        <v>56</v>
      </c>
      <c r="AP473" t="s">
        <v>56</v>
      </c>
      <c r="AQ473" t="s">
        <v>71</v>
      </c>
      <c r="AR473" t="s">
        <v>56</v>
      </c>
      <c r="AS473" t="s">
        <v>56</v>
      </c>
      <c r="AT473" t="s">
        <v>56</v>
      </c>
      <c r="AU473" t="s">
        <v>56</v>
      </c>
      <c r="AV473" t="s">
        <v>56</v>
      </c>
      <c r="AW473" t="s">
        <v>56</v>
      </c>
      <c r="AX473">
        <v>4</v>
      </c>
    </row>
    <row r="474" spans="1:50" x14ac:dyDescent="0.25">
      <c r="A474" t="str">
        <f>"20200201118017186794"</f>
        <v>20200201118017186794</v>
      </c>
      <c r="B474" t="s">
        <v>50</v>
      </c>
      <c r="C474" t="s">
        <v>50</v>
      </c>
      <c r="D474" t="s">
        <v>2580</v>
      </c>
      <c r="E474" t="str">
        <f>"761470851601"</f>
        <v>761470851601</v>
      </c>
      <c r="F474" t="s">
        <v>52</v>
      </c>
      <c r="G474">
        <v>900472731</v>
      </c>
      <c r="H474">
        <v>76147</v>
      </c>
      <c r="I474" t="s">
        <v>53</v>
      </c>
      <c r="J474">
        <v>2146686</v>
      </c>
      <c r="K474" t="s">
        <v>54</v>
      </c>
      <c r="L474">
        <v>10110853</v>
      </c>
      <c r="M474" t="s">
        <v>897</v>
      </c>
      <c r="N474" t="s">
        <v>291</v>
      </c>
      <c r="O474" t="s">
        <v>1962</v>
      </c>
      <c r="P474" t="s">
        <v>2466</v>
      </c>
      <c r="Q474">
        <v>1217</v>
      </c>
      <c r="R474" t="s">
        <v>54</v>
      </c>
      <c r="S474">
        <v>29464474</v>
      </c>
      <c r="T474" t="s">
        <v>59</v>
      </c>
      <c r="U474" t="s">
        <v>2581</v>
      </c>
      <c r="V474" t="s">
        <v>560</v>
      </c>
      <c r="W474" t="s">
        <v>2582</v>
      </c>
      <c r="X474" t="s">
        <v>1302</v>
      </c>
      <c r="Y474" t="s">
        <v>64</v>
      </c>
      <c r="Z474">
        <v>12</v>
      </c>
      <c r="AA474" t="s">
        <v>65</v>
      </c>
      <c r="AB474" t="s">
        <v>56</v>
      </c>
      <c r="AC474" t="s">
        <v>56</v>
      </c>
      <c r="AD474">
        <v>0</v>
      </c>
      <c r="AE474" t="s">
        <v>66</v>
      </c>
      <c r="AF474" t="s">
        <v>56</v>
      </c>
      <c r="AG474" t="s">
        <v>56</v>
      </c>
      <c r="AH474" t="s">
        <v>56</v>
      </c>
      <c r="AI474" t="s">
        <v>56</v>
      </c>
      <c r="AJ474" t="s">
        <v>2583</v>
      </c>
      <c r="AK474" t="s">
        <v>2584</v>
      </c>
      <c r="AL474" t="s">
        <v>56</v>
      </c>
      <c r="AM474" t="s">
        <v>56</v>
      </c>
      <c r="AN474" t="s">
        <v>56</v>
      </c>
      <c r="AO474" t="s">
        <v>56</v>
      </c>
      <c r="AP474" t="s">
        <v>56</v>
      </c>
      <c r="AQ474" t="s">
        <v>71</v>
      </c>
      <c r="AR474" t="s">
        <v>56</v>
      </c>
      <c r="AS474" t="s">
        <v>56</v>
      </c>
      <c r="AT474" t="s">
        <v>56</v>
      </c>
      <c r="AU474" t="s">
        <v>56</v>
      </c>
      <c r="AV474" t="s">
        <v>56</v>
      </c>
      <c r="AW474" t="s">
        <v>56</v>
      </c>
      <c r="AX474">
        <v>4</v>
      </c>
    </row>
    <row r="475" spans="1:50" x14ac:dyDescent="0.25">
      <c r="A475" t="str">
        <f>"20200201125017186878"</f>
        <v>20200201125017186878</v>
      </c>
      <c r="B475" t="s">
        <v>50</v>
      </c>
      <c r="C475" t="s">
        <v>50</v>
      </c>
      <c r="D475" t="s">
        <v>417</v>
      </c>
      <c r="E475" t="str">
        <f>"761470851601"</f>
        <v>761470851601</v>
      </c>
      <c r="F475" t="s">
        <v>52</v>
      </c>
      <c r="G475">
        <v>900472731</v>
      </c>
      <c r="H475">
        <v>76147</v>
      </c>
      <c r="I475" t="s">
        <v>53</v>
      </c>
      <c r="J475">
        <v>2146686</v>
      </c>
      <c r="K475" t="s">
        <v>54</v>
      </c>
      <c r="L475">
        <v>10110853</v>
      </c>
      <c r="M475" t="s">
        <v>897</v>
      </c>
      <c r="N475" t="s">
        <v>291</v>
      </c>
      <c r="O475" t="s">
        <v>1962</v>
      </c>
      <c r="P475" t="s">
        <v>2466</v>
      </c>
      <c r="Q475">
        <v>1217</v>
      </c>
      <c r="R475" t="s">
        <v>54</v>
      </c>
      <c r="S475">
        <v>29464474</v>
      </c>
      <c r="T475" t="s">
        <v>59</v>
      </c>
      <c r="U475" t="s">
        <v>2581</v>
      </c>
      <c r="V475" t="s">
        <v>560</v>
      </c>
      <c r="W475" t="s">
        <v>2582</v>
      </c>
      <c r="X475" t="s">
        <v>1302</v>
      </c>
      <c r="Y475" t="s">
        <v>64</v>
      </c>
      <c r="Z475">
        <v>12</v>
      </c>
      <c r="AA475" t="s">
        <v>65</v>
      </c>
      <c r="AB475" t="s">
        <v>56</v>
      </c>
      <c r="AC475" t="s">
        <v>56</v>
      </c>
      <c r="AD475">
        <v>0</v>
      </c>
      <c r="AE475" t="s">
        <v>66</v>
      </c>
      <c r="AF475" t="s">
        <v>56</v>
      </c>
      <c r="AG475" t="s">
        <v>56</v>
      </c>
      <c r="AH475" t="s">
        <v>56</v>
      </c>
      <c r="AI475" t="s">
        <v>56</v>
      </c>
      <c r="AJ475" t="s">
        <v>2583</v>
      </c>
      <c r="AK475" t="s">
        <v>2584</v>
      </c>
      <c r="AL475" t="s">
        <v>56</v>
      </c>
      <c r="AM475" t="s">
        <v>56</v>
      </c>
      <c r="AN475" t="s">
        <v>56</v>
      </c>
      <c r="AO475" t="s">
        <v>56</v>
      </c>
      <c r="AP475" t="s">
        <v>56</v>
      </c>
      <c r="AQ475" t="s">
        <v>71</v>
      </c>
      <c r="AR475" t="s">
        <v>56</v>
      </c>
      <c r="AS475" t="s">
        <v>56</v>
      </c>
      <c r="AT475" t="s">
        <v>56</v>
      </c>
      <c r="AU475" t="s">
        <v>56</v>
      </c>
      <c r="AV475" t="s">
        <v>56</v>
      </c>
      <c r="AW475" t="s">
        <v>56</v>
      </c>
      <c r="AX475">
        <v>4</v>
      </c>
    </row>
    <row r="476" spans="1:50" x14ac:dyDescent="0.25">
      <c r="A476" t="str">
        <f>"20200128176017094384"</f>
        <v>20200128176017094384</v>
      </c>
      <c r="B476" t="s">
        <v>151</v>
      </c>
      <c r="C476" t="s">
        <v>151</v>
      </c>
      <c r="D476" t="s">
        <v>2585</v>
      </c>
      <c r="E476" t="str">
        <f>"230010113401"</f>
        <v>230010113401</v>
      </c>
      <c r="F476" t="s">
        <v>52</v>
      </c>
      <c r="G476">
        <v>830504734</v>
      </c>
      <c r="H476">
        <v>23001</v>
      </c>
      <c r="I476" t="s">
        <v>2118</v>
      </c>
      <c r="J476">
        <v>57477910608</v>
      </c>
      <c r="K476" t="s">
        <v>54</v>
      </c>
      <c r="L476">
        <v>79470036</v>
      </c>
      <c r="M476" t="s">
        <v>132</v>
      </c>
      <c r="N476" t="s">
        <v>56</v>
      </c>
      <c r="O476" t="s">
        <v>2586</v>
      </c>
      <c r="P476" t="s">
        <v>1073</v>
      </c>
      <c r="Q476" t="s">
        <v>2587</v>
      </c>
      <c r="R476" t="s">
        <v>54</v>
      </c>
      <c r="S476">
        <v>50868608</v>
      </c>
      <c r="T476" t="s">
        <v>2588</v>
      </c>
      <c r="U476" t="s">
        <v>1006</v>
      </c>
      <c r="V476" t="s">
        <v>198</v>
      </c>
      <c r="W476" t="s">
        <v>726</v>
      </c>
      <c r="X476" t="s">
        <v>2002</v>
      </c>
      <c r="Y476" t="s">
        <v>136</v>
      </c>
      <c r="Z476">
        <v>12</v>
      </c>
      <c r="AA476" t="s">
        <v>65</v>
      </c>
      <c r="AB476" t="s">
        <v>56</v>
      </c>
      <c r="AC476" t="s">
        <v>56</v>
      </c>
      <c r="AD476">
        <v>0</v>
      </c>
      <c r="AE476" t="s">
        <v>66</v>
      </c>
      <c r="AF476" t="s">
        <v>56</v>
      </c>
      <c r="AG476" t="s">
        <v>56</v>
      </c>
      <c r="AH476" t="s">
        <v>56</v>
      </c>
      <c r="AI476" t="s">
        <v>56</v>
      </c>
      <c r="AJ476" t="s">
        <v>536</v>
      </c>
      <c r="AK476" t="s">
        <v>537</v>
      </c>
      <c r="AL476" t="s">
        <v>56</v>
      </c>
      <c r="AM476" t="s">
        <v>56</v>
      </c>
      <c r="AN476" t="s">
        <v>56</v>
      </c>
      <c r="AO476" t="s">
        <v>56</v>
      </c>
      <c r="AP476" t="s">
        <v>56</v>
      </c>
      <c r="AQ476" t="s">
        <v>71</v>
      </c>
      <c r="AR476" t="s">
        <v>56</v>
      </c>
      <c r="AS476" t="s">
        <v>56</v>
      </c>
      <c r="AT476" t="s">
        <v>56</v>
      </c>
      <c r="AU476" t="s">
        <v>56</v>
      </c>
      <c r="AV476" t="s">
        <v>56</v>
      </c>
      <c r="AW476" t="s">
        <v>56</v>
      </c>
      <c r="AX476">
        <v>4</v>
      </c>
    </row>
    <row r="477" spans="1:50" x14ac:dyDescent="0.25">
      <c r="A477" t="str">
        <f>"20200130127017128868"</f>
        <v>20200130127017128868</v>
      </c>
      <c r="B477" t="s">
        <v>124</v>
      </c>
      <c r="C477" t="s">
        <v>124</v>
      </c>
      <c r="D477" t="s">
        <v>2589</v>
      </c>
      <c r="E477" t="str">
        <f>"200010090101"</f>
        <v>200010090101</v>
      </c>
      <c r="F477" t="s">
        <v>52</v>
      </c>
      <c r="G477">
        <v>900016598</v>
      </c>
      <c r="H477">
        <v>20001</v>
      </c>
      <c r="I477" t="s">
        <v>843</v>
      </c>
      <c r="J477">
        <v>5898632</v>
      </c>
      <c r="K477" t="s">
        <v>338</v>
      </c>
      <c r="L477">
        <v>548066</v>
      </c>
      <c r="M477" t="s">
        <v>1928</v>
      </c>
      <c r="N477" t="s">
        <v>2016</v>
      </c>
      <c r="O477" t="s">
        <v>2017</v>
      </c>
      <c r="P477" t="s">
        <v>169</v>
      </c>
      <c r="Q477">
        <v>548066</v>
      </c>
      <c r="R477" t="s">
        <v>54</v>
      </c>
      <c r="S477">
        <v>77014161</v>
      </c>
      <c r="T477" t="s">
        <v>897</v>
      </c>
      <c r="U477" t="s">
        <v>2590</v>
      </c>
      <c r="V477" t="s">
        <v>883</v>
      </c>
      <c r="W477" t="s">
        <v>1878</v>
      </c>
      <c r="X477" t="s">
        <v>462</v>
      </c>
      <c r="Y477" t="s">
        <v>86</v>
      </c>
      <c r="Z477">
        <v>22</v>
      </c>
      <c r="AA477" t="s">
        <v>102</v>
      </c>
      <c r="AB477">
        <v>0</v>
      </c>
      <c r="AC477" t="s">
        <v>66</v>
      </c>
      <c r="AD477">
        <v>0</v>
      </c>
      <c r="AE477" t="s">
        <v>66</v>
      </c>
      <c r="AF477" t="s">
        <v>56</v>
      </c>
      <c r="AG477" t="s">
        <v>56</v>
      </c>
      <c r="AH477" t="s">
        <v>56</v>
      </c>
      <c r="AI477" t="s">
        <v>56</v>
      </c>
      <c r="AJ477" t="s">
        <v>265</v>
      </c>
      <c r="AK477" t="s">
        <v>266</v>
      </c>
      <c r="AL477" t="s">
        <v>2591</v>
      </c>
      <c r="AM477" t="s">
        <v>2592</v>
      </c>
      <c r="AN477" t="s">
        <v>56</v>
      </c>
      <c r="AO477" t="s">
        <v>56</v>
      </c>
      <c r="AP477" t="s">
        <v>56</v>
      </c>
      <c r="AQ477" t="s">
        <v>71</v>
      </c>
      <c r="AR477" t="s">
        <v>56</v>
      </c>
      <c r="AS477" t="s">
        <v>56</v>
      </c>
      <c r="AT477" t="s">
        <v>56</v>
      </c>
      <c r="AU477" t="s">
        <v>56</v>
      </c>
      <c r="AV477" t="s">
        <v>56</v>
      </c>
      <c r="AW477" t="s">
        <v>56</v>
      </c>
      <c r="AX477">
        <v>4</v>
      </c>
    </row>
    <row r="478" spans="1:50" x14ac:dyDescent="0.25">
      <c r="A478" t="str">
        <f>"20200130178017128815"</f>
        <v>20200130178017128815</v>
      </c>
      <c r="B478" t="s">
        <v>124</v>
      </c>
      <c r="C478" t="s">
        <v>124</v>
      </c>
      <c r="D478" t="s">
        <v>2593</v>
      </c>
      <c r="E478" t="str">
        <f>"200010090101"</f>
        <v>200010090101</v>
      </c>
      <c r="F478" t="s">
        <v>52</v>
      </c>
      <c r="G478">
        <v>900016598</v>
      </c>
      <c r="H478">
        <v>20001</v>
      </c>
      <c r="I478" t="s">
        <v>843</v>
      </c>
      <c r="J478">
        <v>5898632</v>
      </c>
      <c r="K478" t="s">
        <v>338</v>
      </c>
      <c r="L478">
        <v>548066</v>
      </c>
      <c r="M478" t="s">
        <v>1928</v>
      </c>
      <c r="N478" t="s">
        <v>2016</v>
      </c>
      <c r="O478" t="s">
        <v>2017</v>
      </c>
      <c r="P478" t="s">
        <v>169</v>
      </c>
      <c r="Q478">
        <v>548066</v>
      </c>
      <c r="R478" t="s">
        <v>54</v>
      </c>
      <c r="S478">
        <v>77014161</v>
      </c>
      <c r="T478" t="s">
        <v>897</v>
      </c>
      <c r="U478" t="s">
        <v>2590</v>
      </c>
      <c r="V478" t="s">
        <v>883</v>
      </c>
      <c r="W478" t="s">
        <v>1878</v>
      </c>
      <c r="X478" t="s">
        <v>462</v>
      </c>
      <c r="Y478" t="s">
        <v>86</v>
      </c>
      <c r="Z478">
        <v>22</v>
      </c>
      <c r="AA478" t="s">
        <v>102</v>
      </c>
      <c r="AB478">
        <v>0</v>
      </c>
      <c r="AC478" t="s">
        <v>66</v>
      </c>
      <c r="AD478">
        <v>0</v>
      </c>
      <c r="AE478" t="s">
        <v>66</v>
      </c>
      <c r="AF478" t="s">
        <v>56</v>
      </c>
      <c r="AG478" t="s">
        <v>56</v>
      </c>
      <c r="AH478" t="s">
        <v>56</v>
      </c>
      <c r="AI478" t="s">
        <v>56</v>
      </c>
      <c r="AJ478" t="s">
        <v>265</v>
      </c>
      <c r="AK478" t="s">
        <v>266</v>
      </c>
      <c r="AL478" t="s">
        <v>56</v>
      </c>
      <c r="AM478" t="s">
        <v>56</v>
      </c>
      <c r="AN478" t="s">
        <v>56</v>
      </c>
      <c r="AO478" t="s">
        <v>56</v>
      </c>
      <c r="AP478" t="s">
        <v>56</v>
      </c>
      <c r="AQ478" t="s">
        <v>71</v>
      </c>
      <c r="AR478" t="s">
        <v>56</v>
      </c>
      <c r="AS478" t="s">
        <v>56</v>
      </c>
      <c r="AT478" t="s">
        <v>56</v>
      </c>
      <c r="AU478" t="s">
        <v>56</v>
      </c>
      <c r="AV478" t="s">
        <v>56</v>
      </c>
      <c r="AW478" t="s">
        <v>56</v>
      </c>
      <c r="AX478">
        <v>4</v>
      </c>
    </row>
    <row r="479" spans="1:50" x14ac:dyDescent="0.25">
      <c r="A479" t="str">
        <f>"20200127182017045009"</f>
        <v>20200127182017045009</v>
      </c>
      <c r="B479" t="s">
        <v>190</v>
      </c>
      <c r="C479" t="s">
        <v>190</v>
      </c>
      <c r="D479" t="s">
        <v>2594</v>
      </c>
      <c r="E479" t="str">
        <f>"270010032201"</f>
        <v>270010032201</v>
      </c>
      <c r="F479" t="s">
        <v>52</v>
      </c>
      <c r="G479">
        <v>900189713</v>
      </c>
      <c r="H479">
        <v>27001</v>
      </c>
      <c r="I479" t="s">
        <v>853</v>
      </c>
      <c r="J479">
        <v>6707530</v>
      </c>
      <c r="K479" t="s">
        <v>54</v>
      </c>
      <c r="L479">
        <v>80019443</v>
      </c>
      <c r="M479" t="s">
        <v>854</v>
      </c>
      <c r="N479" t="s">
        <v>86</v>
      </c>
      <c r="O479" t="s">
        <v>855</v>
      </c>
      <c r="P479" t="s">
        <v>856</v>
      </c>
      <c r="Q479">
        <v>271374</v>
      </c>
      <c r="R479" t="s">
        <v>54</v>
      </c>
      <c r="S479">
        <v>1003932444</v>
      </c>
      <c r="T479" t="s">
        <v>1530</v>
      </c>
      <c r="U479" t="s">
        <v>678</v>
      </c>
      <c r="V479" t="s">
        <v>2595</v>
      </c>
      <c r="W479" t="s">
        <v>263</v>
      </c>
      <c r="X479" t="s">
        <v>860</v>
      </c>
      <c r="Y479" t="s">
        <v>717</v>
      </c>
      <c r="Z479">
        <v>12</v>
      </c>
      <c r="AA479" t="s">
        <v>65</v>
      </c>
      <c r="AB479" t="s">
        <v>56</v>
      </c>
      <c r="AC479" t="s">
        <v>56</v>
      </c>
      <c r="AD479">
        <v>0</v>
      </c>
      <c r="AE479" t="s">
        <v>66</v>
      </c>
      <c r="AF479" t="s">
        <v>56</v>
      </c>
      <c r="AG479" t="s">
        <v>56</v>
      </c>
      <c r="AH479" t="s">
        <v>56</v>
      </c>
      <c r="AI479" t="s">
        <v>56</v>
      </c>
      <c r="AJ479" t="s">
        <v>2596</v>
      </c>
      <c r="AK479" t="s">
        <v>2597</v>
      </c>
      <c r="AL479" t="s">
        <v>56</v>
      </c>
      <c r="AM479" t="s">
        <v>56</v>
      </c>
      <c r="AN479" t="s">
        <v>56</v>
      </c>
      <c r="AO479" t="s">
        <v>56</v>
      </c>
      <c r="AP479" t="s">
        <v>56</v>
      </c>
      <c r="AQ479" t="s">
        <v>71</v>
      </c>
      <c r="AR479" t="s">
        <v>56</v>
      </c>
      <c r="AS479" t="s">
        <v>56</v>
      </c>
      <c r="AT479" t="s">
        <v>56</v>
      </c>
      <c r="AU479" t="s">
        <v>56</v>
      </c>
      <c r="AV479" t="s">
        <v>56</v>
      </c>
      <c r="AW479" t="s">
        <v>56</v>
      </c>
      <c r="AX479">
        <v>4</v>
      </c>
    </row>
    <row r="480" spans="1:50" x14ac:dyDescent="0.25">
      <c r="A480" t="str">
        <f>"20200124176017002766"</f>
        <v>20200124176017002766</v>
      </c>
      <c r="B480" t="s">
        <v>201</v>
      </c>
      <c r="C480" t="s">
        <v>201</v>
      </c>
      <c r="D480" t="s">
        <v>2598</v>
      </c>
      <c r="E480" t="str">
        <f>"768230220101"</f>
        <v>768230220101</v>
      </c>
      <c r="F480" t="s">
        <v>52</v>
      </c>
      <c r="G480">
        <v>891900361</v>
      </c>
      <c r="H480">
        <v>76823</v>
      </c>
      <c r="I480" t="s">
        <v>2599</v>
      </c>
      <c r="J480">
        <v>2210565</v>
      </c>
      <c r="K480" t="s">
        <v>54</v>
      </c>
      <c r="L480">
        <v>42154230</v>
      </c>
      <c r="M480" t="s">
        <v>2600</v>
      </c>
      <c r="N480" t="s">
        <v>2601</v>
      </c>
      <c r="O480" t="s">
        <v>2602</v>
      </c>
      <c r="P480" t="s">
        <v>742</v>
      </c>
      <c r="Q480">
        <v>42154230</v>
      </c>
      <c r="R480" t="s">
        <v>54</v>
      </c>
      <c r="S480">
        <v>2684273</v>
      </c>
      <c r="T480" t="s">
        <v>1123</v>
      </c>
      <c r="U480" t="s">
        <v>94</v>
      </c>
      <c r="V480" t="s">
        <v>2603</v>
      </c>
      <c r="W480" t="s">
        <v>1789</v>
      </c>
      <c r="X480" t="s">
        <v>573</v>
      </c>
      <c r="Y480" t="s">
        <v>64</v>
      </c>
      <c r="Z480">
        <v>12</v>
      </c>
      <c r="AA480" t="s">
        <v>65</v>
      </c>
      <c r="AB480" t="s">
        <v>56</v>
      </c>
      <c r="AC480" t="s">
        <v>56</v>
      </c>
      <c r="AD480">
        <v>0</v>
      </c>
      <c r="AE480" t="s">
        <v>66</v>
      </c>
      <c r="AF480" t="s">
        <v>56</v>
      </c>
      <c r="AG480" t="s">
        <v>56</v>
      </c>
      <c r="AH480" t="s">
        <v>56</v>
      </c>
      <c r="AI480" t="s">
        <v>56</v>
      </c>
      <c r="AJ480" t="s">
        <v>1119</v>
      </c>
      <c r="AK480" t="s">
        <v>1120</v>
      </c>
      <c r="AL480" t="s">
        <v>56</v>
      </c>
      <c r="AM480" t="s">
        <v>56</v>
      </c>
      <c r="AN480" t="s">
        <v>56</v>
      </c>
      <c r="AO480" t="s">
        <v>56</v>
      </c>
      <c r="AP480" t="s">
        <v>56</v>
      </c>
      <c r="AQ480" t="s">
        <v>71</v>
      </c>
      <c r="AR480" t="s">
        <v>56</v>
      </c>
      <c r="AS480" t="s">
        <v>56</v>
      </c>
      <c r="AT480" t="s">
        <v>56</v>
      </c>
      <c r="AU480" t="s">
        <v>56</v>
      </c>
      <c r="AV480" t="s">
        <v>56</v>
      </c>
      <c r="AW480" t="s">
        <v>56</v>
      </c>
      <c r="AX480">
        <v>4</v>
      </c>
    </row>
    <row r="481" spans="1:50" x14ac:dyDescent="0.25">
      <c r="A481" t="str">
        <f>"20200124157017010114"</f>
        <v>20200124157017010114</v>
      </c>
      <c r="B481" t="s">
        <v>201</v>
      </c>
      <c r="C481" t="s">
        <v>201</v>
      </c>
      <c r="D481" t="s">
        <v>2604</v>
      </c>
      <c r="E481" t="str">
        <f>"132440049301"</f>
        <v>132440049301</v>
      </c>
      <c r="F481" t="s">
        <v>52</v>
      </c>
      <c r="G481">
        <v>900196346</v>
      </c>
      <c r="H481">
        <v>13244</v>
      </c>
      <c r="I481" t="s">
        <v>1822</v>
      </c>
      <c r="J481">
        <v>6861950</v>
      </c>
      <c r="K481" t="s">
        <v>54</v>
      </c>
      <c r="L481">
        <v>73231771</v>
      </c>
      <c r="M481" t="s">
        <v>132</v>
      </c>
      <c r="N481" t="s">
        <v>596</v>
      </c>
      <c r="O481" t="s">
        <v>472</v>
      </c>
      <c r="P481" t="s">
        <v>597</v>
      </c>
      <c r="Q481" t="s">
        <v>598</v>
      </c>
      <c r="R481" t="s">
        <v>54</v>
      </c>
      <c r="S481">
        <v>22905206</v>
      </c>
      <c r="T481" t="s">
        <v>1766</v>
      </c>
      <c r="U481" t="s">
        <v>600</v>
      </c>
      <c r="V481" t="s">
        <v>2605</v>
      </c>
      <c r="W481" t="s">
        <v>1528</v>
      </c>
      <c r="X481" t="s">
        <v>1277</v>
      </c>
      <c r="Y481" t="s">
        <v>101</v>
      </c>
      <c r="Z481">
        <v>12</v>
      </c>
      <c r="AA481" t="s">
        <v>65</v>
      </c>
      <c r="AB481" t="s">
        <v>56</v>
      </c>
      <c r="AC481" t="s">
        <v>56</v>
      </c>
      <c r="AD481">
        <v>0</v>
      </c>
      <c r="AE481" t="s">
        <v>66</v>
      </c>
      <c r="AF481" t="s">
        <v>56</v>
      </c>
      <c r="AG481" t="s">
        <v>56</v>
      </c>
      <c r="AH481" t="s">
        <v>56</v>
      </c>
      <c r="AI481" t="s">
        <v>56</v>
      </c>
      <c r="AJ481" t="s">
        <v>454</v>
      </c>
      <c r="AK481" t="s">
        <v>455</v>
      </c>
      <c r="AL481" t="s">
        <v>56</v>
      </c>
      <c r="AM481" t="s">
        <v>56</v>
      </c>
      <c r="AN481" t="s">
        <v>56</v>
      </c>
      <c r="AO481" t="s">
        <v>56</v>
      </c>
      <c r="AP481" t="s">
        <v>56</v>
      </c>
      <c r="AQ481" t="s">
        <v>71</v>
      </c>
      <c r="AR481" t="s">
        <v>56</v>
      </c>
      <c r="AS481" t="s">
        <v>56</v>
      </c>
      <c r="AT481" t="s">
        <v>56</v>
      </c>
      <c r="AU481" t="s">
        <v>56</v>
      </c>
      <c r="AV481" t="s">
        <v>56</v>
      </c>
      <c r="AW481" t="s">
        <v>56</v>
      </c>
      <c r="AX481">
        <v>4</v>
      </c>
    </row>
    <row r="482" spans="1:50" x14ac:dyDescent="0.25">
      <c r="A482" t="str">
        <f>"20200129159017102831"</f>
        <v>20200129159017102831</v>
      </c>
      <c r="B482" t="s">
        <v>72</v>
      </c>
      <c r="C482" t="s">
        <v>72</v>
      </c>
      <c r="D482" t="s">
        <v>896</v>
      </c>
      <c r="E482" t="str">
        <f>"760010371501"</f>
        <v>760010371501</v>
      </c>
      <c r="F482" t="s">
        <v>52</v>
      </c>
      <c r="G482">
        <v>890303841</v>
      </c>
      <c r="H482">
        <v>76001</v>
      </c>
      <c r="I482" t="s">
        <v>1578</v>
      </c>
      <c r="J482">
        <v>4892222</v>
      </c>
      <c r="K482" t="s">
        <v>54</v>
      </c>
      <c r="L482">
        <v>16656500</v>
      </c>
      <c r="M482" t="s">
        <v>2606</v>
      </c>
      <c r="N482" t="s">
        <v>1012</v>
      </c>
      <c r="O482" t="s">
        <v>801</v>
      </c>
      <c r="P482" t="s">
        <v>2607</v>
      </c>
      <c r="Q482" t="s">
        <v>2608</v>
      </c>
      <c r="R482" t="s">
        <v>54</v>
      </c>
      <c r="S482">
        <v>26295924</v>
      </c>
      <c r="T482" t="s">
        <v>2609</v>
      </c>
      <c r="U482" t="s">
        <v>62</v>
      </c>
      <c r="V482" t="s">
        <v>2610</v>
      </c>
      <c r="W482" t="s">
        <v>2611</v>
      </c>
      <c r="X482" t="s">
        <v>2612</v>
      </c>
      <c r="Y482" t="s">
        <v>717</v>
      </c>
      <c r="Z482">
        <v>12</v>
      </c>
      <c r="AA482" t="s">
        <v>65</v>
      </c>
      <c r="AB482" t="s">
        <v>56</v>
      </c>
      <c r="AC482" t="s">
        <v>56</v>
      </c>
      <c r="AD482">
        <v>0</v>
      </c>
      <c r="AE482" t="s">
        <v>66</v>
      </c>
      <c r="AF482" t="s">
        <v>56</v>
      </c>
      <c r="AG482" t="s">
        <v>56</v>
      </c>
      <c r="AH482" t="s">
        <v>56</v>
      </c>
      <c r="AI482" t="s">
        <v>56</v>
      </c>
      <c r="AJ482" t="s">
        <v>69</v>
      </c>
      <c r="AK482" t="s">
        <v>70</v>
      </c>
      <c r="AL482" t="s">
        <v>56</v>
      </c>
      <c r="AM482" t="s">
        <v>56</v>
      </c>
      <c r="AN482" t="s">
        <v>56</v>
      </c>
      <c r="AO482" t="s">
        <v>56</v>
      </c>
      <c r="AP482" t="s">
        <v>56</v>
      </c>
      <c r="AQ482" t="s">
        <v>71</v>
      </c>
      <c r="AR482" t="s">
        <v>56</v>
      </c>
      <c r="AS482" t="s">
        <v>56</v>
      </c>
      <c r="AT482" t="s">
        <v>56</v>
      </c>
      <c r="AU482" t="s">
        <v>56</v>
      </c>
      <c r="AV482" t="s">
        <v>56</v>
      </c>
      <c r="AW482" t="s">
        <v>56</v>
      </c>
      <c r="AX482">
        <v>4</v>
      </c>
    </row>
    <row r="483" spans="1:50" x14ac:dyDescent="0.25">
      <c r="A483" t="str">
        <f>"20200128131017079171"</f>
        <v>20200128131017079171</v>
      </c>
      <c r="B483" t="s">
        <v>151</v>
      </c>
      <c r="C483" t="s">
        <v>151</v>
      </c>
      <c r="D483" t="s">
        <v>2613</v>
      </c>
      <c r="E483" t="str">
        <f>"660010211101"</f>
        <v>660010211101</v>
      </c>
      <c r="F483" t="s">
        <v>52</v>
      </c>
      <c r="G483">
        <v>900743259</v>
      </c>
      <c r="H483">
        <v>66001</v>
      </c>
      <c r="I483" t="s">
        <v>1405</v>
      </c>
      <c r="J483" t="s">
        <v>1406</v>
      </c>
      <c r="K483" t="s">
        <v>338</v>
      </c>
      <c r="L483">
        <v>515709</v>
      </c>
      <c r="M483" t="s">
        <v>2614</v>
      </c>
      <c r="N483" t="s">
        <v>791</v>
      </c>
      <c r="O483" t="s">
        <v>403</v>
      </c>
      <c r="P483" t="s">
        <v>2615</v>
      </c>
      <c r="Q483">
        <v>251544</v>
      </c>
      <c r="R483" t="s">
        <v>54</v>
      </c>
      <c r="S483">
        <v>11786938</v>
      </c>
      <c r="T483" t="s">
        <v>2616</v>
      </c>
      <c r="U483" t="s">
        <v>62</v>
      </c>
      <c r="V483" t="s">
        <v>2617</v>
      </c>
      <c r="W483" t="s">
        <v>376</v>
      </c>
      <c r="X483" t="s">
        <v>860</v>
      </c>
      <c r="Y483" t="s">
        <v>717</v>
      </c>
      <c r="Z483">
        <v>12</v>
      </c>
      <c r="AA483" t="s">
        <v>65</v>
      </c>
      <c r="AB483" t="s">
        <v>56</v>
      </c>
      <c r="AC483" t="s">
        <v>56</v>
      </c>
      <c r="AD483">
        <v>0</v>
      </c>
      <c r="AE483" t="s">
        <v>66</v>
      </c>
      <c r="AF483" t="s">
        <v>56</v>
      </c>
      <c r="AG483" t="s">
        <v>56</v>
      </c>
      <c r="AH483" t="s">
        <v>56</v>
      </c>
      <c r="AI483" t="s">
        <v>56</v>
      </c>
      <c r="AJ483" t="s">
        <v>2569</v>
      </c>
      <c r="AK483" t="s">
        <v>2570</v>
      </c>
      <c r="AL483" t="s">
        <v>56</v>
      </c>
      <c r="AM483" t="s">
        <v>56</v>
      </c>
      <c r="AN483" t="s">
        <v>56</v>
      </c>
      <c r="AO483" t="s">
        <v>56</v>
      </c>
      <c r="AP483" t="s">
        <v>56</v>
      </c>
      <c r="AQ483" t="s">
        <v>71</v>
      </c>
      <c r="AR483" t="s">
        <v>56</v>
      </c>
      <c r="AS483" t="s">
        <v>56</v>
      </c>
      <c r="AT483" t="s">
        <v>56</v>
      </c>
      <c r="AU483" t="s">
        <v>56</v>
      </c>
      <c r="AV483" t="s">
        <v>56</v>
      </c>
      <c r="AW483" t="s">
        <v>56</v>
      </c>
      <c r="AX483">
        <v>4</v>
      </c>
    </row>
    <row r="484" spans="1:50" x14ac:dyDescent="0.25">
      <c r="A484" t="str">
        <f>"20200125158017025604"</f>
        <v>20200125158017025604</v>
      </c>
      <c r="B484" t="s">
        <v>752</v>
      </c>
      <c r="C484" t="s">
        <v>752</v>
      </c>
      <c r="D484" t="s">
        <v>2618</v>
      </c>
      <c r="E484" t="str">
        <f>"080010445439"</f>
        <v>080010445439</v>
      </c>
      <c r="F484" t="s">
        <v>52</v>
      </c>
      <c r="G484">
        <v>901139193</v>
      </c>
      <c r="H484" t="s">
        <v>112</v>
      </c>
      <c r="I484" t="s">
        <v>2619</v>
      </c>
      <c r="J484">
        <v>3781483</v>
      </c>
      <c r="K484" t="s">
        <v>54</v>
      </c>
      <c r="L484">
        <v>1045678903</v>
      </c>
      <c r="M484" t="s">
        <v>2475</v>
      </c>
      <c r="N484" t="s">
        <v>638</v>
      </c>
      <c r="O484" t="s">
        <v>1266</v>
      </c>
      <c r="P484" t="s">
        <v>2620</v>
      </c>
      <c r="Q484" t="s">
        <v>2621</v>
      </c>
      <c r="R484" t="s">
        <v>54</v>
      </c>
      <c r="S484">
        <v>55240260</v>
      </c>
      <c r="T484" t="s">
        <v>1341</v>
      </c>
      <c r="U484" t="s">
        <v>424</v>
      </c>
      <c r="V484" t="s">
        <v>109</v>
      </c>
      <c r="W484" t="s">
        <v>2009</v>
      </c>
      <c r="X484" t="s">
        <v>120</v>
      </c>
      <c r="Y484" t="s">
        <v>121</v>
      </c>
      <c r="Z484">
        <v>12</v>
      </c>
      <c r="AA484" t="s">
        <v>65</v>
      </c>
      <c r="AB484" t="s">
        <v>56</v>
      </c>
      <c r="AC484" t="s">
        <v>56</v>
      </c>
      <c r="AD484">
        <v>0</v>
      </c>
      <c r="AE484" t="s">
        <v>66</v>
      </c>
      <c r="AF484" t="s">
        <v>56</v>
      </c>
      <c r="AG484" t="s">
        <v>56</v>
      </c>
      <c r="AH484" t="s">
        <v>56</v>
      </c>
      <c r="AI484" t="s">
        <v>56</v>
      </c>
      <c r="AJ484" t="s">
        <v>828</v>
      </c>
      <c r="AK484" t="s">
        <v>829</v>
      </c>
      <c r="AL484" t="s">
        <v>56</v>
      </c>
      <c r="AM484" t="s">
        <v>56</v>
      </c>
      <c r="AN484" t="s">
        <v>56</v>
      </c>
      <c r="AO484" t="s">
        <v>56</v>
      </c>
      <c r="AP484" t="s">
        <v>56</v>
      </c>
      <c r="AQ484" t="s">
        <v>71</v>
      </c>
      <c r="AR484" t="s">
        <v>56</v>
      </c>
      <c r="AS484" t="s">
        <v>56</v>
      </c>
      <c r="AT484" t="s">
        <v>56</v>
      </c>
      <c r="AU484" t="s">
        <v>56</v>
      </c>
      <c r="AV484" t="s">
        <v>56</v>
      </c>
      <c r="AW484" t="s">
        <v>56</v>
      </c>
      <c r="AX484">
        <v>4</v>
      </c>
    </row>
    <row r="485" spans="1:50" x14ac:dyDescent="0.25">
      <c r="A485" t="str">
        <f>"20200124199017016795"</f>
        <v>20200124199017016795</v>
      </c>
      <c r="B485" t="s">
        <v>201</v>
      </c>
      <c r="C485" t="s">
        <v>201</v>
      </c>
      <c r="D485" t="s">
        <v>2622</v>
      </c>
      <c r="E485" t="str">
        <f>"080010022301"</f>
        <v>080010022301</v>
      </c>
      <c r="F485" t="s">
        <v>52</v>
      </c>
      <c r="G485">
        <v>72125229</v>
      </c>
      <c r="H485" t="s">
        <v>112</v>
      </c>
      <c r="I485" t="s">
        <v>303</v>
      </c>
      <c r="J485">
        <v>3781924</v>
      </c>
      <c r="K485" t="s">
        <v>54</v>
      </c>
      <c r="L485">
        <v>72125229</v>
      </c>
      <c r="M485" t="s">
        <v>304</v>
      </c>
      <c r="N485" t="s">
        <v>56</v>
      </c>
      <c r="O485" t="s">
        <v>305</v>
      </c>
      <c r="P485" t="s">
        <v>306</v>
      </c>
      <c r="Q485" t="s">
        <v>56</v>
      </c>
      <c r="R485" t="s">
        <v>54</v>
      </c>
      <c r="S485">
        <v>8744340</v>
      </c>
      <c r="T485" t="s">
        <v>2623</v>
      </c>
      <c r="U485" t="s">
        <v>62</v>
      </c>
      <c r="V485" t="s">
        <v>99</v>
      </c>
      <c r="W485" t="s">
        <v>193</v>
      </c>
      <c r="X485" t="s">
        <v>120</v>
      </c>
      <c r="Y485" t="s">
        <v>121</v>
      </c>
      <c r="Z485">
        <v>12</v>
      </c>
      <c r="AA485" t="s">
        <v>65</v>
      </c>
      <c r="AB485" t="s">
        <v>56</v>
      </c>
      <c r="AC485" t="s">
        <v>56</v>
      </c>
      <c r="AD485">
        <v>0</v>
      </c>
      <c r="AE485" t="s">
        <v>66</v>
      </c>
      <c r="AF485" t="s">
        <v>56</v>
      </c>
      <c r="AG485" t="s">
        <v>56</v>
      </c>
      <c r="AH485" t="s">
        <v>56</v>
      </c>
      <c r="AI485" t="s">
        <v>56</v>
      </c>
      <c r="AJ485" t="s">
        <v>310</v>
      </c>
      <c r="AK485" t="s">
        <v>311</v>
      </c>
      <c r="AL485" t="s">
        <v>56</v>
      </c>
      <c r="AM485" t="s">
        <v>56</v>
      </c>
      <c r="AN485" t="s">
        <v>56</v>
      </c>
      <c r="AO485" t="s">
        <v>56</v>
      </c>
      <c r="AP485" t="s">
        <v>56</v>
      </c>
      <c r="AQ485" t="s">
        <v>71</v>
      </c>
      <c r="AR485" t="s">
        <v>56</v>
      </c>
      <c r="AS485" t="s">
        <v>56</v>
      </c>
      <c r="AT485" t="s">
        <v>56</v>
      </c>
      <c r="AU485" t="s">
        <v>56</v>
      </c>
      <c r="AV485" t="s">
        <v>56</v>
      </c>
      <c r="AW485" t="s">
        <v>56</v>
      </c>
      <c r="AX485">
        <v>4</v>
      </c>
    </row>
    <row r="486" spans="1:50" x14ac:dyDescent="0.25">
      <c r="A486" t="str">
        <f>"20200129150017110473"</f>
        <v>20200129150017110473</v>
      </c>
      <c r="B486" t="s">
        <v>72</v>
      </c>
      <c r="C486" t="s">
        <v>72</v>
      </c>
      <c r="D486" t="s">
        <v>2624</v>
      </c>
      <c r="E486" t="str">
        <f>"086380015501"</f>
        <v>086380015501</v>
      </c>
      <c r="F486" t="s">
        <v>52</v>
      </c>
      <c r="G486">
        <v>802010241</v>
      </c>
      <c r="H486" t="s">
        <v>246</v>
      </c>
      <c r="I486" t="s">
        <v>1162</v>
      </c>
      <c r="J486">
        <v>8781332</v>
      </c>
      <c r="K486" t="s">
        <v>54</v>
      </c>
      <c r="L486">
        <v>22637225</v>
      </c>
      <c r="M486" t="s">
        <v>1163</v>
      </c>
      <c r="N486" t="s">
        <v>1164</v>
      </c>
      <c r="O486" t="s">
        <v>691</v>
      </c>
      <c r="P486" t="s">
        <v>568</v>
      </c>
      <c r="Q486">
        <v>22637225</v>
      </c>
      <c r="R486" t="s">
        <v>440</v>
      </c>
      <c r="S486">
        <v>1043022226</v>
      </c>
      <c r="T486" t="s">
        <v>2625</v>
      </c>
      <c r="U486" t="s">
        <v>282</v>
      </c>
      <c r="V486" t="s">
        <v>1945</v>
      </c>
      <c r="W486" t="s">
        <v>765</v>
      </c>
      <c r="X486" t="s">
        <v>590</v>
      </c>
      <c r="Y486" t="s">
        <v>121</v>
      </c>
      <c r="Z486">
        <v>11</v>
      </c>
      <c r="AA486" t="s">
        <v>87</v>
      </c>
      <c r="AB486" t="s">
        <v>56</v>
      </c>
      <c r="AC486" t="s">
        <v>56</v>
      </c>
      <c r="AD486">
        <v>0</v>
      </c>
      <c r="AE486" t="s">
        <v>66</v>
      </c>
      <c r="AF486" t="s">
        <v>56</v>
      </c>
      <c r="AG486" t="s">
        <v>56</v>
      </c>
      <c r="AH486" t="s">
        <v>56</v>
      </c>
      <c r="AI486" t="s">
        <v>56</v>
      </c>
      <c r="AJ486" t="s">
        <v>591</v>
      </c>
      <c r="AK486" t="s">
        <v>592</v>
      </c>
      <c r="AL486" t="s">
        <v>2626</v>
      </c>
      <c r="AM486" t="s">
        <v>2627</v>
      </c>
      <c r="AN486" t="s">
        <v>56</v>
      </c>
      <c r="AO486" t="s">
        <v>56</v>
      </c>
      <c r="AP486" t="s">
        <v>56</v>
      </c>
      <c r="AQ486" t="s">
        <v>71</v>
      </c>
      <c r="AR486" t="s">
        <v>56</v>
      </c>
      <c r="AS486" t="s">
        <v>56</v>
      </c>
      <c r="AT486" t="s">
        <v>56</v>
      </c>
      <c r="AU486" t="s">
        <v>56</v>
      </c>
      <c r="AV486" t="s">
        <v>56</v>
      </c>
      <c r="AW486" t="s">
        <v>56</v>
      </c>
      <c r="AX486">
        <v>4</v>
      </c>
    </row>
    <row r="487" spans="1:50" x14ac:dyDescent="0.25">
      <c r="A487" t="str">
        <f>"20200124130017003760"</f>
        <v>20200124130017003760</v>
      </c>
      <c r="B487" t="s">
        <v>201</v>
      </c>
      <c r="C487" t="s">
        <v>201</v>
      </c>
      <c r="D487" t="s">
        <v>2628</v>
      </c>
      <c r="E487" t="str">
        <f>"761470681501"</f>
        <v>761470681501</v>
      </c>
      <c r="F487" t="s">
        <v>52</v>
      </c>
      <c r="G487">
        <v>830515000</v>
      </c>
      <c r="H487">
        <v>76147</v>
      </c>
      <c r="I487" t="s">
        <v>1217</v>
      </c>
      <c r="J487">
        <v>2145150</v>
      </c>
      <c r="K487" t="s">
        <v>54</v>
      </c>
      <c r="L487">
        <v>16231597</v>
      </c>
      <c r="M487" t="s">
        <v>1218</v>
      </c>
      <c r="N487" t="s">
        <v>1219</v>
      </c>
      <c r="O487" t="s">
        <v>1220</v>
      </c>
      <c r="P487" t="s">
        <v>1221</v>
      </c>
      <c r="Q487">
        <v>76257504</v>
      </c>
      <c r="R487" t="s">
        <v>54</v>
      </c>
      <c r="S487">
        <v>6109664</v>
      </c>
      <c r="T487" t="s">
        <v>2629</v>
      </c>
      <c r="U487" t="s">
        <v>62</v>
      </c>
      <c r="V487" t="s">
        <v>1428</v>
      </c>
      <c r="W487" t="s">
        <v>62</v>
      </c>
      <c r="X487" t="s">
        <v>453</v>
      </c>
      <c r="Y487" t="s">
        <v>64</v>
      </c>
      <c r="Z487">
        <v>12</v>
      </c>
      <c r="AA487" t="s">
        <v>65</v>
      </c>
      <c r="AB487" t="s">
        <v>56</v>
      </c>
      <c r="AC487" t="s">
        <v>56</v>
      </c>
      <c r="AD487">
        <v>0</v>
      </c>
      <c r="AE487" t="s">
        <v>66</v>
      </c>
      <c r="AF487" t="s">
        <v>56</v>
      </c>
      <c r="AG487" t="s">
        <v>56</v>
      </c>
      <c r="AH487" t="s">
        <v>56</v>
      </c>
      <c r="AI487" t="s">
        <v>56</v>
      </c>
      <c r="AJ487" t="s">
        <v>1119</v>
      </c>
      <c r="AK487" t="s">
        <v>1120</v>
      </c>
      <c r="AL487" t="s">
        <v>56</v>
      </c>
      <c r="AM487" t="s">
        <v>56</v>
      </c>
      <c r="AN487" t="s">
        <v>56</v>
      </c>
      <c r="AO487" t="s">
        <v>56</v>
      </c>
      <c r="AP487" t="s">
        <v>56</v>
      </c>
      <c r="AQ487" t="s">
        <v>71</v>
      </c>
      <c r="AR487" t="s">
        <v>56</v>
      </c>
      <c r="AS487" t="s">
        <v>56</v>
      </c>
      <c r="AT487" t="s">
        <v>56</v>
      </c>
      <c r="AU487" t="s">
        <v>56</v>
      </c>
      <c r="AV487" t="s">
        <v>56</v>
      </c>
      <c r="AW487" t="s">
        <v>56</v>
      </c>
      <c r="AX487">
        <v>4</v>
      </c>
    </row>
    <row r="488" spans="1:50" x14ac:dyDescent="0.25">
      <c r="A488" t="str">
        <f>"20200201143017187668"</f>
        <v>20200201143017187668</v>
      </c>
      <c r="B488" t="s">
        <v>50</v>
      </c>
      <c r="C488" t="s">
        <v>50</v>
      </c>
      <c r="D488" t="s">
        <v>2630</v>
      </c>
      <c r="E488" t="str">
        <f>"080010380001"</f>
        <v>080010380001</v>
      </c>
      <c r="F488" t="s">
        <v>52</v>
      </c>
      <c r="G488">
        <v>900665930</v>
      </c>
      <c r="H488" t="s">
        <v>112</v>
      </c>
      <c r="I488" t="s">
        <v>113</v>
      </c>
      <c r="J488">
        <v>3175759202</v>
      </c>
      <c r="K488" t="s">
        <v>54</v>
      </c>
      <c r="L488">
        <v>32731221</v>
      </c>
      <c r="M488" t="s">
        <v>1823</v>
      </c>
      <c r="N488" t="s">
        <v>548</v>
      </c>
      <c r="O488" t="s">
        <v>758</v>
      </c>
      <c r="P488" t="s">
        <v>1789</v>
      </c>
      <c r="Q488" t="s">
        <v>2631</v>
      </c>
      <c r="R488" t="s">
        <v>54</v>
      </c>
      <c r="S488">
        <v>1082855680</v>
      </c>
      <c r="T488" t="s">
        <v>1971</v>
      </c>
      <c r="U488" t="s">
        <v>1032</v>
      </c>
      <c r="V488" t="s">
        <v>2632</v>
      </c>
      <c r="W488" t="s">
        <v>2633</v>
      </c>
      <c r="X488" t="s">
        <v>1045</v>
      </c>
      <c r="Y488" t="s">
        <v>345</v>
      </c>
      <c r="Z488">
        <v>11</v>
      </c>
      <c r="AA488" t="s">
        <v>87</v>
      </c>
      <c r="AB488" t="s">
        <v>56</v>
      </c>
      <c r="AC488" t="s">
        <v>56</v>
      </c>
      <c r="AD488">
        <v>0</v>
      </c>
      <c r="AE488" t="s">
        <v>66</v>
      </c>
      <c r="AF488" t="s">
        <v>56</v>
      </c>
      <c r="AG488" t="s">
        <v>56</v>
      </c>
      <c r="AH488" t="s">
        <v>56</v>
      </c>
      <c r="AI488" t="s">
        <v>56</v>
      </c>
      <c r="AJ488" t="s">
        <v>828</v>
      </c>
      <c r="AK488" t="s">
        <v>829</v>
      </c>
      <c r="AL488" t="s">
        <v>56</v>
      </c>
      <c r="AM488" t="s">
        <v>56</v>
      </c>
      <c r="AN488" t="s">
        <v>56</v>
      </c>
      <c r="AO488" t="s">
        <v>56</v>
      </c>
      <c r="AP488" t="s">
        <v>56</v>
      </c>
      <c r="AQ488" t="s">
        <v>71</v>
      </c>
      <c r="AR488" t="s">
        <v>56</v>
      </c>
      <c r="AS488" t="s">
        <v>56</v>
      </c>
      <c r="AT488" t="s">
        <v>56</v>
      </c>
      <c r="AU488" t="s">
        <v>56</v>
      </c>
      <c r="AV488" t="s">
        <v>56</v>
      </c>
      <c r="AW488" t="s">
        <v>56</v>
      </c>
      <c r="AX488">
        <v>4</v>
      </c>
    </row>
    <row r="489" spans="1:50" x14ac:dyDescent="0.25">
      <c r="A489" t="str">
        <f>"20200125166017031840"</f>
        <v>20200125166017031840</v>
      </c>
      <c r="B489" t="s">
        <v>752</v>
      </c>
      <c r="C489" t="s">
        <v>752</v>
      </c>
      <c r="D489" t="s">
        <v>2634</v>
      </c>
      <c r="E489" t="str">
        <f>"200010038901"</f>
        <v>200010038901</v>
      </c>
      <c r="F489" t="s">
        <v>52</v>
      </c>
      <c r="G489">
        <v>824004867</v>
      </c>
      <c r="H489">
        <v>20001</v>
      </c>
      <c r="I489" t="s">
        <v>1232</v>
      </c>
      <c r="J489" t="s">
        <v>1233</v>
      </c>
      <c r="K489" t="s">
        <v>54</v>
      </c>
      <c r="L489">
        <v>8711046</v>
      </c>
      <c r="M489" t="s">
        <v>261</v>
      </c>
      <c r="N489" t="s">
        <v>164</v>
      </c>
      <c r="O489" t="s">
        <v>343</v>
      </c>
      <c r="P489" t="s">
        <v>362</v>
      </c>
      <c r="Q489">
        <v>11109</v>
      </c>
      <c r="R489" t="s">
        <v>54</v>
      </c>
      <c r="S489">
        <v>5133902</v>
      </c>
      <c r="T489" t="s">
        <v>132</v>
      </c>
      <c r="U489" t="s">
        <v>424</v>
      </c>
      <c r="V489" t="s">
        <v>1015</v>
      </c>
      <c r="W489" t="s">
        <v>1015</v>
      </c>
      <c r="X489" t="s">
        <v>462</v>
      </c>
      <c r="Y489" t="s">
        <v>86</v>
      </c>
      <c r="Z489">
        <v>12</v>
      </c>
      <c r="AA489" t="s">
        <v>65</v>
      </c>
      <c r="AB489" t="s">
        <v>56</v>
      </c>
      <c r="AC489" t="s">
        <v>56</v>
      </c>
      <c r="AD489">
        <v>0</v>
      </c>
      <c r="AE489" t="s">
        <v>66</v>
      </c>
      <c r="AF489" t="s">
        <v>56</v>
      </c>
      <c r="AG489" t="s">
        <v>56</v>
      </c>
      <c r="AH489" t="s">
        <v>56</v>
      </c>
      <c r="AI489" t="s">
        <v>56</v>
      </c>
      <c r="AJ489" t="s">
        <v>536</v>
      </c>
      <c r="AK489" t="s">
        <v>537</v>
      </c>
      <c r="AL489" t="s">
        <v>545</v>
      </c>
      <c r="AM489" t="s">
        <v>546</v>
      </c>
      <c r="AN489" t="s">
        <v>56</v>
      </c>
      <c r="AO489" t="s">
        <v>56</v>
      </c>
      <c r="AP489" t="s">
        <v>56</v>
      </c>
      <c r="AQ489" t="s">
        <v>71</v>
      </c>
      <c r="AR489" t="s">
        <v>56</v>
      </c>
      <c r="AS489" t="s">
        <v>56</v>
      </c>
      <c r="AT489" t="s">
        <v>56</v>
      </c>
      <c r="AU489" t="s">
        <v>56</v>
      </c>
      <c r="AV489" t="s">
        <v>56</v>
      </c>
      <c r="AW489" t="s">
        <v>56</v>
      </c>
      <c r="AX489">
        <v>4</v>
      </c>
    </row>
    <row r="490" spans="1:50" x14ac:dyDescent="0.25">
      <c r="A490" t="str">
        <f>"20200125192017033378"</f>
        <v>20200125192017033378</v>
      </c>
      <c r="B490" t="s">
        <v>752</v>
      </c>
      <c r="C490" t="s">
        <v>752</v>
      </c>
      <c r="D490" t="s">
        <v>2635</v>
      </c>
      <c r="E490" t="str">
        <f>"132440049301"</f>
        <v>132440049301</v>
      </c>
      <c r="F490" t="s">
        <v>52</v>
      </c>
      <c r="G490">
        <v>900196346</v>
      </c>
      <c r="H490">
        <v>13244</v>
      </c>
      <c r="I490" t="s">
        <v>1822</v>
      </c>
      <c r="J490">
        <v>6861950</v>
      </c>
      <c r="K490" t="s">
        <v>54</v>
      </c>
      <c r="L490">
        <v>45580032</v>
      </c>
      <c r="M490" t="s">
        <v>1823</v>
      </c>
      <c r="N490" t="s">
        <v>117</v>
      </c>
      <c r="O490" t="s">
        <v>691</v>
      </c>
      <c r="P490" t="s">
        <v>1361</v>
      </c>
      <c r="Q490" t="s">
        <v>1824</v>
      </c>
      <c r="R490" t="s">
        <v>440</v>
      </c>
      <c r="S490">
        <v>1052095394</v>
      </c>
      <c r="T490" t="s">
        <v>2636</v>
      </c>
      <c r="U490" t="s">
        <v>2637</v>
      </c>
      <c r="V490" t="s">
        <v>2172</v>
      </c>
      <c r="W490" t="s">
        <v>2638</v>
      </c>
      <c r="X490" t="s">
        <v>1277</v>
      </c>
      <c r="Y490" t="s">
        <v>101</v>
      </c>
      <c r="Z490">
        <v>12</v>
      </c>
      <c r="AA490" t="s">
        <v>65</v>
      </c>
      <c r="AB490" t="s">
        <v>56</v>
      </c>
      <c r="AC490" t="s">
        <v>56</v>
      </c>
      <c r="AD490">
        <v>0</v>
      </c>
      <c r="AE490" t="s">
        <v>66</v>
      </c>
      <c r="AF490" t="s">
        <v>56</v>
      </c>
      <c r="AG490" t="s">
        <v>56</v>
      </c>
      <c r="AH490" t="s">
        <v>56</v>
      </c>
      <c r="AI490" t="s">
        <v>56</v>
      </c>
      <c r="AJ490" t="s">
        <v>122</v>
      </c>
      <c r="AK490" t="s">
        <v>123</v>
      </c>
      <c r="AL490" t="s">
        <v>1879</v>
      </c>
      <c r="AM490" t="s">
        <v>1880</v>
      </c>
      <c r="AN490" t="s">
        <v>2639</v>
      </c>
      <c r="AO490" t="s">
        <v>2640</v>
      </c>
      <c r="AP490" t="s">
        <v>56</v>
      </c>
      <c r="AQ490" t="s">
        <v>71</v>
      </c>
      <c r="AR490" t="s">
        <v>56</v>
      </c>
      <c r="AS490" t="s">
        <v>56</v>
      </c>
      <c r="AT490" t="s">
        <v>56</v>
      </c>
      <c r="AU490" t="s">
        <v>56</v>
      </c>
      <c r="AV490" t="s">
        <v>56</v>
      </c>
      <c r="AW490" t="s">
        <v>56</v>
      </c>
      <c r="AX490">
        <v>4</v>
      </c>
    </row>
    <row r="491" spans="1:50" x14ac:dyDescent="0.25">
      <c r="A491" t="str">
        <f>"20200128120017078376"</f>
        <v>20200128120017078376</v>
      </c>
      <c r="B491" t="s">
        <v>151</v>
      </c>
      <c r="C491" t="s">
        <v>151</v>
      </c>
      <c r="D491" t="s">
        <v>2641</v>
      </c>
      <c r="E491" t="str">
        <f>"130010256801"</f>
        <v>130010256801</v>
      </c>
      <c r="F491" t="s">
        <v>52</v>
      </c>
      <c r="G491">
        <v>900602320</v>
      </c>
      <c r="H491">
        <v>13001</v>
      </c>
      <c r="I491" t="s">
        <v>418</v>
      </c>
      <c r="J491">
        <v>3145960813</v>
      </c>
      <c r="K491" t="s">
        <v>54</v>
      </c>
      <c r="L491">
        <v>57417649</v>
      </c>
      <c r="M491" t="s">
        <v>419</v>
      </c>
      <c r="N491" t="s">
        <v>420</v>
      </c>
      <c r="O491" t="s">
        <v>421</v>
      </c>
      <c r="P491" t="s">
        <v>207</v>
      </c>
      <c r="Q491" t="s">
        <v>422</v>
      </c>
      <c r="R491" t="s">
        <v>237</v>
      </c>
      <c r="S491">
        <v>1043647396</v>
      </c>
      <c r="T491" t="s">
        <v>1747</v>
      </c>
      <c r="U491" t="s">
        <v>1007</v>
      </c>
      <c r="V491" t="s">
        <v>2028</v>
      </c>
      <c r="W491" t="s">
        <v>2642</v>
      </c>
      <c r="X491" t="s">
        <v>2643</v>
      </c>
      <c r="Y491" t="s">
        <v>101</v>
      </c>
      <c r="Z491">
        <v>11</v>
      </c>
      <c r="AA491" t="s">
        <v>87</v>
      </c>
      <c r="AB491" t="s">
        <v>56</v>
      </c>
      <c r="AC491" t="s">
        <v>56</v>
      </c>
      <c r="AD491">
        <v>0</v>
      </c>
      <c r="AE491" t="s">
        <v>66</v>
      </c>
      <c r="AF491" t="s">
        <v>56</v>
      </c>
      <c r="AG491" t="s">
        <v>56</v>
      </c>
      <c r="AH491" t="s">
        <v>56</v>
      </c>
      <c r="AI491" t="s">
        <v>56</v>
      </c>
      <c r="AJ491" t="s">
        <v>2644</v>
      </c>
      <c r="AK491" t="s">
        <v>2645</v>
      </c>
      <c r="AL491" t="s">
        <v>2646</v>
      </c>
      <c r="AM491" t="s">
        <v>2647</v>
      </c>
      <c r="AN491" t="s">
        <v>56</v>
      </c>
      <c r="AO491" t="s">
        <v>56</v>
      </c>
      <c r="AP491" t="s">
        <v>56</v>
      </c>
      <c r="AQ491" t="s">
        <v>71</v>
      </c>
      <c r="AR491" t="s">
        <v>56</v>
      </c>
      <c r="AS491" t="s">
        <v>56</v>
      </c>
      <c r="AT491" t="s">
        <v>56</v>
      </c>
      <c r="AU491" t="s">
        <v>56</v>
      </c>
      <c r="AV491" t="s">
        <v>56</v>
      </c>
      <c r="AW491" t="s">
        <v>56</v>
      </c>
      <c r="AX491">
        <v>4</v>
      </c>
    </row>
    <row r="492" spans="1:50" x14ac:dyDescent="0.25">
      <c r="A492" t="str">
        <f>"20200127165017043081"</f>
        <v>20200127165017043081</v>
      </c>
      <c r="B492" t="s">
        <v>190</v>
      </c>
      <c r="C492" t="s">
        <v>190</v>
      </c>
      <c r="D492" t="s">
        <v>2648</v>
      </c>
      <c r="E492" t="str">
        <f>"086340010501"</f>
        <v>086340010501</v>
      </c>
      <c r="F492" t="s">
        <v>52</v>
      </c>
      <c r="G492">
        <v>802003081</v>
      </c>
      <c r="H492" t="s">
        <v>2649</v>
      </c>
      <c r="I492" t="s">
        <v>2650</v>
      </c>
      <c r="J492">
        <v>8791402</v>
      </c>
      <c r="K492" t="s">
        <v>54</v>
      </c>
      <c r="L492">
        <v>1042352058</v>
      </c>
      <c r="M492" t="s">
        <v>2651</v>
      </c>
      <c r="N492" t="s">
        <v>117</v>
      </c>
      <c r="O492" t="s">
        <v>2652</v>
      </c>
      <c r="P492" t="s">
        <v>1075</v>
      </c>
      <c r="Q492" t="s">
        <v>2653</v>
      </c>
      <c r="R492" t="s">
        <v>440</v>
      </c>
      <c r="S492">
        <v>1047363274</v>
      </c>
      <c r="T492" t="s">
        <v>2654</v>
      </c>
      <c r="U492" t="s">
        <v>2655</v>
      </c>
      <c r="V492" t="s">
        <v>315</v>
      </c>
      <c r="W492" t="s">
        <v>2073</v>
      </c>
      <c r="X492" t="s">
        <v>2656</v>
      </c>
      <c r="Y492" t="s">
        <v>121</v>
      </c>
      <c r="Z492">
        <v>11</v>
      </c>
      <c r="AA492" t="s">
        <v>87</v>
      </c>
      <c r="AB492" t="s">
        <v>56</v>
      </c>
      <c r="AC492" t="s">
        <v>56</v>
      </c>
      <c r="AD492">
        <v>0</v>
      </c>
      <c r="AE492" t="s">
        <v>66</v>
      </c>
      <c r="AF492" t="s">
        <v>56</v>
      </c>
      <c r="AG492" t="s">
        <v>56</v>
      </c>
      <c r="AH492" t="s">
        <v>56</v>
      </c>
      <c r="AI492" t="s">
        <v>56</v>
      </c>
      <c r="AJ492" t="s">
        <v>122</v>
      </c>
      <c r="AK492" t="s">
        <v>123</v>
      </c>
      <c r="AL492" t="s">
        <v>56</v>
      </c>
      <c r="AM492" t="s">
        <v>56</v>
      </c>
      <c r="AN492" t="s">
        <v>56</v>
      </c>
      <c r="AO492" t="s">
        <v>56</v>
      </c>
      <c r="AP492" t="s">
        <v>56</v>
      </c>
      <c r="AQ492" t="s">
        <v>71</v>
      </c>
      <c r="AR492" t="s">
        <v>56</v>
      </c>
      <c r="AS492" t="s">
        <v>56</v>
      </c>
      <c r="AT492" t="s">
        <v>56</v>
      </c>
      <c r="AU492" t="s">
        <v>56</v>
      </c>
      <c r="AV492" t="s">
        <v>56</v>
      </c>
      <c r="AW492" t="s">
        <v>56</v>
      </c>
      <c r="AX492">
        <v>4</v>
      </c>
    </row>
    <row r="493" spans="1:50" x14ac:dyDescent="0.25">
      <c r="A493" t="str">
        <f>"20200125143017032321"</f>
        <v>20200125143017032321</v>
      </c>
      <c r="B493" t="s">
        <v>752</v>
      </c>
      <c r="C493" t="s">
        <v>752</v>
      </c>
      <c r="D493" t="s">
        <v>2657</v>
      </c>
      <c r="E493" t="str">
        <f>"134300290801"</f>
        <v>134300290801</v>
      </c>
      <c r="F493" t="s">
        <v>52</v>
      </c>
      <c r="G493">
        <v>800033723</v>
      </c>
      <c r="H493">
        <v>13430</v>
      </c>
      <c r="I493" t="s">
        <v>1672</v>
      </c>
      <c r="J493">
        <v>3187117423</v>
      </c>
      <c r="K493" t="s">
        <v>54</v>
      </c>
      <c r="L493">
        <v>9273444</v>
      </c>
      <c r="M493" t="s">
        <v>76</v>
      </c>
      <c r="N493" t="s">
        <v>2095</v>
      </c>
      <c r="O493" t="s">
        <v>2096</v>
      </c>
      <c r="P493" t="s">
        <v>2097</v>
      </c>
      <c r="Q493">
        <v>9273444</v>
      </c>
      <c r="R493" t="s">
        <v>54</v>
      </c>
      <c r="S493">
        <v>22946009</v>
      </c>
      <c r="T493" t="s">
        <v>787</v>
      </c>
      <c r="U493" t="s">
        <v>62</v>
      </c>
      <c r="V493" t="s">
        <v>405</v>
      </c>
      <c r="W493" t="s">
        <v>1501</v>
      </c>
      <c r="X493" t="s">
        <v>183</v>
      </c>
      <c r="Y493" t="s">
        <v>101</v>
      </c>
      <c r="Z493">
        <v>11</v>
      </c>
      <c r="AA493" t="s">
        <v>87</v>
      </c>
      <c r="AB493" t="s">
        <v>56</v>
      </c>
      <c r="AC493" t="s">
        <v>56</v>
      </c>
      <c r="AD493">
        <v>0</v>
      </c>
      <c r="AE493" t="s">
        <v>66</v>
      </c>
      <c r="AF493" t="s">
        <v>56</v>
      </c>
      <c r="AG493" t="s">
        <v>56</v>
      </c>
      <c r="AH493" t="s">
        <v>56</v>
      </c>
      <c r="AI493" t="s">
        <v>56</v>
      </c>
      <c r="AJ493" t="s">
        <v>2444</v>
      </c>
      <c r="AK493" t="s">
        <v>2445</v>
      </c>
      <c r="AL493" t="s">
        <v>215</v>
      </c>
      <c r="AM493" t="s">
        <v>216</v>
      </c>
      <c r="AN493" t="s">
        <v>56</v>
      </c>
      <c r="AO493" t="s">
        <v>56</v>
      </c>
      <c r="AP493" t="s">
        <v>56</v>
      </c>
      <c r="AQ493" t="s">
        <v>71</v>
      </c>
      <c r="AR493" t="s">
        <v>56</v>
      </c>
      <c r="AS493" t="s">
        <v>56</v>
      </c>
      <c r="AT493" t="s">
        <v>56</v>
      </c>
      <c r="AU493" t="s">
        <v>56</v>
      </c>
      <c r="AV493" t="s">
        <v>56</v>
      </c>
      <c r="AW493" t="s">
        <v>56</v>
      </c>
      <c r="AX493">
        <v>4</v>
      </c>
    </row>
    <row r="494" spans="1:50" x14ac:dyDescent="0.25">
      <c r="A494" t="str">
        <f>"20200124114017017877"</f>
        <v>20200124114017017877</v>
      </c>
      <c r="B494" t="s">
        <v>201</v>
      </c>
      <c r="C494" t="s">
        <v>201</v>
      </c>
      <c r="D494" t="s">
        <v>2658</v>
      </c>
      <c r="E494" t="str">
        <f>"050010210401"</f>
        <v>050010210401</v>
      </c>
      <c r="F494" t="s">
        <v>52</v>
      </c>
      <c r="G494">
        <v>890901826</v>
      </c>
      <c r="H494" t="s">
        <v>1652</v>
      </c>
      <c r="I494" t="s">
        <v>2659</v>
      </c>
      <c r="J494" t="s">
        <v>56</v>
      </c>
      <c r="K494" t="s">
        <v>54</v>
      </c>
      <c r="L494">
        <v>1044501727</v>
      </c>
      <c r="M494" t="s">
        <v>2660</v>
      </c>
      <c r="N494" t="s">
        <v>518</v>
      </c>
      <c r="O494" t="s">
        <v>276</v>
      </c>
      <c r="P494" t="s">
        <v>1516</v>
      </c>
      <c r="Q494">
        <v>5738611</v>
      </c>
      <c r="R494" t="s">
        <v>54</v>
      </c>
      <c r="S494">
        <v>4833718</v>
      </c>
      <c r="T494" t="s">
        <v>128</v>
      </c>
      <c r="U494" t="s">
        <v>62</v>
      </c>
      <c r="V494" t="s">
        <v>263</v>
      </c>
      <c r="W494" t="s">
        <v>2661</v>
      </c>
      <c r="X494" t="s">
        <v>1657</v>
      </c>
      <c r="Y494" t="s">
        <v>717</v>
      </c>
      <c r="Z494">
        <v>30</v>
      </c>
      <c r="AA494" t="s">
        <v>661</v>
      </c>
      <c r="AB494">
        <v>0</v>
      </c>
      <c r="AC494" t="s">
        <v>66</v>
      </c>
      <c r="AD494">
        <v>0</v>
      </c>
      <c r="AE494" t="s">
        <v>66</v>
      </c>
      <c r="AF494" t="s">
        <v>56</v>
      </c>
      <c r="AG494" t="s">
        <v>56</v>
      </c>
      <c r="AH494" t="s">
        <v>56</v>
      </c>
      <c r="AI494" t="s">
        <v>56</v>
      </c>
      <c r="AJ494" t="s">
        <v>454</v>
      </c>
      <c r="AK494" t="s">
        <v>455</v>
      </c>
      <c r="AL494" t="s">
        <v>2662</v>
      </c>
      <c r="AM494" t="s">
        <v>2663</v>
      </c>
      <c r="AN494" t="s">
        <v>2664</v>
      </c>
      <c r="AO494" t="s">
        <v>2665</v>
      </c>
      <c r="AP494" t="s">
        <v>56</v>
      </c>
      <c r="AQ494" t="s">
        <v>71</v>
      </c>
      <c r="AR494" t="s">
        <v>56</v>
      </c>
      <c r="AS494" t="s">
        <v>56</v>
      </c>
      <c r="AT494" t="s">
        <v>56</v>
      </c>
      <c r="AU494" t="s">
        <v>56</v>
      </c>
      <c r="AV494" t="s">
        <v>56</v>
      </c>
      <c r="AW494" t="s">
        <v>56</v>
      </c>
      <c r="AX494">
        <v>4</v>
      </c>
    </row>
    <row r="495" spans="1:50" x14ac:dyDescent="0.25">
      <c r="A495" t="str">
        <f>"20200129182017122063"</f>
        <v>20200129182017122063</v>
      </c>
      <c r="B495" t="s">
        <v>72</v>
      </c>
      <c r="C495" t="s">
        <v>72</v>
      </c>
      <c r="D495" t="s">
        <v>2666</v>
      </c>
      <c r="E495" t="str">
        <f>"471890013701"</f>
        <v>471890013701</v>
      </c>
      <c r="F495" t="s">
        <v>52</v>
      </c>
      <c r="G495">
        <v>800201726</v>
      </c>
      <c r="H495">
        <v>47189</v>
      </c>
      <c r="I495" t="s">
        <v>2667</v>
      </c>
      <c r="J495">
        <v>4240485</v>
      </c>
      <c r="K495" t="s">
        <v>54</v>
      </c>
      <c r="L495">
        <v>12633330</v>
      </c>
      <c r="M495" t="s">
        <v>1130</v>
      </c>
      <c r="N495" t="s">
        <v>56</v>
      </c>
      <c r="O495" t="s">
        <v>2668</v>
      </c>
      <c r="P495" t="s">
        <v>1428</v>
      </c>
      <c r="Q495" t="s">
        <v>2669</v>
      </c>
      <c r="R495" t="s">
        <v>237</v>
      </c>
      <c r="S495">
        <v>1128200818</v>
      </c>
      <c r="T495" t="s">
        <v>2670</v>
      </c>
      <c r="U495" t="s">
        <v>1747</v>
      </c>
      <c r="V495" t="s">
        <v>225</v>
      </c>
      <c r="W495" t="s">
        <v>2268</v>
      </c>
      <c r="X495" t="s">
        <v>2671</v>
      </c>
      <c r="Y495" t="s">
        <v>345</v>
      </c>
      <c r="Z495">
        <v>12</v>
      </c>
      <c r="AA495" t="s">
        <v>65</v>
      </c>
      <c r="AB495" t="s">
        <v>56</v>
      </c>
      <c r="AC495" t="s">
        <v>56</v>
      </c>
      <c r="AD495">
        <v>0</v>
      </c>
      <c r="AE495" t="s">
        <v>66</v>
      </c>
      <c r="AF495" t="s">
        <v>56</v>
      </c>
      <c r="AG495" t="s">
        <v>56</v>
      </c>
      <c r="AH495" t="s">
        <v>56</v>
      </c>
      <c r="AI495" t="s">
        <v>56</v>
      </c>
      <c r="AJ495" t="s">
        <v>2672</v>
      </c>
      <c r="AK495" t="s">
        <v>2673</v>
      </c>
      <c r="AL495" t="s">
        <v>56</v>
      </c>
      <c r="AM495" t="s">
        <v>56</v>
      </c>
      <c r="AN495" t="s">
        <v>56</v>
      </c>
      <c r="AO495" t="s">
        <v>56</v>
      </c>
      <c r="AP495" t="s">
        <v>56</v>
      </c>
      <c r="AQ495" t="s">
        <v>71</v>
      </c>
      <c r="AR495" t="s">
        <v>56</v>
      </c>
      <c r="AS495" t="s">
        <v>56</v>
      </c>
      <c r="AT495" t="s">
        <v>56</v>
      </c>
      <c r="AU495" t="s">
        <v>56</v>
      </c>
      <c r="AV495" t="s">
        <v>56</v>
      </c>
      <c r="AW495" t="s">
        <v>56</v>
      </c>
      <c r="AX495">
        <v>4</v>
      </c>
    </row>
    <row r="496" spans="1:50" x14ac:dyDescent="0.25">
      <c r="A496" t="str">
        <f>"20200127181017052544"</f>
        <v>20200127181017052544</v>
      </c>
      <c r="B496" t="s">
        <v>190</v>
      </c>
      <c r="C496" t="s">
        <v>190</v>
      </c>
      <c r="D496" t="s">
        <v>2674</v>
      </c>
      <c r="E496" t="str">
        <f>"700010096901"</f>
        <v>700010096901</v>
      </c>
      <c r="F496" t="s">
        <v>52</v>
      </c>
      <c r="G496">
        <v>900118990</v>
      </c>
      <c r="H496">
        <v>70001</v>
      </c>
      <c r="I496" t="s">
        <v>869</v>
      </c>
      <c r="J496">
        <v>2761605</v>
      </c>
      <c r="K496" t="s">
        <v>54</v>
      </c>
      <c r="L496">
        <v>73231348</v>
      </c>
      <c r="M496" t="s">
        <v>164</v>
      </c>
      <c r="N496" t="s">
        <v>76</v>
      </c>
      <c r="O496" t="s">
        <v>119</v>
      </c>
      <c r="P496" t="s">
        <v>1782</v>
      </c>
      <c r="Q496">
        <v>73231348</v>
      </c>
      <c r="R496" t="s">
        <v>54</v>
      </c>
      <c r="S496">
        <v>92495083</v>
      </c>
      <c r="T496" t="s">
        <v>1117</v>
      </c>
      <c r="U496" t="s">
        <v>62</v>
      </c>
      <c r="V496" t="s">
        <v>854</v>
      </c>
      <c r="W496" t="s">
        <v>315</v>
      </c>
      <c r="X496" t="s">
        <v>889</v>
      </c>
      <c r="Y496" t="s">
        <v>330</v>
      </c>
      <c r="Z496">
        <v>12</v>
      </c>
      <c r="AA496" t="s">
        <v>65</v>
      </c>
      <c r="AB496" t="s">
        <v>56</v>
      </c>
      <c r="AC496" t="s">
        <v>56</v>
      </c>
      <c r="AD496">
        <v>0</v>
      </c>
      <c r="AE496" t="s">
        <v>66</v>
      </c>
      <c r="AF496" t="s">
        <v>56</v>
      </c>
      <c r="AG496" t="s">
        <v>56</v>
      </c>
      <c r="AH496" t="s">
        <v>56</v>
      </c>
      <c r="AI496" t="s">
        <v>56</v>
      </c>
      <c r="AJ496" t="s">
        <v>2675</v>
      </c>
      <c r="AK496" t="s">
        <v>2676</v>
      </c>
      <c r="AL496" t="s">
        <v>56</v>
      </c>
      <c r="AM496" t="s">
        <v>56</v>
      </c>
      <c r="AN496" t="s">
        <v>56</v>
      </c>
      <c r="AO496" t="s">
        <v>56</v>
      </c>
      <c r="AP496" t="s">
        <v>56</v>
      </c>
      <c r="AQ496" t="s">
        <v>71</v>
      </c>
      <c r="AR496" t="s">
        <v>56</v>
      </c>
      <c r="AS496" t="s">
        <v>56</v>
      </c>
      <c r="AT496" t="s">
        <v>56</v>
      </c>
      <c r="AU496" t="s">
        <v>56</v>
      </c>
      <c r="AV496" t="s">
        <v>56</v>
      </c>
      <c r="AW496" t="s">
        <v>56</v>
      </c>
      <c r="AX496">
        <v>4</v>
      </c>
    </row>
    <row r="497" spans="1:50" x14ac:dyDescent="0.25">
      <c r="A497" t="str">
        <f>"20200124191016997592"</f>
        <v>20200124191016997592</v>
      </c>
      <c r="B497" t="s">
        <v>201</v>
      </c>
      <c r="C497" t="s">
        <v>201</v>
      </c>
      <c r="D497" t="s">
        <v>2677</v>
      </c>
      <c r="E497" t="str">
        <f>"080010349401"</f>
        <v>080010349401</v>
      </c>
      <c r="F497" t="s">
        <v>52</v>
      </c>
      <c r="G497">
        <v>900458308</v>
      </c>
      <c r="H497" t="s">
        <v>112</v>
      </c>
      <c r="I497" t="s">
        <v>370</v>
      </c>
      <c r="J497" t="s">
        <v>371</v>
      </c>
      <c r="K497" t="s">
        <v>54</v>
      </c>
      <c r="L497">
        <v>1143378811</v>
      </c>
      <c r="M497" t="s">
        <v>372</v>
      </c>
      <c r="N497" t="s">
        <v>373</v>
      </c>
      <c r="O497" t="s">
        <v>109</v>
      </c>
      <c r="P497" t="s">
        <v>374</v>
      </c>
      <c r="Q497">
        <v>1143378811</v>
      </c>
      <c r="R497" t="s">
        <v>54</v>
      </c>
      <c r="S497">
        <v>22619840</v>
      </c>
      <c r="T497" t="s">
        <v>2678</v>
      </c>
      <c r="U497" t="s">
        <v>62</v>
      </c>
      <c r="V497" t="s">
        <v>2679</v>
      </c>
      <c r="W497" t="s">
        <v>2680</v>
      </c>
      <c r="X497" t="s">
        <v>2656</v>
      </c>
      <c r="Y497" t="s">
        <v>121</v>
      </c>
      <c r="Z497">
        <v>12</v>
      </c>
      <c r="AA497" t="s">
        <v>65</v>
      </c>
      <c r="AB497" t="s">
        <v>56</v>
      </c>
      <c r="AC497" t="s">
        <v>56</v>
      </c>
      <c r="AD497">
        <v>0</v>
      </c>
      <c r="AE497" t="s">
        <v>66</v>
      </c>
      <c r="AF497" t="s">
        <v>56</v>
      </c>
      <c r="AG497" t="s">
        <v>56</v>
      </c>
      <c r="AH497" t="s">
        <v>56</v>
      </c>
      <c r="AI497" t="s">
        <v>56</v>
      </c>
      <c r="AJ497" t="s">
        <v>356</v>
      </c>
      <c r="AK497" t="s">
        <v>357</v>
      </c>
      <c r="AL497" t="s">
        <v>255</v>
      </c>
      <c r="AM497" t="s">
        <v>256</v>
      </c>
      <c r="AN497" t="s">
        <v>56</v>
      </c>
      <c r="AO497" t="s">
        <v>56</v>
      </c>
      <c r="AP497" t="s">
        <v>56</v>
      </c>
      <c r="AQ497" t="s">
        <v>71</v>
      </c>
      <c r="AR497" t="s">
        <v>56</v>
      </c>
      <c r="AS497" t="s">
        <v>56</v>
      </c>
      <c r="AT497" t="s">
        <v>56</v>
      </c>
      <c r="AU497" t="s">
        <v>56</v>
      </c>
      <c r="AV497" t="s">
        <v>56</v>
      </c>
      <c r="AW497" t="s">
        <v>56</v>
      </c>
      <c r="AX497">
        <v>4</v>
      </c>
    </row>
    <row r="498" spans="1:50" x14ac:dyDescent="0.25">
      <c r="A498" t="str">
        <f>"20200124155016997586"</f>
        <v>20200124155016997586</v>
      </c>
      <c r="B498" t="s">
        <v>201</v>
      </c>
      <c r="C498" t="s">
        <v>201</v>
      </c>
      <c r="D498" t="s">
        <v>2681</v>
      </c>
      <c r="E498" t="str">
        <f>"080010349401"</f>
        <v>080010349401</v>
      </c>
      <c r="F498" t="s">
        <v>52</v>
      </c>
      <c r="G498">
        <v>900458308</v>
      </c>
      <c r="H498" t="s">
        <v>112</v>
      </c>
      <c r="I498" t="s">
        <v>370</v>
      </c>
      <c r="J498" t="s">
        <v>371</v>
      </c>
      <c r="K498" t="s">
        <v>54</v>
      </c>
      <c r="L498">
        <v>1143378811</v>
      </c>
      <c r="M498" t="s">
        <v>372</v>
      </c>
      <c r="N498" t="s">
        <v>373</v>
      </c>
      <c r="O498" t="s">
        <v>109</v>
      </c>
      <c r="P498" t="s">
        <v>374</v>
      </c>
      <c r="Q498">
        <v>1143378811</v>
      </c>
      <c r="R498" t="s">
        <v>54</v>
      </c>
      <c r="S498">
        <v>22619840</v>
      </c>
      <c r="T498" t="s">
        <v>2678</v>
      </c>
      <c r="U498" t="s">
        <v>62</v>
      </c>
      <c r="V498" t="s">
        <v>2679</v>
      </c>
      <c r="W498" t="s">
        <v>2680</v>
      </c>
      <c r="X498" t="s">
        <v>2656</v>
      </c>
      <c r="Y498" t="s">
        <v>121</v>
      </c>
      <c r="Z498">
        <v>12</v>
      </c>
      <c r="AA498" t="s">
        <v>65</v>
      </c>
      <c r="AB498" t="s">
        <v>56</v>
      </c>
      <c r="AC498" t="s">
        <v>56</v>
      </c>
      <c r="AD498">
        <v>0</v>
      </c>
      <c r="AE498" t="s">
        <v>66</v>
      </c>
      <c r="AF498" t="s">
        <v>56</v>
      </c>
      <c r="AG498" t="s">
        <v>56</v>
      </c>
      <c r="AH498" t="s">
        <v>56</v>
      </c>
      <c r="AI498" t="s">
        <v>56</v>
      </c>
      <c r="AJ498" t="s">
        <v>570</v>
      </c>
      <c r="AK498" t="s">
        <v>571</v>
      </c>
      <c r="AL498" t="s">
        <v>56</v>
      </c>
      <c r="AM498" t="s">
        <v>56</v>
      </c>
      <c r="AN498" t="s">
        <v>56</v>
      </c>
      <c r="AO498" t="s">
        <v>56</v>
      </c>
      <c r="AP498" t="s">
        <v>56</v>
      </c>
      <c r="AQ498" t="s">
        <v>71</v>
      </c>
      <c r="AR498" t="s">
        <v>56</v>
      </c>
      <c r="AS498" t="s">
        <v>56</v>
      </c>
      <c r="AT498" t="s">
        <v>56</v>
      </c>
      <c r="AU498" t="s">
        <v>56</v>
      </c>
      <c r="AV498" t="s">
        <v>56</v>
      </c>
      <c r="AW498" t="s">
        <v>56</v>
      </c>
      <c r="AX498">
        <v>4</v>
      </c>
    </row>
    <row r="499" spans="1:50" x14ac:dyDescent="0.25">
      <c r="A499" t="str">
        <f>"20200129165017111605"</f>
        <v>20200129165017111605</v>
      </c>
      <c r="B499" t="s">
        <v>72</v>
      </c>
      <c r="C499" t="s">
        <v>72</v>
      </c>
      <c r="D499" t="s">
        <v>2682</v>
      </c>
      <c r="E499" t="str">
        <f>"080010027801"</f>
        <v>080010027801</v>
      </c>
      <c r="F499" t="s">
        <v>52</v>
      </c>
      <c r="G499">
        <v>800129856</v>
      </c>
      <c r="H499" t="s">
        <v>112</v>
      </c>
      <c r="I499" t="s">
        <v>2683</v>
      </c>
      <c r="J499" t="s">
        <v>56</v>
      </c>
      <c r="K499" t="s">
        <v>54</v>
      </c>
      <c r="L499">
        <v>12722363</v>
      </c>
      <c r="M499" t="s">
        <v>2684</v>
      </c>
      <c r="N499" t="s">
        <v>76</v>
      </c>
      <c r="O499" t="s">
        <v>601</v>
      </c>
      <c r="P499" t="s">
        <v>263</v>
      </c>
      <c r="Q499" t="s">
        <v>2685</v>
      </c>
      <c r="R499" t="s">
        <v>54</v>
      </c>
      <c r="S499">
        <v>8507064</v>
      </c>
      <c r="T499" t="s">
        <v>2686</v>
      </c>
      <c r="U499" t="s">
        <v>223</v>
      </c>
      <c r="V499" t="s">
        <v>309</v>
      </c>
      <c r="W499" t="s">
        <v>2397</v>
      </c>
      <c r="X499" t="s">
        <v>299</v>
      </c>
      <c r="Y499" t="s">
        <v>121</v>
      </c>
      <c r="Z499">
        <v>11</v>
      </c>
      <c r="AA499" t="s">
        <v>87</v>
      </c>
      <c r="AB499" t="s">
        <v>56</v>
      </c>
      <c r="AC499" t="s">
        <v>56</v>
      </c>
      <c r="AD499">
        <v>0</v>
      </c>
      <c r="AE499" t="s">
        <v>66</v>
      </c>
      <c r="AF499" t="s">
        <v>56</v>
      </c>
      <c r="AG499" t="s">
        <v>56</v>
      </c>
      <c r="AH499" t="s">
        <v>56</v>
      </c>
      <c r="AI499" t="s">
        <v>56</v>
      </c>
      <c r="AJ499" t="s">
        <v>2074</v>
      </c>
      <c r="AK499" t="s">
        <v>2075</v>
      </c>
      <c r="AL499" t="s">
        <v>56</v>
      </c>
      <c r="AM499" t="s">
        <v>56</v>
      </c>
      <c r="AN499" t="s">
        <v>56</v>
      </c>
      <c r="AO499" t="s">
        <v>56</v>
      </c>
      <c r="AP499" t="s">
        <v>56</v>
      </c>
      <c r="AQ499" t="s">
        <v>71</v>
      </c>
      <c r="AR499" t="s">
        <v>56</v>
      </c>
      <c r="AS499" t="s">
        <v>56</v>
      </c>
      <c r="AT499" t="s">
        <v>56</v>
      </c>
      <c r="AU499" t="s">
        <v>56</v>
      </c>
      <c r="AV499" t="s">
        <v>56</v>
      </c>
      <c r="AW499" t="s">
        <v>56</v>
      </c>
      <c r="AX499">
        <v>4</v>
      </c>
    </row>
    <row r="500" spans="1:50" x14ac:dyDescent="0.25">
      <c r="A500" t="str">
        <f>"20200129191017113054"</f>
        <v>20200129191017113054</v>
      </c>
      <c r="B500" t="s">
        <v>72</v>
      </c>
      <c r="C500" t="s">
        <v>72</v>
      </c>
      <c r="D500" t="s">
        <v>2687</v>
      </c>
      <c r="E500" t="str">
        <f>"080010027801"</f>
        <v>080010027801</v>
      </c>
      <c r="F500" t="s">
        <v>52</v>
      </c>
      <c r="G500">
        <v>800129856</v>
      </c>
      <c r="H500" t="s">
        <v>112</v>
      </c>
      <c r="I500" t="s">
        <v>2683</v>
      </c>
      <c r="J500" t="s">
        <v>56</v>
      </c>
      <c r="K500" t="s">
        <v>54</v>
      </c>
      <c r="L500">
        <v>12722363</v>
      </c>
      <c r="M500" t="s">
        <v>2684</v>
      </c>
      <c r="N500" t="s">
        <v>76</v>
      </c>
      <c r="O500" t="s">
        <v>601</v>
      </c>
      <c r="P500" t="s">
        <v>263</v>
      </c>
      <c r="Q500" t="s">
        <v>2685</v>
      </c>
      <c r="R500" t="s">
        <v>54</v>
      </c>
      <c r="S500">
        <v>8507064</v>
      </c>
      <c r="T500" t="s">
        <v>2686</v>
      </c>
      <c r="U500" t="s">
        <v>223</v>
      </c>
      <c r="V500" t="s">
        <v>309</v>
      </c>
      <c r="W500" t="s">
        <v>2397</v>
      </c>
      <c r="X500" t="s">
        <v>299</v>
      </c>
      <c r="Y500" t="s">
        <v>121</v>
      </c>
      <c r="Z500">
        <v>11</v>
      </c>
      <c r="AA500" t="s">
        <v>87</v>
      </c>
      <c r="AB500" t="s">
        <v>56</v>
      </c>
      <c r="AC500" t="s">
        <v>56</v>
      </c>
      <c r="AD500">
        <v>0</v>
      </c>
      <c r="AE500" t="s">
        <v>66</v>
      </c>
      <c r="AF500" t="s">
        <v>56</v>
      </c>
      <c r="AG500" t="s">
        <v>56</v>
      </c>
      <c r="AH500" t="s">
        <v>56</v>
      </c>
      <c r="AI500" t="s">
        <v>56</v>
      </c>
      <c r="AJ500" t="s">
        <v>2074</v>
      </c>
      <c r="AK500" t="s">
        <v>2075</v>
      </c>
      <c r="AL500" t="s">
        <v>56</v>
      </c>
      <c r="AM500" t="s">
        <v>56</v>
      </c>
      <c r="AN500" t="s">
        <v>56</v>
      </c>
      <c r="AO500" t="s">
        <v>56</v>
      </c>
      <c r="AP500" t="s">
        <v>56</v>
      </c>
      <c r="AQ500" t="s">
        <v>71</v>
      </c>
      <c r="AR500" t="s">
        <v>56</v>
      </c>
      <c r="AS500" t="s">
        <v>56</v>
      </c>
      <c r="AT500" t="s">
        <v>56</v>
      </c>
      <c r="AU500" t="s">
        <v>56</v>
      </c>
      <c r="AV500" t="s">
        <v>56</v>
      </c>
      <c r="AW500" t="s">
        <v>56</v>
      </c>
      <c r="AX500">
        <v>4</v>
      </c>
    </row>
    <row r="501" spans="1:50" x14ac:dyDescent="0.25">
      <c r="A501" t="str">
        <f>"20200129110017110892"</f>
        <v>20200129110017110892</v>
      </c>
      <c r="B501" t="s">
        <v>72</v>
      </c>
      <c r="C501" t="s">
        <v>72</v>
      </c>
      <c r="D501" t="s">
        <v>2688</v>
      </c>
      <c r="E501" t="str">
        <f>"080010027801"</f>
        <v>080010027801</v>
      </c>
      <c r="F501" t="s">
        <v>52</v>
      </c>
      <c r="G501">
        <v>800129856</v>
      </c>
      <c r="H501" t="s">
        <v>112</v>
      </c>
      <c r="I501" t="s">
        <v>2683</v>
      </c>
      <c r="J501" t="s">
        <v>56</v>
      </c>
      <c r="K501" t="s">
        <v>54</v>
      </c>
      <c r="L501">
        <v>12722363</v>
      </c>
      <c r="M501" t="s">
        <v>2684</v>
      </c>
      <c r="N501" t="s">
        <v>76</v>
      </c>
      <c r="O501" t="s">
        <v>601</v>
      </c>
      <c r="P501" t="s">
        <v>263</v>
      </c>
      <c r="Q501" t="s">
        <v>2685</v>
      </c>
      <c r="R501" t="s">
        <v>54</v>
      </c>
      <c r="S501">
        <v>8507064</v>
      </c>
      <c r="T501" t="s">
        <v>2686</v>
      </c>
      <c r="U501" t="s">
        <v>223</v>
      </c>
      <c r="V501" t="s">
        <v>309</v>
      </c>
      <c r="W501" t="s">
        <v>2397</v>
      </c>
      <c r="X501" t="s">
        <v>299</v>
      </c>
      <c r="Y501" t="s">
        <v>121</v>
      </c>
      <c r="Z501">
        <v>11</v>
      </c>
      <c r="AA501" t="s">
        <v>87</v>
      </c>
      <c r="AB501" t="s">
        <v>56</v>
      </c>
      <c r="AC501" t="s">
        <v>56</v>
      </c>
      <c r="AD501">
        <v>0</v>
      </c>
      <c r="AE501" t="s">
        <v>66</v>
      </c>
      <c r="AF501" t="s">
        <v>56</v>
      </c>
      <c r="AG501" t="s">
        <v>56</v>
      </c>
      <c r="AH501" t="s">
        <v>56</v>
      </c>
      <c r="AI501" t="s">
        <v>56</v>
      </c>
      <c r="AJ501" t="s">
        <v>2074</v>
      </c>
      <c r="AK501" t="s">
        <v>2075</v>
      </c>
      <c r="AL501" t="s">
        <v>56</v>
      </c>
      <c r="AM501" t="s">
        <v>56</v>
      </c>
      <c r="AN501" t="s">
        <v>56</v>
      </c>
      <c r="AO501" t="s">
        <v>56</v>
      </c>
      <c r="AP501" t="s">
        <v>56</v>
      </c>
      <c r="AQ501" t="s">
        <v>71</v>
      </c>
      <c r="AR501" t="s">
        <v>56</v>
      </c>
      <c r="AS501" t="s">
        <v>56</v>
      </c>
      <c r="AT501" t="s">
        <v>56</v>
      </c>
      <c r="AU501" t="s">
        <v>56</v>
      </c>
      <c r="AV501" t="s">
        <v>56</v>
      </c>
      <c r="AW501" t="s">
        <v>56</v>
      </c>
      <c r="AX501">
        <v>4</v>
      </c>
    </row>
    <row r="502" spans="1:50" x14ac:dyDescent="0.25">
      <c r="A502" t="str">
        <f>"20200130119017134422"</f>
        <v>20200130119017134422</v>
      </c>
      <c r="B502" t="s">
        <v>124</v>
      </c>
      <c r="C502" t="s">
        <v>124</v>
      </c>
      <c r="D502" t="s">
        <v>2689</v>
      </c>
      <c r="E502" t="str">
        <f>"080010409201"</f>
        <v>080010409201</v>
      </c>
      <c r="F502" t="s">
        <v>52</v>
      </c>
      <c r="G502">
        <v>900448414</v>
      </c>
      <c r="H502" t="s">
        <v>112</v>
      </c>
      <c r="I502" t="s">
        <v>785</v>
      </c>
      <c r="J502">
        <v>3545674</v>
      </c>
      <c r="K502" t="s">
        <v>54</v>
      </c>
      <c r="L502">
        <v>72248346</v>
      </c>
      <c r="M502" t="s">
        <v>1189</v>
      </c>
      <c r="N502" t="s">
        <v>1190</v>
      </c>
      <c r="O502" t="s">
        <v>1191</v>
      </c>
      <c r="P502" t="s">
        <v>1192</v>
      </c>
      <c r="Q502">
        <v>23796</v>
      </c>
      <c r="R502" t="s">
        <v>54</v>
      </c>
      <c r="S502">
        <v>32680615</v>
      </c>
      <c r="T502" t="s">
        <v>117</v>
      </c>
      <c r="U502" t="s">
        <v>2690</v>
      </c>
      <c r="V502" t="s">
        <v>939</v>
      </c>
      <c r="W502" t="s">
        <v>775</v>
      </c>
      <c r="X502" t="s">
        <v>120</v>
      </c>
      <c r="Y502" t="s">
        <v>121</v>
      </c>
      <c r="Z502">
        <v>12</v>
      </c>
      <c r="AA502" t="s">
        <v>65</v>
      </c>
      <c r="AB502" t="s">
        <v>56</v>
      </c>
      <c r="AC502" t="s">
        <v>56</v>
      </c>
      <c r="AD502">
        <v>0</v>
      </c>
      <c r="AE502" t="s">
        <v>66</v>
      </c>
      <c r="AF502" t="s">
        <v>56</v>
      </c>
      <c r="AG502" t="s">
        <v>56</v>
      </c>
      <c r="AH502" t="s">
        <v>56</v>
      </c>
      <c r="AI502" t="s">
        <v>56</v>
      </c>
      <c r="AJ502" t="s">
        <v>822</v>
      </c>
      <c r="AK502" t="s">
        <v>823</v>
      </c>
      <c r="AL502" t="s">
        <v>56</v>
      </c>
      <c r="AM502" t="s">
        <v>56</v>
      </c>
      <c r="AN502" t="s">
        <v>56</v>
      </c>
      <c r="AO502" t="s">
        <v>56</v>
      </c>
      <c r="AP502" t="s">
        <v>56</v>
      </c>
      <c r="AQ502" t="s">
        <v>71</v>
      </c>
      <c r="AR502" t="s">
        <v>56</v>
      </c>
      <c r="AS502" t="s">
        <v>56</v>
      </c>
      <c r="AT502" t="s">
        <v>56</v>
      </c>
      <c r="AU502" t="s">
        <v>56</v>
      </c>
      <c r="AV502" t="s">
        <v>56</v>
      </c>
      <c r="AW502" t="s">
        <v>56</v>
      </c>
      <c r="AX502">
        <v>4</v>
      </c>
    </row>
    <row r="503" spans="1:50" x14ac:dyDescent="0.25">
      <c r="A503" t="str">
        <f>"20200128127017083995"</f>
        <v>20200128127017083995</v>
      </c>
      <c r="B503" t="s">
        <v>151</v>
      </c>
      <c r="C503" t="s">
        <v>151</v>
      </c>
      <c r="D503" t="s">
        <v>2691</v>
      </c>
      <c r="E503" t="str">
        <f>"700010146401"</f>
        <v>700010146401</v>
      </c>
      <c r="F503" t="s">
        <v>52</v>
      </c>
      <c r="G503">
        <v>900581036</v>
      </c>
      <c r="H503">
        <v>70001</v>
      </c>
      <c r="I503" t="s">
        <v>387</v>
      </c>
      <c r="J503">
        <v>2807683</v>
      </c>
      <c r="K503" t="s">
        <v>54</v>
      </c>
      <c r="L503">
        <v>92508651</v>
      </c>
      <c r="M503" t="s">
        <v>388</v>
      </c>
      <c r="N503" t="s">
        <v>94</v>
      </c>
      <c r="O503" t="s">
        <v>389</v>
      </c>
      <c r="P503" t="s">
        <v>390</v>
      </c>
      <c r="Q503" t="s">
        <v>391</v>
      </c>
      <c r="R503" t="s">
        <v>54</v>
      </c>
      <c r="S503">
        <v>1102835392</v>
      </c>
      <c r="T503" t="s">
        <v>1164</v>
      </c>
      <c r="U503" t="s">
        <v>2692</v>
      </c>
      <c r="V503" t="s">
        <v>84</v>
      </c>
      <c r="W503" t="s">
        <v>2693</v>
      </c>
      <c r="X503" t="s">
        <v>605</v>
      </c>
      <c r="Y503" t="s">
        <v>330</v>
      </c>
      <c r="Z503">
        <v>12</v>
      </c>
      <c r="AA503" t="s">
        <v>65</v>
      </c>
      <c r="AB503" t="s">
        <v>56</v>
      </c>
      <c r="AC503" t="s">
        <v>56</v>
      </c>
      <c r="AD503">
        <v>0</v>
      </c>
      <c r="AE503" t="s">
        <v>66</v>
      </c>
      <c r="AF503" t="s">
        <v>56</v>
      </c>
      <c r="AG503" t="s">
        <v>56</v>
      </c>
      <c r="AH503" t="s">
        <v>56</v>
      </c>
      <c r="AI503" t="s">
        <v>56</v>
      </c>
      <c r="AJ503" t="s">
        <v>395</v>
      </c>
      <c r="AK503" t="s">
        <v>396</v>
      </c>
      <c r="AL503" t="s">
        <v>747</v>
      </c>
      <c r="AM503" t="s">
        <v>748</v>
      </c>
      <c r="AN503" t="s">
        <v>56</v>
      </c>
      <c r="AO503" t="s">
        <v>56</v>
      </c>
      <c r="AP503" t="s">
        <v>56</v>
      </c>
      <c r="AQ503" t="s">
        <v>71</v>
      </c>
      <c r="AR503" t="s">
        <v>56</v>
      </c>
      <c r="AS503" t="s">
        <v>56</v>
      </c>
      <c r="AT503" t="s">
        <v>56</v>
      </c>
      <c r="AU503" t="s">
        <v>56</v>
      </c>
      <c r="AV503" t="s">
        <v>56</v>
      </c>
      <c r="AW503" t="s">
        <v>56</v>
      </c>
      <c r="AX503">
        <v>4</v>
      </c>
    </row>
    <row r="504" spans="1:50" x14ac:dyDescent="0.25">
      <c r="A504" t="str">
        <f>"20200128112017093006"</f>
        <v>20200128112017093006</v>
      </c>
      <c r="B504" t="s">
        <v>151</v>
      </c>
      <c r="C504" t="s">
        <v>151</v>
      </c>
      <c r="D504" t="s">
        <v>2694</v>
      </c>
      <c r="E504" t="str">
        <f>"080010330401"</f>
        <v>080010330401</v>
      </c>
      <c r="F504" t="s">
        <v>52</v>
      </c>
      <c r="G504">
        <v>802014564</v>
      </c>
      <c r="H504" t="s">
        <v>112</v>
      </c>
      <c r="I504" t="s">
        <v>933</v>
      </c>
      <c r="J504">
        <v>3575814</v>
      </c>
      <c r="K504" t="s">
        <v>54</v>
      </c>
      <c r="L504">
        <v>7461593</v>
      </c>
      <c r="M504" t="s">
        <v>165</v>
      </c>
      <c r="N504" t="s">
        <v>261</v>
      </c>
      <c r="O504" t="s">
        <v>2695</v>
      </c>
      <c r="P504" t="s">
        <v>2696</v>
      </c>
      <c r="Q504" t="s">
        <v>56</v>
      </c>
      <c r="R504" t="s">
        <v>54</v>
      </c>
      <c r="S504">
        <v>23073385</v>
      </c>
      <c r="T504" t="s">
        <v>2697</v>
      </c>
      <c r="U504" t="s">
        <v>2698</v>
      </c>
      <c r="V504" t="s">
        <v>2699</v>
      </c>
      <c r="W504" t="s">
        <v>2700</v>
      </c>
      <c r="X504" t="s">
        <v>1448</v>
      </c>
      <c r="Y504" t="s">
        <v>101</v>
      </c>
      <c r="Z504">
        <v>12</v>
      </c>
      <c r="AA504" t="s">
        <v>65</v>
      </c>
      <c r="AB504" t="s">
        <v>56</v>
      </c>
      <c r="AC504" t="s">
        <v>56</v>
      </c>
      <c r="AD504">
        <v>0</v>
      </c>
      <c r="AE504" t="s">
        <v>66</v>
      </c>
      <c r="AF504" t="s">
        <v>56</v>
      </c>
      <c r="AG504" t="s">
        <v>56</v>
      </c>
      <c r="AH504" t="s">
        <v>56</v>
      </c>
      <c r="AI504" t="s">
        <v>56</v>
      </c>
      <c r="AJ504" t="s">
        <v>2701</v>
      </c>
      <c r="AK504" t="s">
        <v>2702</v>
      </c>
      <c r="AL504" t="s">
        <v>414</v>
      </c>
      <c r="AM504" t="s">
        <v>415</v>
      </c>
      <c r="AN504" t="s">
        <v>215</v>
      </c>
      <c r="AO504" t="s">
        <v>216</v>
      </c>
      <c r="AP504" t="s">
        <v>56</v>
      </c>
      <c r="AQ504" t="s">
        <v>71</v>
      </c>
      <c r="AR504" t="s">
        <v>56</v>
      </c>
      <c r="AS504" t="s">
        <v>56</v>
      </c>
      <c r="AT504" t="s">
        <v>56</v>
      </c>
      <c r="AU504" t="s">
        <v>56</v>
      </c>
      <c r="AV504" t="s">
        <v>56</v>
      </c>
      <c r="AW504" t="s">
        <v>56</v>
      </c>
      <c r="AX504">
        <v>4</v>
      </c>
    </row>
    <row r="505" spans="1:50" x14ac:dyDescent="0.25">
      <c r="A505" t="str">
        <f>"20200131127017165490"</f>
        <v>20200131127017165490</v>
      </c>
      <c r="B505" t="s">
        <v>110</v>
      </c>
      <c r="C505" t="s">
        <v>110</v>
      </c>
      <c r="D505" t="s">
        <v>2703</v>
      </c>
      <c r="E505" t="str">
        <f>"080010079501"</f>
        <v>080010079501</v>
      </c>
      <c r="F505" t="s">
        <v>52</v>
      </c>
      <c r="G505">
        <v>802018443</v>
      </c>
      <c r="H505" t="s">
        <v>112</v>
      </c>
      <c r="I505" t="s">
        <v>2704</v>
      </c>
      <c r="J505" t="s">
        <v>2705</v>
      </c>
      <c r="K505" t="s">
        <v>54</v>
      </c>
      <c r="L505">
        <v>73126852</v>
      </c>
      <c r="M505" t="s">
        <v>352</v>
      </c>
      <c r="N505" t="s">
        <v>165</v>
      </c>
      <c r="O505" t="s">
        <v>691</v>
      </c>
      <c r="P505" t="s">
        <v>1715</v>
      </c>
      <c r="Q505">
        <v>352696</v>
      </c>
      <c r="R505" t="s">
        <v>54</v>
      </c>
      <c r="S505">
        <v>33193375</v>
      </c>
      <c r="T505" t="s">
        <v>114</v>
      </c>
      <c r="U505" t="s">
        <v>196</v>
      </c>
      <c r="V505" t="s">
        <v>938</v>
      </c>
      <c r="W505" t="s">
        <v>2517</v>
      </c>
      <c r="X505" t="s">
        <v>183</v>
      </c>
      <c r="Y505" t="s">
        <v>101</v>
      </c>
      <c r="Z505">
        <v>12</v>
      </c>
      <c r="AA505" t="s">
        <v>65</v>
      </c>
      <c r="AB505" t="s">
        <v>56</v>
      </c>
      <c r="AC505" t="s">
        <v>56</v>
      </c>
      <c r="AD505">
        <v>0</v>
      </c>
      <c r="AE505" t="s">
        <v>66</v>
      </c>
      <c r="AF505" t="s">
        <v>56</v>
      </c>
      <c r="AG505" t="s">
        <v>56</v>
      </c>
      <c r="AH505" t="s">
        <v>56</v>
      </c>
      <c r="AI505" t="s">
        <v>56</v>
      </c>
      <c r="AJ505" t="s">
        <v>2706</v>
      </c>
      <c r="AK505" t="s">
        <v>2707</v>
      </c>
      <c r="AL505" t="s">
        <v>56</v>
      </c>
      <c r="AM505" t="s">
        <v>56</v>
      </c>
      <c r="AN505" t="s">
        <v>56</v>
      </c>
      <c r="AO505" t="s">
        <v>56</v>
      </c>
      <c r="AP505" t="s">
        <v>56</v>
      </c>
      <c r="AQ505" t="s">
        <v>71</v>
      </c>
      <c r="AR505" t="s">
        <v>56</v>
      </c>
      <c r="AS505" t="s">
        <v>56</v>
      </c>
      <c r="AT505" t="s">
        <v>56</v>
      </c>
      <c r="AU505" t="s">
        <v>56</v>
      </c>
      <c r="AV505" t="s">
        <v>56</v>
      </c>
      <c r="AW505" t="s">
        <v>56</v>
      </c>
      <c r="AX505">
        <v>4</v>
      </c>
    </row>
    <row r="506" spans="1:50" x14ac:dyDescent="0.25">
      <c r="A506" t="str">
        <f>"20200125152017033466"</f>
        <v>20200125152017033466</v>
      </c>
      <c r="B506" t="s">
        <v>752</v>
      </c>
      <c r="C506" t="s">
        <v>752</v>
      </c>
      <c r="D506" t="s">
        <v>2658</v>
      </c>
      <c r="E506" t="str">
        <f>"660010076201"</f>
        <v>660010076201</v>
      </c>
      <c r="F506" t="s">
        <v>52</v>
      </c>
      <c r="G506">
        <v>800231235</v>
      </c>
      <c r="H506">
        <v>66001</v>
      </c>
      <c r="I506" t="s">
        <v>1198</v>
      </c>
      <c r="J506">
        <v>3206745</v>
      </c>
      <c r="K506" t="s">
        <v>54</v>
      </c>
      <c r="L506">
        <v>79040454</v>
      </c>
      <c r="M506" t="s">
        <v>1125</v>
      </c>
      <c r="N506" t="s">
        <v>2606</v>
      </c>
      <c r="O506" t="s">
        <v>169</v>
      </c>
      <c r="P506" t="s">
        <v>2708</v>
      </c>
      <c r="Q506" t="s">
        <v>2709</v>
      </c>
      <c r="R506" t="s">
        <v>54</v>
      </c>
      <c r="S506">
        <v>1112631144</v>
      </c>
      <c r="T506" t="s">
        <v>2710</v>
      </c>
      <c r="U506" t="s">
        <v>577</v>
      </c>
      <c r="V506" t="s">
        <v>249</v>
      </c>
      <c r="W506" t="s">
        <v>2711</v>
      </c>
      <c r="X506" t="s">
        <v>1337</v>
      </c>
      <c r="Y506" t="s">
        <v>64</v>
      </c>
      <c r="Z506">
        <v>30</v>
      </c>
      <c r="AA506" t="s">
        <v>661</v>
      </c>
      <c r="AB506">
        <v>0</v>
      </c>
      <c r="AC506" t="s">
        <v>66</v>
      </c>
      <c r="AD506">
        <v>0</v>
      </c>
      <c r="AE506" t="s">
        <v>66</v>
      </c>
      <c r="AF506" t="s">
        <v>56</v>
      </c>
      <c r="AG506" t="s">
        <v>56</v>
      </c>
      <c r="AH506" t="s">
        <v>56</v>
      </c>
      <c r="AI506" t="s">
        <v>56</v>
      </c>
      <c r="AJ506" t="s">
        <v>1785</v>
      </c>
      <c r="AK506" t="s">
        <v>1786</v>
      </c>
      <c r="AL506" t="s">
        <v>2712</v>
      </c>
      <c r="AM506" t="s">
        <v>2713</v>
      </c>
      <c r="AN506" t="s">
        <v>56</v>
      </c>
      <c r="AO506" t="s">
        <v>56</v>
      </c>
      <c r="AP506" t="s">
        <v>56</v>
      </c>
      <c r="AQ506" t="s">
        <v>71</v>
      </c>
      <c r="AR506" t="s">
        <v>56</v>
      </c>
      <c r="AS506" t="s">
        <v>56</v>
      </c>
      <c r="AT506" t="s">
        <v>56</v>
      </c>
      <c r="AU506" t="s">
        <v>56</v>
      </c>
      <c r="AV506" t="s">
        <v>56</v>
      </c>
      <c r="AW506" t="s">
        <v>56</v>
      </c>
      <c r="AX506">
        <v>4</v>
      </c>
    </row>
    <row r="507" spans="1:50" x14ac:dyDescent="0.25">
      <c r="A507" t="str">
        <f>"20200127123017044255"</f>
        <v>20200127123017044255</v>
      </c>
      <c r="B507" t="s">
        <v>190</v>
      </c>
      <c r="C507" t="s">
        <v>190</v>
      </c>
      <c r="D507" t="s">
        <v>2714</v>
      </c>
      <c r="E507" t="str">
        <f>"134300068301"</f>
        <v>134300068301</v>
      </c>
      <c r="F507" t="s">
        <v>52</v>
      </c>
      <c r="G507">
        <v>900827631</v>
      </c>
      <c r="H507">
        <v>13430</v>
      </c>
      <c r="I507" t="s">
        <v>258</v>
      </c>
      <c r="J507">
        <v>3145812515</v>
      </c>
      <c r="K507" t="s">
        <v>54</v>
      </c>
      <c r="L507">
        <v>78733522</v>
      </c>
      <c r="M507" t="s">
        <v>259</v>
      </c>
      <c r="N507" t="s">
        <v>223</v>
      </c>
      <c r="O507" t="s">
        <v>179</v>
      </c>
      <c r="P507" t="s">
        <v>260</v>
      </c>
      <c r="Q507">
        <v>23306</v>
      </c>
      <c r="R507" t="s">
        <v>54</v>
      </c>
      <c r="S507">
        <v>22981071</v>
      </c>
      <c r="T507" t="s">
        <v>2715</v>
      </c>
      <c r="U507" t="s">
        <v>62</v>
      </c>
      <c r="V507" t="s">
        <v>1873</v>
      </c>
      <c r="W507" t="s">
        <v>194</v>
      </c>
      <c r="X507" t="s">
        <v>183</v>
      </c>
      <c r="Y507" t="s">
        <v>101</v>
      </c>
      <c r="Z507">
        <v>12</v>
      </c>
      <c r="AA507" t="s">
        <v>65</v>
      </c>
      <c r="AB507" t="s">
        <v>56</v>
      </c>
      <c r="AC507" t="s">
        <v>56</v>
      </c>
      <c r="AD507">
        <v>0</v>
      </c>
      <c r="AE507" t="s">
        <v>66</v>
      </c>
      <c r="AF507" t="s">
        <v>56</v>
      </c>
      <c r="AG507" t="s">
        <v>56</v>
      </c>
      <c r="AH507" t="s">
        <v>56</v>
      </c>
      <c r="AI507" t="s">
        <v>56</v>
      </c>
      <c r="AJ507" t="s">
        <v>1696</v>
      </c>
      <c r="AK507" t="s">
        <v>1697</v>
      </c>
      <c r="AL507" t="s">
        <v>56</v>
      </c>
      <c r="AM507" t="s">
        <v>56</v>
      </c>
      <c r="AN507" t="s">
        <v>56</v>
      </c>
      <c r="AO507" t="s">
        <v>56</v>
      </c>
      <c r="AP507" t="s">
        <v>56</v>
      </c>
      <c r="AQ507" t="s">
        <v>71</v>
      </c>
      <c r="AR507" t="s">
        <v>56</v>
      </c>
      <c r="AS507" t="s">
        <v>56</v>
      </c>
      <c r="AT507" t="s">
        <v>56</v>
      </c>
      <c r="AU507" t="s">
        <v>56</v>
      </c>
      <c r="AV507" t="s">
        <v>56</v>
      </c>
      <c r="AW507" t="s">
        <v>56</v>
      </c>
      <c r="AX507">
        <v>4</v>
      </c>
    </row>
    <row r="508" spans="1:50" x14ac:dyDescent="0.25">
      <c r="A508" t="str">
        <f>"20200131133017177519"</f>
        <v>20200131133017177519</v>
      </c>
      <c r="B508" t="s">
        <v>110</v>
      </c>
      <c r="C508" t="s">
        <v>110</v>
      </c>
      <c r="D508" t="s">
        <v>2716</v>
      </c>
      <c r="E508" t="str">
        <f>"087580016101"</f>
        <v>087580016101</v>
      </c>
      <c r="F508" t="s">
        <v>52</v>
      </c>
      <c r="G508">
        <v>802013023</v>
      </c>
      <c r="H508" t="s">
        <v>74</v>
      </c>
      <c r="I508" t="s">
        <v>953</v>
      </c>
      <c r="J508">
        <v>3759400</v>
      </c>
      <c r="K508" t="s">
        <v>54</v>
      </c>
      <c r="L508">
        <v>1042442558</v>
      </c>
      <c r="M508" t="s">
        <v>1904</v>
      </c>
      <c r="N508" t="s">
        <v>519</v>
      </c>
      <c r="O508" t="s">
        <v>194</v>
      </c>
      <c r="P508" t="s">
        <v>1905</v>
      </c>
      <c r="Q508" t="s">
        <v>1906</v>
      </c>
      <c r="R508" t="s">
        <v>54</v>
      </c>
      <c r="S508">
        <v>22260519</v>
      </c>
      <c r="T508" t="s">
        <v>2581</v>
      </c>
      <c r="U508" t="s">
        <v>373</v>
      </c>
      <c r="V508" t="s">
        <v>2717</v>
      </c>
      <c r="W508" t="s">
        <v>676</v>
      </c>
      <c r="X508" t="s">
        <v>299</v>
      </c>
      <c r="Y508" t="s">
        <v>121</v>
      </c>
      <c r="Z508">
        <v>11</v>
      </c>
      <c r="AA508" t="s">
        <v>87</v>
      </c>
      <c r="AB508" t="s">
        <v>56</v>
      </c>
      <c r="AC508" t="s">
        <v>56</v>
      </c>
      <c r="AD508">
        <v>0</v>
      </c>
      <c r="AE508" t="s">
        <v>66</v>
      </c>
      <c r="AF508" t="s">
        <v>56</v>
      </c>
      <c r="AG508" t="s">
        <v>56</v>
      </c>
      <c r="AH508" t="s">
        <v>56</v>
      </c>
      <c r="AI508" t="s">
        <v>56</v>
      </c>
      <c r="AJ508" t="s">
        <v>122</v>
      </c>
      <c r="AK508" t="s">
        <v>123</v>
      </c>
      <c r="AL508" t="s">
        <v>56</v>
      </c>
      <c r="AM508" t="s">
        <v>56</v>
      </c>
      <c r="AN508" t="s">
        <v>56</v>
      </c>
      <c r="AO508" t="s">
        <v>56</v>
      </c>
      <c r="AP508" t="s">
        <v>56</v>
      </c>
      <c r="AQ508" t="s">
        <v>71</v>
      </c>
      <c r="AR508" t="s">
        <v>56</v>
      </c>
      <c r="AS508" t="s">
        <v>56</v>
      </c>
      <c r="AT508" t="s">
        <v>56</v>
      </c>
      <c r="AU508" t="s">
        <v>56</v>
      </c>
      <c r="AV508" t="s">
        <v>56</v>
      </c>
      <c r="AW508" t="s">
        <v>56</v>
      </c>
      <c r="AX508">
        <v>4</v>
      </c>
    </row>
    <row r="509" spans="1:50" x14ac:dyDescent="0.25">
      <c r="A509" t="str">
        <f>"20200130111017133618"</f>
        <v>20200130111017133618</v>
      </c>
      <c r="B509" t="s">
        <v>124</v>
      </c>
      <c r="C509" t="s">
        <v>124</v>
      </c>
      <c r="D509" t="s">
        <v>2718</v>
      </c>
      <c r="E509" t="str">
        <f>"200010222801"</f>
        <v>200010222801</v>
      </c>
      <c r="F509" t="s">
        <v>52</v>
      </c>
      <c r="G509">
        <v>901243826</v>
      </c>
      <c r="H509">
        <v>20001</v>
      </c>
      <c r="I509" t="s">
        <v>2719</v>
      </c>
      <c r="J509" t="s">
        <v>2720</v>
      </c>
      <c r="K509" t="s">
        <v>54</v>
      </c>
      <c r="L509">
        <v>8703687</v>
      </c>
      <c r="M509" t="s">
        <v>76</v>
      </c>
      <c r="N509" t="s">
        <v>424</v>
      </c>
      <c r="O509" t="s">
        <v>376</v>
      </c>
      <c r="P509" t="s">
        <v>675</v>
      </c>
      <c r="Q509">
        <v>2582</v>
      </c>
      <c r="R509" t="s">
        <v>54</v>
      </c>
      <c r="S509">
        <v>36709939</v>
      </c>
      <c r="T509" t="s">
        <v>2721</v>
      </c>
      <c r="U509" t="s">
        <v>62</v>
      </c>
      <c r="V509" t="s">
        <v>364</v>
      </c>
      <c r="W509" t="s">
        <v>1260</v>
      </c>
      <c r="X509" t="s">
        <v>2722</v>
      </c>
      <c r="Y509" t="s">
        <v>86</v>
      </c>
      <c r="Z509">
        <v>12</v>
      </c>
      <c r="AA509" t="s">
        <v>65</v>
      </c>
      <c r="AB509" t="s">
        <v>56</v>
      </c>
      <c r="AC509" t="s">
        <v>56</v>
      </c>
      <c r="AD509">
        <v>0</v>
      </c>
      <c r="AE509" t="s">
        <v>66</v>
      </c>
      <c r="AF509" t="s">
        <v>56</v>
      </c>
      <c r="AG509" t="s">
        <v>56</v>
      </c>
      <c r="AH509" t="s">
        <v>56</v>
      </c>
      <c r="AI509" t="s">
        <v>56</v>
      </c>
      <c r="AJ509" t="s">
        <v>395</v>
      </c>
      <c r="AK509" t="s">
        <v>396</v>
      </c>
      <c r="AL509" t="s">
        <v>56</v>
      </c>
      <c r="AM509" t="s">
        <v>56</v>
      </c>
      <c r="AN509" t="s">
        <v>56</v>
      </c>
      <c r="AO509" t="s">
        <v>56</v>
      </c>
      <c r="AP509" t="s">
        <v>56</v>
      </c>
      <c r="AQ509" t="s">
        <v>71</v>
      </c>
      <c r="AR509" t="s">
        <v>56</v>
      </c>
      <c r="AS509" t="s">
        <v>56</v>
      </c>
      <c r="AT509" t="s">
        <v>56</v>
      </c>
      <c r="AU509" t="s">
        <v>56</v>
      </c>
      <c r="AV509" t="s">
        <v>56</v>
      </c>
      <c r="AW509" t="s">
        <v>56</v>
      </c>
      <c r="AX509">
        <v>4</v>
      </c>
    </row>
    <row r="510" spans="1:50" x14ac:dyDescent="0.25">
      <c r="A510" t="str">
        <f>"20200124197017002379"</f>
        <v>20200124197017002379</v>
      </c>
      <c r="B510" t="s">
        <v>201</v>
      </c>
      <c r="C510" t="s">
        <v>201</v>
      </c>
      <c r="D510" t="s">
        <v>2723</v>
      </c>
      <c r="E510" t="str">
        <f>"700010111401"</f>
        <v>700010111401</v>
      </c>
      <c r="F510" t="s">
        <v>52</v>
      </c>
      <c r="G510">
        <v>900217343</v>
      </c>
      <c r="H510">
        <v>70001</v>
      </c>
      <c r="I510" t="s">
        <v>885</v>
      </c>
      <c r="J510">
        <v>2714280</v>
      </c>
      <c r="K510" t="s">
        <v>54</v>
      </c>
      <c r="L510">
        <v>55231988</v>
      </c>
      <c r="M510" t="s">
        <v>886</v>
      </c>
      <c r="N510" t="s">
        <v>56</v>
      </c>
      <c r="O510" t="s">
        <v>193</v>
      </c>
      <c r="P510" t="s">
        <v>805</v>
      </c>
      <c r="Q510">
        <v>161322009</v>
      </c>
      <c r="R510" t="s">
        <v>54</v>
      </c>
      <c r="S510">
        <v>6819284</v>
      </c>
      <c r="T510" t="s">
        <v>219</v>
      </c>
      <c r="U510" t="s">
        <v>380</v>
      </c>
      <c r="V510" t="s">
        <v>324</v>
      </c>
      <c r="W510" t="s">
        <v>2724</v>
      </c>
      <c r="X510" t="s">
        <v>605</v>
      </c>
      <c r="Y510" t="s">
        <v>330</v>
      </c>
      <c r="Z510">
        <v>12</v>
      </c>
      <c r="AA510" t="s">
        <v>65</v>
      </c>
      <c r="AB510" t="s">
        <v>56</v>
      </c>
      <c r="AC510" t="s">
        <v>56</v>
      </c>
      <c r="AD510">
        <v>0</v>
      </c>
      <c r="AE510" t="s">
        <v>66</v>
      </c>
      <c r="AF510" t="s">
        <v>56</v>
      </c>
      <c r="AG510" t="s">
        <v>56</v>
      </c>
      <c r="AH510" t="s">
        <v>56</v>
      </c>
      <c r="AI510" t="s">
        <v>56</v>
      </c>
      <c r="AJ510" t="s">
        <v>536</v>
      </c>
      <c r="AK510" t="s">
        <v>537</v>
      </c>
      <c r="AL510" t="s">
        <v>56</v>
      </c>
      <c r="AM510" t="s">
        <v>56</v>
      </c>
      <c r="AN510" t="s">
        <v>56</v>
      </c>
      <c r="AO510" t="s">
        <v>56</v>
      </c>
      <c r="AP510" t="s">
        <v>56</v>
      </c>
      <c r="AQ510" t="s">
        <v>71</v>
      </c>
      <c r="AR510" t="s">
        <v>56</v>
      </c>
      <c r="AS510" t="s">
        <v>56</v>
      </c>
      <c r="AT510" t="s">
        <v>56</v>
      </c>
      <c r="AU510" t="s">
        <v>56</v>
      </c>
      <c r="AV510" t="s">
        <v>56</v>
      </c>
      <c r="AW510" t="s">
        <v>56</v>
      </c>
      <c r="AX510">
        <v>4</v>
      </c>
    </row>
    <row r="511" spans="1:50" x14ac:dyDescent="0.25">
      <c r="A511" t="str">
        <f>"20200128193017080629"</f>
        <v>20200128193017080629</v>
      </c>
      <c r="B511" t="s">
        <v>151</v>
      </c>
      <c r="C511" t="s">
        <v>151</v>
      </c>
      <c r="D511" t="s">
        <v>2725</v>
      </c>
      <c r="E511" t="str">
        <f>"761470851601"</f>
        <v>761470851601</v>
      </c>
      <c r="F511" t="s">
        <v>52</v>
      </c>
      <c r="G511">
        <v>900472731</v>
      </c>
      <c r="H511">
        <v>76147</v>
      </c>
      <c r="I511" t="s">
        <v>53</v>
      </c>
      <c r="J511">
        <v>2146686</v>
      </c>
      <c r="K511" t="s">
        <v>54</v>
      </c>
      <c r="L511">
        <v>1129567120</v>
      </c>
      <c r="M511" t="s">
        <v>678</v>
      </c>
      <c r="N511" t="s">
        <v>56</v>
      </c>
      <c r="O511" t="s">
        <v>679</v>
      </c>
      <c r="P511" t="s">
        <v>680</v>
      </c>
      <c r="Q511">
        <v>1129567120</v>
      </c>
      <c r="R511" t="s">
        <v>54</v>
      </c>
      <c r="S511">
        <v>16207036</v>
      </c>
      <c r="T511" t="s">
        <v>76</v>
      </c>
      <c r="U511" t="s">
        <v>2078</v>
      </c>
      <c r="V511" t="s">
        <v>425</v>
      </c>
      <c r="W511" t="s">
        <v>560</v>
      </c>
      <c r="X511" t="s">
        <v>277</v>
      </c>
      <c r="Y511" t="s">
        <v>64</v>
      </c>
      <c r="Z511">
        <v>12</v>
      </c>
      <c r="AA511" t="s">
        <v>65</v>
      </c>
      <c r="AB511" t="s">
        <v>56</v>
      </c>
      <c r="AC511" t="s">
        <v>56</v>
      </c>
      <c r="AD511">
        <v>0</v>
      </c>
      <c r="AE511" t="s">
        <v>66</v>
      </c>
      <c r="AF511" t="s">
        <v>56</v>
      </c>
      <c r="AG511" t="s">
        <v>56</v>
      </c>
      <c r="AH511" t="s">
        <v>56</v>
      </c>
      <c r="AI511" t="s">
        <v>56</v>
      </c>
      <c r="AJ511" t="s">
        <v>2726</v>
      </c>
      <c r="AK511" t="s">
        <v>2727</v>
      </c>
      <c r="AL511" t="s">
        <v>56</v>
      </c>
      <c r="AM511" t="s">
        <v>56</v>
      </c>
      <c r="AN511" t="s">
        <v>56</v>
      </c>
      <c r="AO511" t="s">
        <v>56</v>
      </c>
      <c r="AP511" t="s">
        <v>56</v>
      </c>
      <c r="AQ511" t="s">
        <v>71</v>
      </c>
      <c r="AR511" t="s">
        <v>56</v>
      </c>
      <c r="AS511" t="s">
        <v>56</v>
      </c>
      <c r="AT511" t="s">
        <v>56</v>
      </c>
      <c r="AU511" t="s">
        <v>56</v>
      </c>
      <c r="AV511" t="s">
        <v>56</v>
      </c>
      <c r="AW511" t="s">
        <v>56</v>
      </c>
      <c r="AX511">
        <v>4</v>
      </c>
    </row>
    <row r="512" spans="1:50" x14ac:dyDescent="0.25">
      <c r="A512" t="str">
        <f>"20200124199017005963"</f>
        <v>20200124199017005963</v>
      </c>
      <c r="B512" t="s">
        <v>201</v>
      </c>
      <c r="C512" t="s">
        <v>201</v>
      </c>
      <c r="D512" t="s">
        <v>2728</v>
      </c>
      <c r="E512" t="str">
        <f>"700010006601"</f>
        <v>700010006601</v>
      </c>
      <c r="F512" t="s">
        <v>52</v>
      </c>
      <c r="G512">
        <v>892280033</v>
      </c>
      <c r="H512">
        <v>70001</v>
      </c>
      <c r="I512" t="s">
        <v>2101</v>
      </c>
      <c r="J512">
        <v>2823869</v>
      </c>
      <c r="K512" t="s">
        <v>54</v>
      </c>
      <c r="L512">
        <v>92497293</v>
      </c>
      <c r="M512" t="s">
        <v>854</v>
      </c>
      <c r="N512" t="s">
        <v>128</v>
      </c>
      <c r="O512" t="s">
        <v>324</v>
      </c>
      <c r="P512" t="s">
        <v>2102</v>
      </c>
      <c r="Q512">
        <v>14966</v>
      </c>
      <c r="R512" t="s">
        <v>54</v>
      </c>
      <c r="S512">
        <v>73552106</v>
      </c>
      <c r="T512" t="s">
        <v>107</v>
      </c>
      <c r="U512" t="s">
        <v>132</v>
      </c>
      <c r="V512" t="s">
        <v>2729</v>
      </c>
      <c r="W512" t="s">
        <v>364</v>
      </c>
      <c r="X512" t="s">
        <v>1277</v>
      </c>
      <c r="Y512" t="s">
        <v>101</v>
      </c>
      <c r="Z512">
        <v>12</v>
      </c>
      <c r="AA512" t="s">
        <v>65</v>
      </c>
      <c r="AB512" t="s">
        <v>56</v>
      </c>
      <c r="AC512" t="s">
        <v>56</v>
      </c>
      <c r="AD512">
        <v>0</v>
      </c>
      <c r="AE512" t="s">
        <v>66</v>
      </c>
      <c r="AF512" t="s">
        <v>56</v>
      </c>
      <c r="AG512" t="s">
        <v>56</v>
      </c>
      <c r="AH512" t="s">
        <v>56</v>
      </c>
      <c r="AI512" t="s">
        <v>56</v>
      </c>
      <c r="AJ512" t="s">
        <v>1467</v>
      </c>
      <c r="AK512" t="s">
        <v>1468</v>
      </c>
      <c r="AL512" t="s">
        <v>56</v>
      </c>
      <c r="AM512" t="s">
        <v>56</v>
      </c>
      <c r="AN512" t="s">
        <v>56</v>
      </c>
      <c r="AO512" t="s">
        <v>56</v>
      </c>
      <c r="AP512" t="s">
        <v>56</v>
      </c>
      <c r="AQ512" t="s">
        <v>71</v>
      </c>
      <c r="AR512" t="s">
        <v>56</v>
      </c>
      <c r="AS512" t="s">
        <v>56</v>
      </c>
      <c r="AT512" t="s">
        <v>56</v>
      </c>
      <c r="AU512" t="s">
        <v>56</v>
      </c>
      <c r="AV512" t="s">
        <v>56</v>
      </c>
      <c r="AW512" t="s">
        <v>56</v>
      </c>
      <c r="AX512">
        <v>4</v>
      </c>
    </row>
    <row r="513" spans="1:50" x14ac:dyDescent="0.25">
      <c r="A513" t="str">
        <f>"20200124121017000267"</f>
        <v>20200124121017000267</v>
      </c>
      <c r="B513" t="s">
        <v>201</v>
      </c>
      <c r="C513" t="s">
        <v>201</v>
      </c>
      <c r="D513" t="s">
        <v>2730</v>
      </c>
      <c r="E513" t="str">
        <f>"760010111116"</f>
        <v>760010111116</v>
      </c>
      <c r="F513" t="s">
        <v>52</v>
      </c>
      <c r="G513">
        <v>890307200</v>
      </c>
      <c r="H513">
        <v>76001</v>
      </c>
      <c r="I513" t="s">
        <v>2731</v>
      </c>
      <c r="J513" t="s">
        <v>2732</v>
      </c>
      <c r="K513" t="s">
        <v>54</v>
      </c>
      <c r="L513">
        <v>94552650</v>
      </c>
      <c r="M513" t="s">
        <v>259</v>
      </c>
      <c r="N513" t="s">
        <v>1581</v>
      </c>
      <c r="O513" t="s">
        <v>2248</v>
      </c>
      <c r="P513" t="s">
        <v>2733</v>
      </c>
      <c r="Q513">
        <v>764866</v>
      </c>
      <c r="R513" t="s">
        <v>440</v>
      </c>
      <c r="S513">
        <v>1115424423</v>
      </c>
      <c r="T513" t="s">
        <v>2734</v>
      </c>
      <c r="U513" t="s">
        <v>2735</v>
      </c>
      <c r="V513" t="s">
        <v>650</v>
      </c>
      <c r="W513" t="s">
        <v>2736</v>
      </c>
      <c r="X513" t="s">
        <v>573</v>
      </c>
      <c r="Y513" t="s">
        <v>64</v>
      </c>
      <c r="Z513">
        <v>30</v>
      </c>
      <c r="AA513" t="s">
        <v>661</v>
      </c>
      <c r="AB513">
        <v>0</v>
      </c>
      <c r="AC513" t="s">
        <v>66</v>
      </c>
      <c r="AD513">
        <v>0</v>
      </c>
      <c r="AE513" t="s">
        <v>66</v>
      </c>
      <c r="AF513" t="s">
        <v>56</v>
      </c>
      <c r="AG513" t="s">
        <v>56</v>
      </c>
      <c r="AH513" t="s">
        <v>56</v>
      </c>
      <c r="AI513" t="s">
        <v>56</v>
      </c>
      <c r="AJ513" t="s">
        <v>2737</v>
      </c>
      <c r="AK513" t="s">
        <v>2738</v>
      </c>
      <c r="AL513" t="s">
        <v>2739</v>
      </c>
      <c r="AM513" t="s">
        <v>2740</v>
      </c>
      <c r="AN513" t="s">
        <v>56</v>
      </c>
      <c r="AO513" t="s">
        <v>56</v>
      </c>
      <c r="AP513" t="s">
        <v>56</v>
      </c>
      <c r="AQ513" t="s">
        <v>71</v>
      </c>
      <c r="AR513" t="s">
        <v>56</v>
      </c>
      <c r="AS513" t="s">
        <v>56</v>
      </c>
      <c r="AT513" t="s">
        <v>56</v>
      </c>
      <c r="AU513" t="s">
        <v>56</v>
      </c>
      <c r="AV513" t="s">
        <v>56</v>
      </c>
      <c r="AW513" t="s">
        <v>56</v>
      </c>
      <c r="AX513">
        <v>4</v>
      </c>
    </row>
    <row r="514" spans="1:50" x14ac:dyDescent="0.25">
      <c r="A514" t="str">
        <f>"20200129177017116617"</f>
        <v>20200129177017116617</v>
      </c>
      <c r="B514" t="s">
        <v>72</v>
      </c>
      <c r="C514" t="s">
        <v>72</v>
      </c>
      <c r="D514" t="s">
        <v>2741</v>
      </c>
      <c r="E514" t="str">
        <f>"086380074501"</f>
        <v>086380074501</v>
      </c>
      <c r="F514" t="s">
        <v>52</v>
      </c>
      <c r="G514">
        <v>900080150</v>
      </c>
      <c r="H514" t="s">
        <v>246</v>
      </c>
      <c r="I514" t="s">
        <v>247</v>
      </c>
      <c r="J514">
        <v>8783805</v>
      </c>
      <c r="K514" t="s">
        <v>54</v>
      </c>
      <c r="L514">
        <v>32847775</v>
      </c>
      <c r="M514" t="s">
        <v>59</v>
      </c>
      <c r="N514" t="s">
        <v>342</v>
      </c>
      <c r="O514" t="s">
        <v>586</v>
      </c>
      <c r="P514" t="s">
        <v>587</v>
      </c>
      <c r="Q514" t="s">
        <v>588</v>
      </c>
      <c r="R514" t="s">
        <v>440</v>
      </c>
      <c r="S514">
        <v>1041903147</v>
      </c>
      <c r="T514" t="s">
        <v>2742</v>
      </c>
      <c r="U514" t="s">
        <v>2743</v>
      </c>
      <c r="V514" t="s">
        <v>99</v>
      </c>
      <c r="W514" t="s">
        <v>568</v>
      </c>
      <c r="X514" t="s">
        <v>1774</v>
      </c>
      <c r="Y514" t="s">
        <v>121</v>
      </c>
      <c r="Z514">
        <v>12</v>
      </c>
      <c r="AA514" t="s">
        <v>65</v>
      </c>
      <c r="AB514" t="s">
        <v>56</v>
      </c>
      <c r="AC514" t="s">
        <v>56</v>
      </c>
      <c r="AD514">
        <v>0</v>
      </c>
      <c r="AE514" t="s">
        <v>66</v>
      </c>
      <c r="AF514" t="s">
        <v>56</v>
      </c>
      <c r="AG514" t="s">
        <v>56</v>
      </c>
      <c r="AH514" t="s">
        <v>56</v>
      </c>
      <c r="AI514" t="s">
        <v>56</v>
      </c>
      <c r="AJ514" t="s">
        <v>591</v>
      </c>
      <c r="AK514" t="s">
        <v>592</v>
      </c>
      <c r="AL514" t="s">
        <v>56</v>
      </c>
      <c r="AM514" t="s">
        <v>56</v>
      </c>
      <c r="AN514" t="s">
        <v>56</v>
      </c>
      <c r="AO514" t="s">
        <v>56</v>
      </c>
      <c r="AP514" t="s">
        <v>56</v>
      </c>
      <c r="AQ514" t="s">
        <v>71</v>
      </c>
      <c r="AR514" t="s">
        <v>56</v>
      </c>
      <c r="AS514" t="s">
        <v>56</v>
      </c>
      <c r="AT514" t="s">
        <v>56</v>
      </c>
      <c r="AU514" t="s">
        <v>56</v>
      </c>
      <c r="AV514" t="s">
        <v>56</v>
      </c>
      <c r="AW514" t="s">
        <v>56</v>
      </c>
      <c r="AX514">
        <v>4</v>
      </c>
    </row>
    <row r="515" spans="1:50" x14ac:dyDescent="0.25">
      <c r="A515" t="str">
        <f>"20200131112017162801"</f>
        <v>20200131112017162801</v>
      </c>
      <c r="B515" t="s">
        <v>110</v>
      </c>
      <c r="C515" t="s">
        <v>110</v>
      </c>
      <c r="D515" t="s">
        <v>2744</v>
      </c>
      <c r="E515" t="str">
        <f>"087580106601"</f>
        <v>087580106601</v>
      </c>
      <c r="F515" t="s">
        <v>52</v>
      </c>
      <c r="G515">
        <v>802009778</v>
      </c>
      <c r="H515" t="s">
        <v>74</v>
      </c>
      <c r="I515" t="s">
        <v>1157</v>
      </c>
      <c r="J515">
        <v>3183766379</v>
      </c>
      <c r="K515" t="s">
        <v>54</v>
      </c>
      <c r="L515">
        <v>1129581577</v>
      </c>
      <c r="M515" t="s">
        <v>1599</v>
      </c>
      <c r="N515" t="s">
        <v>1600</v>
      </c>
      <c r="O515" t="s">
        <v>1601</v>
      </c>
      <c r="P515" t="s">
        <v>109</v>
      </c>
      <c r="Q515" t="s">
        <v>1602</v>
      </c>
      <c r="R515" t="s">
        <v>54</v>
      </c>
      <c r="S515">
        <v>26898399</v>
      </c>
      <c r="T515" t="s">
        <v>2745</v>
      </c>
      <c r="U515" t="s">
        <v>342</v>
      </c>
      <c r="V515" t="s">
        <v>2746</v>
      </c>
      <c r="W515" t="s">
        <v>2747</v>
      </c>
      <c r="X515" t="s">
        <v>299</v>
      </c>
      <c r="Y515" t="s">
        <v>121</v>
      </c>
      <c r="Z515">
        <v>12</v>
      </c>
      <c r="AA515" t="s">
        <v>65</v>
      </c>
      <c r="AB515" t="s">
        <v>56</v>
      </c>
      <c r="AC515" t="s">
        <v>56</v>
      </c>
      <c r="AD515">
        <v>0</v>
      </c>
      <c r="AE515" t="s">
        <v>66</v>
      </c>
      <c r="AF515" t="s">
        <v>56</v>
      </c>
      <c r="AG515" t="s">
        <v>56</v>
      </c>
      <c r="AH515" t="s">
        <v>56</v>
      </c>
      <c r="AI515" t="s">
        <v>56</v>
      </c>
      <c r="AJ515" t="s">
        <v>255</v>
      </c>
      <c r="AK515" t="s">
        <v>256</v>
      </c>
      <c r="AL515" t="s">
        <v>56</v>
      </c>
      <c r="AM515" t="s">
        <v>56</v>
      </c>
      <c r="AN515" t="s">
        <v>56</v>
      </c>
      <c r="AO515" t="s">
        <v>56</v>
      </c>
      <c r="AP515" t="s">
        <v>56</v>
      </c>
      <c r="AQ515" t="s">
        <v>71</v>
      </c>
      <c r="AR515" t="s">
        <v>56</v>
      </c>
      <c r="AS515" t="s">
        <v>56</v>
      </c>
      <c r="AT515" t="s">
        <v>56</v>
      </c>
      <c r="AU515" t="s">
        <v>56</v>
      </c>
      <c r="AV515" t="s">
        <v>56</v>
      </c>
      <c r="AW515" t="s">
        <v>56</v>
      </c>
      <c r="AX515">
        <v>4</v>
      </c>
    </row>
    <row r="516" spans="1:50" x14ac:dyDescent="0.25">
      <c r="A516" t="str">
        <f>"20200128197017072984"</f>
        <v>20200128197017072984</v>
      </c>
      <c r="B516" t="s">
        <v>151</v>
      </c>
      <c r="C516" t="s">
        <v>151</v>
      </c>
      <c r="D516" t="s">
        <v>2748</v>
      </c>
      <c r="E516" t="str">
        <f>"700010096901"</f>
        <v>700010096901</v>
      </c>
      <c r="F516" t="s">
        <v>52</v>
      </c>
      <c r="G516">
        <v>900118990</v>
      </c>
      <c r="H516">
        <v>70001</v>
      </c>
      <c r="I516" t="s">
        <v>869</v>
      </c>
      <c r="J516">
        <v>2761605</v>
      </c>
      <c r="K516" t="s">
        <v>54</v>
      </c>
      <c r="L516">
        <v>1104864752</v>
      </c>
      <c r="M516" t="s">
        <v>897</v>
      </c>
      <c r="N516" t="s">
        <v>1463</v>
      </c>
      <c r="O516" t="s">
        <v>1464</v>
      </c>
      <c r="P516" t="s">
        <v>1465</v>
      </c>
      <c r="Q516" t="s">
        <v>56</v>
      </c>
      <c r="R516" t="s">
        <v>54</v>
      </c>
      <c r="S516">
        <v>9131471</v>
      </c>
      <c r="T516" t="s">
        <v>155</v>
      </c>
      <c r="U516" t="s">
        <v>291</v>
      </c>
      <c r="V516" t="s">
        <v>1025</v>
      </c>
      <c r="W516" t="s">
        <v>939</v>
      </c>
      <c r="X516" t="s">
        <v>135</v>
      </c>
      <c r="Y516" t="s">
        <v>330</v>
      </c>
      <c r="Z516">
        <v>12</v>
      </c>
      <c r="AA516" t="s">
        <v>65</v>
      </c>
      <c r="AB516" t="s">
        <v>56</v>
      </c>
      <c r="AC516" t="s">
        <v>56</v>
      </c>
      <c r="AD516">
        <v>0</v>
      </c>
      <c r="AE516" t="s">
        <v>66</v>
      </c>
      <c r="AF516" t="s">
        <v>56</v>
      </c>
      <c r="AG516" t="s">
        <v>56</v>
      </c>
      <c r="AH516" t="s">
        <v>56</v>
      </c>
      <c r="AI516" t="s">
        <v>56</v>
      </c>
      <c r="AJ516" t="s">
        <v>1467</v>
      </c>
      <c r="AK516" t="s">
        <v>1468</v>
      </c>
      <c r="AL516" t="s">
        <v>56</v>
      </c>
      <c r="AM516" t="s">
        <v>56</v>
      </c>
      <c r="AN516" t="s">
        <v>56</v>
      </c>
      <c r="AO516" t="s">
        <v>56</v>
      </c>
      <c r="AP516" t="s">
        <v>56</v>
      </c>
      <c r="AQ516" t="s">
        <v>71</v>
      </c>
      <c r="AR516" t="s">
        <v>56</v>
      </c>
      <c r="AS516" t="s">
        <v>56</v>
      </c>
      <c r="AT516" t="s">
        <v>56</v>
      </c>
      <c r="AU516" t="s">
        <v>56</v>
      </c>
      <c r="AV516" t="s">
        <v>56</v>
      </c>
      <c r="AW516" t="s">
        <v>56</v>
      </c>
      <c r="AX516">
        <v>4</v>
      </c>
    </row>
    <row r="517" spans="1:50" x14ac:dyDescent="0.25">
      <c r="A517" t="str">
        <f>"20200129199017112866"</f>
        <v>20200129199017112866</v>
      </c>
      <c r="B517" t="s">
        <v>72</v>
      </c>
      <c r="C517" t="s">
        <v>72</v>
      </c>
      <c r="D517" t="s">
        <v>2749</v>
      </c>
      <c r="E517" t="str">
        <f>"136670015801"</f>
        <v>136670015801</v>
      </c>
      <c r="F517" t="s">
        <v>52</v>
      </c>
      <c r="G517">
        <v>806007769</v>
      </c>
      <c r="H517">
        <v>13667</v>
      </c>
      <c r="I517" t="s">
        <v>2750</v>
      </c>
      <c r="J517">
        <v>3114145513</v>
      </c>
      <c r="K517" t="s">
        <v>54</v>
      </c>
      <c r="L517">
        <v>1047381494</v>
      </c>
      <c r="M517" t="s">
        <v>734</v>
      </c>
      <c r="N517" t="s">
        <v>56</v>
      </c>
      <c r="O517" t="s">
        <v>147</v>
      </c>
      <c r="P517" t="s">
        <v>1686</v>
      </c>
      <c r="Q517">
        <v>1323392</v>
      </c>
      <c r="R517" t="s">
        <v>54</v>
      </c>
      <c r="S517">
        <v>3962093</v>
      </c>
      <c r="T517" t="s">
        <v>2751</v>
      </c>
      <c r="U517" t="s">
        <v>62</v>
      </c>
      <c r="V517" t="s">
        <v>1962</v>
      </c>
      <c r="W517" t="s">
        <v>178</v>
      </c>
      <c r="X517" t="s">
        <v>2752</v>
      </c>
      <c r="Y517" t="s">
        <v>101</v>
      </c>
      <c r="Z517">
        <v>11</v>
      </c>
      <c r="AA517" t="s">
        <v>87</v>
      </c>
      <c r="AB517" t="s">
        <v>56</v>
      </c>
      <c r="AC517" t="s">
        <v>56</v>
      </c>
      <c r="AD517">
        <v>0</v>
      </c>
      <c r="AE517" t="s">
        <v>66</v>
      </c>
      <c r="AF517" t="s">
        <v>56</v>
      </c>
      <c r="AG517" t="s">
        <v>56</v>
      </c>
      <c r="AH517" t="s">
        <v>56</v>
      </c>
      <c r="AI517" t="s">
        <v>56</v>
      </c>
      <c r="AJ517" t="s">
        <v>2320</v>
      </c>
      <c r="AK517" t="s">
        <v>2321</v>
      </c>
      <c r="AL517" t="s">
        <v>56</v>
      </c>
      <c r="AM517" t="s">
        <v>56</v>
      </c>
      <c r="AN517" t="s">
        <v>56</v>
      </c>
      <c r="AO517" t="s">
        <v>56</v>
      </c>
      <c r="AP517" t="s">
        <v>56</v>
      </c>
      <c r="AQ517" t="s">
        <v>71</v>
      </c>
      <c r="AR517" t="s">
        <v>56</v>
      </c>
      <c r="AS517" t="s">
        <v>56</v>
      </c>
      <c r="AT517" t="s">
        <v>56</v>
      </c>
      <c r="AU517" t="s">
        <v>56</v>
      </c>
      <c r="AV517" t="s">
        <v>56</v>
      </c>
      <c r="AW517" t="s">
        <v>56</v>
      </c>
      <c r="AX517">
        <v>4</v>
      </c>
    </row>
    <row r="518" spans="1:50" x14ac:dyDescent="0.25">
      <c r="A518" t="str">
        <f>"20200130166017144598"</f>
        <v>20200130166017144598</v>
      </c>
      <c r="B518" t="s">
        <v>124</v>
      </c>
      <c r="C518" t="s">
        <v>124</v>
      </c>
      <c r="D518" t="s">
        <v>2753</v>
      </c>
      <c r="E518" t="str">
        <f>"130010256801"</f>
        <v>130010256801</v>
      </c>
      <c r="F518" t="s">
        <v>52</v>
      </c>
      <c r="G518">
        <v>900602320</v>
      </c>
      <c r="H518">
        <v>13001</v>
      </c>
      <c r="I518" t="s">
        <v>418</v>
      </c>
      <c r="J518">
        <v>3145960813</v>
      </c>
      <c r="K518" t="s">
        <v>54</v>
      </c>
      <c r="L518">
        <v>57417649</v>
      </c>
      <c r="M518" t="s">
        <v>419</v>
      </c>
      <c r="N518" t="s">
        <v>420</v>
      </c>
      <c r="O518" t="s">
        <v>421</v>
      </c>
      <c r="P518" t="s">
        <v>207</v>
      </c>
      <c r="Q518" t="s">
        <v>422</v>
      </c>
      <c r="R518" t="s">
        <v>440</v>
      </c>
      <c r="S518">
        <v>1052990666</v>
      </c>
      <c r="T518" t="s">
        <v>155</v>
      </c>
      <c r="U518" t="s">
        <v>291</v>
      </c>
      <c r="V518" t="s">
        <v>1872</v>
      </c>
      <c r="W518" t="s">
        <v>478</v>
      </c>
      <c r="X518" t="s">
        <v>427</v>
      </c>
      <c r="Y518" t="s">
        <v>101</v>
      </c>
      <c r="Z518">
        <v>11</v>
      </c>
      <c r="AA518" t="s">
        <v>87</v>
      </c>
      <c r="AB518" t="s">
        <v>56</v>
      </c>
      <c r="AC518" t="s">
        <v>56</v>
      </c>
      <c r="AD518">
        <v>0</v>
      </c>
      <c r="AE518" t="s">
        <v>66</v>
      </c>
      <c r="AF518" t="s">
        <v>56</v>
      </c>
      <c r="AG518" t="s">
        <v>56</v>
      </c>
      <c r="AH518" t="s">
        <v>56</v>
      </c>
      <c r="AI518" t="s">
        <v>56</v>
      </c>
      <c r="AJ518" t="s">
        <v>930</v>
      </c>
      <c r="AK518" t="s">
        <v>931</v>
      </c>
      <c r="AL518" t="s">
        <v>1487</v>
      </c>
      <c r="AM518" t="s">
        <v>1488</v>
      </c>
      <c r="AN518" t="s">
        <v>56</v>
      </c>
      <c r="AO518" t="s">
        <v>56</v>
      </c>
      <c r="AP518" t="s">
        <v>56</v>
      </c>
      <c r="AQ518" t="s">
        <v>71</v>
      </c>
      <c r="AR518" t="s">
        <v>56</v>
      </c>
      <c r="AS518" t="s">
        <v>56</v>
      </c>
      <c r="AT518" t="s">
        <v>56</v>
      </c>
      <c r="AU518" t="s">
        <v>56</v>
      </c>
      <c r="AV518" t="s">
        <v>56</v>
      </c>
      <c r="AW518" t="s">
        <v>56</v>
      </c>
      <c r="AX518">
        <v>4</v>
      </c>
    </row>
    <row r="519" spans="1:50" x14ac:dyDescent="0.25">
      <c r="A519" t="str">
        <f>"20200124177016997524"</f>
        <v>20200124177016997524</v>
      </c>
      <c r="B519" t="s">
        <v>201</v>
      </c>
      <c r="C519" t="s">
        <v>201</v>
      </c>
      <c r="D519" t="s">
        <v>2754</v>
      </c>
      <c r="E519" t="str">
        <f>"080010349401"</f>
        <v>080010349401</v>
      </c>
      <c r="F519" t="s">
        <v>52</v>
      </c>
      <c r="G519">
        <v>900458308</v>
      </c>
      <c r="H519" t="s">
        <v>112</v>
      </c>
      <c r="I519" t="s">
        <v>370</v>
      </c>
      <c r="J519" t="s">
        <v>371</v>
      </c>
      <c r="K519" t="s">
        <v>54</v>
      </c>
      <c r="L519">
        <v>1143378811</v>
      </c>
      <c r="M519" t="s">
        <v>372</v>
      </c>
      <c r="N519" t="s">
        <v>373</v>
      </c>
      <c r="O519" t="s">
        <v>109</v>
      </c>
      <c r="P519" t="s">
        <v>374</v>
      </c>
      <c r="Q519">
        <v>1143378811</v>
      </c>
      <c r="R519" t="s">
        <v>54</v>
      </c>
      <c r="S519">
        <v>32614302</v>
      </c>
      <c r="T519" t="s">
        <v>2755</v>
      </c>
      <c r="U519" t="s">
        <v>117</v>
      </c>
      <c r="V519" t="s">
        <v>2009</v>
      </c>
      <c r="W519" t="s">
        <v>263</v>
      </c>
      <c r="X519" t="s">
        <v>383</v>
      </c>
      <c r="Y519" t="s">
        <v>121</v>
      </c>
      <c r="Z519">
        <v>12</v>
      </c>
      <c r="AA519" t="s">
        <v>65</v>
      </c>
      <c r="AB519" t="s">
        <v>56</v>
      </c>
      <c r="AC519" t="s">
        <v>56</v>
      </c>
      <c r="AD519">
        <v>0</v>
      </c>
      <c r="AE519" t="s">
        <v>66</v>
      </c>
      <c r="AF519" t="s">
        <v>56</v>
      </c>
      <c r="AG519" t="s">
        <v>56</v>
      </c>
      <c r="AH519" t="s">
        <v>56</v>
      </c>
      <c r="AI519" t="s">
        <v>56</v>
      </c>
      <c r="AJ519" t="s">
        <v>356</v>
      </c>
      <c r="AK519" t="s">
        <v>357</v>
      </c>
      <c r="AL519" t="s">
        <v>255</v>
      </c>
      <c r="AM519" t="s">
        <v>256</v>
      </c>
      <c r="AN519" t="s">
        <v>56</v>
      </c>
      <c r="AO519" t="s">
        <v>56</v>
      </c>
      <c r="AP519" t="s">
        <v>56</v>
      </c>
      <c r="AQ519" t="s">
        <v>71</v>
      </c>
      <c r="AR519" t="s">
        <v>56</v>
      </c>
      <c r="AS519" t="s">
        <v>56</v>
      </c>
      <c r="AT519" t="s">
        <v>56</v>
      </c>
      <c r="AU519" t="s">
        <v>56</v>
      </c>
      <c r="AV519" t="s">
        <v>56</v>
      </c>
      <c r="AW519" t="s">
        <v>56</v>
      </c>
      <c r="AX519">
        <v>4</v>
      </c>
    </row>
    <row r="520" spans="1:50" x14ac:dyDescent="0.25">
      <c r="A520" t="str">
        <f>"20200129123017105856"</f>
        <v>20200129123017105856</v>
      </c>
      <c r="B520" t="s">
        <v>72</v>
      </c>
      <c r="C520" t="s">
        <v>72</v>
      </c>
      <c r="D520" t="s">
        <v>2756</v>
      </c>
      <c r="E520" t="str">
        <f>"761471036701"</f>
        <v>761471036701</v>
      </c>
      <c r="F520" t="s">
        <v>52</v>
      </c>
      <c r="G520">
        <v>900235279</v>
      </c>
      <c r="H520">
        <v>76147</v>
      </c>
      <c r="I520" t="s">
        <v>878</v>
      </c>
      <c r="J520" t="s">
        <v>879</v>
      </c>
      <c r="K520" t="s">
        <v>54</v>
      </c>
      <c r="L520">
        <v>75064578</v>
      </c>
      <c r="M520" t="s">
        <v>897</v>
      </c>
      <c r="N520" t="s">
        <v>291</v>
      </c>
      <c r="O520" t="s">
        <v>2757</v>
      </c>
      <c r="P520" t="s">
        <v>109</v>
      </c>
      <c r="Q520">
        <v>15185</v>
      </c>
      <c r="R520" t="s">
        <v>54</v>
      </c>
      <c r="S520">
        <v>25190243</v>
      </c>
      <c r="T520" t="s">
        <v>1812</v>
      </c>
      <c r="U520" t="s">
        <v>62</v>
      </c>
      <c r="V520" t="s">
        <v>2758</v>
      </c>
      <c r="W520" t="s">
        <v>2759</v>
      </c>
      <c r="X520" t="s">
        <v>277</v>
      </c>
      <c r="Y520" t="s">
        <v>64</v>
      </c>
      <c r="Z520">
        <v>12</v>
      </c>
      <c r="AA520" t="s">
        <v>65</v>
      </c>
      <c r="AB520" t="s">
        <v>56</v>
      </c>
      <c r="AC520" t="s">
        <v>56</v>
      </c>
      <c r="AD520">
        <v>0</v>
      </c>
      <c r="AE520" t="s">
        <v>66</v>
      </c>
      <c r="AF520" t="s">
        <v>56</v>
      </c>
      <c r="AG520" t="s">
        <v>56</v>
      </c>
      <c r="AH520" t="s">
        <v>56</v>
      </c>
      <c r="AI520" t="s">
        <v>56</v>
      </c>
      <c r="AJ520" t="s">
        <v>318</v>
      </c>
      <c r="AK520" t="s">
        <v>319</v>
      </c>
      <c r="AL520" t="s">
        <v>2760</v>
      </c>
      <c r="AM520" t="s">
        <v>2761</v>
      </c>
      <c r="AN520" t="s">
        <v>56</v>
      </c>
      <c r="AO520" t="s">
        <v>56</v>
      </c>
      <c r="AP520" t="s">
        <v>56</v>
      </c>
      <c r="AQ520" t="s">
        <v>71</v>
      </c>
      <c r="AR520" t="s">
        <v>56</v>
      </c>
      <c r="AS520" t="s">
        <v>56</v>
      </c>
      <c r="AT520" t="s">
        <v>56</v>
      </c>
      <c r="AU520" t="s">
        <v>56</v>
      </c>
      <c r="AV520" t="s">
        <v>56</v>
      </c>
      <c r="AW520" t="s">
        <v>56</v>
      </c>
      <c r="AX520">
        <v>4</v>
      </c>
    </row>
    <row r="521" spans="1:50" x14ac:dyDescent="0.25">
      <c r="A521" t="str">
        <f>"20200129176017105124"</f>
        <v>20200129176017105124</v>
      </c>
      <c r="B521" t="s">
        <v>72</v>
      </c>
      <c r="C521" t="s">
        <v>72</v>
      </c>
      <c r="D521" t="s">
        <v>2762</v>
      </c>
      <c r="E521" t="str">
        <f>"270010112501"</f>
        <v>270010112501</v>
      </c>
      <c r="F521" t="s">
        <v>52</v>
      </c>
      <c r="G521">
        <v>900604984</v>
      </c>
      <c r="H521">
        <v>27001</v>
      </c>
      <c r="I521" t="s">
        <v>2763</v>
      </c>
      <c r="J521">
        <v>3122303518</v>
      </c>
      <c r="K521" t="s">
        <v>54</v>
      </c>
      <c r="L521">
        <v>72261178</v>
      </c>
      <c r="M521" t="s">
        <v>1992</v>
      </c>
      <c r="N521" t="s">
        <v>94</v>
      </c>
      <c r="O521" t="s">
        <v>2764</v>
      </c>
      <c r="P521" t="s">
        <v>1073</v>
      </c>
      <c r="Q521">
        <v>273661</v>
      </c>
      <c r="R521" t="s">
        <v>54</v>
      </c>
      <c r="S521">
        <v>8421610</v>
      </c>
      <c r="T521" t="s">
        <v>2765</v>
      </c>
      <c r="U521" t="s">
        <v>62</v>
      </c>
      <c r="V521" t="s">
        <v>682</v>
      </c>
      <c r="W521" t="s">
        <v>62</v>
      </c>
      <c r="X521" t="s">
        <v>2125</v>
      </c>
      <c r="Y521" t="s">
        <v>717</v>
      </c>
      <c r="Z521">
        <v>11</v>
      </c>
      <c r="AA521" t="s">
        <v>87</v>
      </c>
      <c r="AB521" t="s">
        <v>56</v>
      </c>
      <c r="AC521" t="s">
        <v>56</v>
      </c>
      <c r="AD521">
        <v>0</v>
      </c>
      <c r="AE521" t="s">
        <v>66</v>
      </c>
      <c r="AF521" t="s">
        <v>56</v>
      </c>
      <c r="AG521" t="s">
        <v>56</v>
      </c>
      <c r="AH521" t="s">
        <v>56</v>
      </c>
      <c r="AI521" t="s">
        <v>56</v>
      </c>
      <c r="AJ521" t="s">
        <v>1851</v>
      </c>
      <c r="AK521" t="s">
        <v>1852</v>
      </c>
      <c r="AL521" t="s">
        <v>56</v>
      </c>
      <c r="AM521" t="s">
        <v>56</v>
      </c>
      <c r="AN521" t="s">
        <v>56</v>
      </c>
      <c r="AO521" t="s">
        <v>56</v>
      </c>
      <c r="AP521" t="s">
        <v>56</v>
      </c>
      <c r="AQ521" t="s">
        <v>71</v>
      </c>
      <c r="AR521" t="s">
        <v>56</v>
      </c>
      <c r="AS521" t="s">
        <v>56</v>
      </c>
      <c r="AT521" t="s">
        <v>56</v>
      </c>
      <c r="AU521" t="s">
        <v>56</v>
      </c>
      <c r="AV521" t="s">
        <v>56</v>
      </c>
      <c r="AW521" t="s">
        <v>56</v>
      </c>
      <c r="AX521">
        <v>4</v>
      </c>
    </row>
    <row r="522" spans="1:50" x14ac:dyDescent="0.25">
      <c r="A522" t="str">
        <f>"20200127121017050294"</f>
        <v>20200127121017050294</v>
      </c>
      <c r="B522" t="s">
        <v>190</v>
      </c>
      <c r="C522" t="s">
        <v>190</v>
      </c>
      <c r="D522" t="s">
        <v>2766</v>
      </c>
      <c r="E522" t="str">
        <f>"200010205401"</f>
        <v>200010205401</v>
      </c>
      <c r="F522" t="s">
        <v>52</v>
      </c>
      <c r="G522">
        <v>901058547</v>
      </c>
      <c r="H522">
        <v>20001</v>
      </c>
      <c r="I522" t="s">
        <v>512</v>
      </c>
      <c r="J522" t="s">
        <v>513</v>
      </c>
      <c r="K522" t="s">
        <v>54</v>
      </c>
      <c r="L522">
        <v>56078839</v>
      </c>
      <c r="M522" t="s">
        <v>577</v>
      </c>
      <c r="N522" t="s">
        <v>275</v>
      </c>
      <c r="O522" t="s">
        <v>225</v>
      </c>
      <c r="P522" t="s">
        <v>578</v>
      </c>
      <c r="Q522">
        <v>7093</v>
      </c>
      <c r="R522" t="s">
        <v>54</v>
      </c>
      <c r="S522">
        <v>26869820</v>
      </c>
      <c r="T522" t="s">
        <v>504</v>
      </c>
      <c r="U522" t="s">
        <v>275</v>
      </c>
      <c r="V522" t="s">
        <v>99</v>
      </c>
      <c r="W522" t="s">
        <v>1601</v>
      </c>
      <c r="X522" t="s">
        <v>148</v>
      </c>
      <c r="Y522" t="s">
        <v>86</v>
      </c>
      <c r="Z522">
        <v>11</v>
      </c>
      <c r="AA522" t="s">
        <v>87</v>
      </c>
      <c r="AB522" t="s">
        <v>56</v>
      </c>
      <c r="AC522" t="s">
        <v>56</v>
      </c>
      <c r="AD522">
        <v>0</v>
      </c>
      <c r="AE522" t="s">
        <v>66</v>
      </c>
      <c r="AF522" t="s">
        <v>56</v>
      </c>
      <c r="AG522" t="s">
        <v>56</v>
      </c>
      <c r="AH522" t="s">
        <v>56</v>
      </c>
      <c r="AI522" t="s">
        <v>56</v>
      </c>
      <c r="AJ522" t="s">
        <v>583</v>
      </c>
      <c r="AK522" t="s">
        <v>584</v>
      </c>
      <c r="AL522" t="s">
        <v>56</v>
      </c>
      <c r="AM522" t="s">
        <v>56</v>
      </c>
      <c r="AN522" t="s">
        <v>56</v>
      </c>
      <c r="AO522" t="s">
        <v>56</v>
      </c>
      <c r="AP522" t="s">
        <v>56</v>
      </c>
      <c r="AQ522" t="s">
        <v>71</v>
      </c>
      <c r="AR522" t="s">
        <v>56</v>
      </c>
      <c r="AS522" t="s">
        <v>56</v>
      </c>
      <c r="AT522" t="s">
        <v>56</v>
      </c>
      <c r="AU522" t="s">
        <v>56</v>
      </c>
      <c r="AV522" t="s">
        <v>56</v>
      </c>
      <c r="AW522" t="s">
        <v>56</v>
      </c>
      <c r="AX522">
        <v>4</v>
      </c>
    </row>
    <row r="523" spans="1:50" x14ac:dyDescent="0.25">
      <c r="A523" t="str">
        <f>"20200130149017150131"</f>
        <v>20200130149017150131</v>
      </c>
      <c r="B523" t="s">
        <v>124</v>
      </c>
      <c r="C523" t="s">
        <v>124</v>
      </c>
      <c r="D523" t="s">
        <v>2767</v>
      </c>
      <c r="E523" t="str">
        <f>"080010122201"</f>
        <v>080010122201</v>
      </c>
      <c r="F523" t="s">
        <v>52</v>
      </c>
      <c r="G523">
        <v>890116783</v>
      </c>
      <c r="H523" t="s">
        <v>112</v>
      </c>
      <c r="I523" t="s">
        <v>1796</v>
      </c>
      <c r="J523">
        <v>3781220</v>
      </c>
      <c r="K523" t="s">
        <v>54</v>
      </c>
      <c r="L523">
        <v>7412354</v>
      </c>
      <c r="M523" t="s">
        <v>128</v>
      </c>
      <c r="N523" t="s">
        <v>380</v>
      </c>
      <c r="O523" t="s">
        <v>224</v>
      </c>
      <c r="P523" t="s">
        <v>1254</v>
      </c>
      <c r="Q523">
        <v>879</v>
      </c>
      <c r="R523" t="s">
        <v>54</v>
      </c>
      <c r="S523">
        <v>22798297</v>
      </c>
      <c r="T523" t="s">
        <v>2768</v>
      </c>
      <c r="U523" t="s">
        <v>2769</v>
      </c>
      <c r="V523" t="s">
        <v>1962</v>
      </c>
      <c r="W523" t="s">
        <v>297</v>
      </c>
      <c r="X523" t="s">
        <v>299</v>
      </c>
      <c r="Y523" t="s">
        <v>121</v>
      </c>
      <c r="Z523">
        <v>12</v>
      </c>
      <c r="AA523" t="s">
        <v>65</v>
      </c>
      <c r="AB523" t="s">
        <v>56</v>
      </c>
      <c r="AC523" t="s">
        <v>56</v>
      </c>
      <c r="AD523">
        <v>0</v>
      </c>
      <c r="AE523" t="s">
        <v>66</v>
      </c>
      <c r="AF523" t="s">
        <v>56</v>
      </c>
      <c r="AG523" t="s">
        <v>56</v>
      </c>
      <c r="AH523" t="s">
        <v>56</v>
      </c>
      <c r="AI523" t="s">
        <v>56</v>
      </c>
      <c r="AJ523" t="s">
        <v>1801</v>
      </c>
      <c r="AK523" t="s">
        <v>1802</v>
      </c>
      <c r="AL523" t="s">
        <v>56</v>
      </c>
      <c r="AM523" t="s">
        <v>56</v>
      </c>
      <c r="AN523" t="s">
        <v>56</v>
      </c>
      <c r="AO523" t="s">
        <v>56</v>
      </c>
      <c r="AP523" t="s">
        <v>56</v>
      </c>
      <c r="AQ523" t="s">
        <v>71</v>
      </c>
      <c r="AR523" t="s">
        <v>56</v>
      </c>
      <c r="AS523" t="s">
        <v>56</v>
      </c>
      <c r="AT523" t="s">
        <v>56</v>
      </c>
      <c r="AU523" t="s">
        <v>56</v>
      </c>
      <c r="AV523" t="s">
        <v>56</v>
      </c>
      <c r="AW523" t="s">
        <v>56</v>
      </c>
      <c r="AX523">
        <v>4</v>
      </c>
    </row>
    <row r="524" spans="1:50" x14ac:dyDescent="0.25">
      <c r="A524" t="str">
        <f>"20200131148017160745"</f>
        <v>20200131148017160745</v>
      </c>
      <c r="B524" t="s">
        <v>110</v>
      </c>
      <c r="C524" t="s">
        <v>110</v>
      </c>
      <c r="D524" t="s">
        <v>2770</v>
      </c>
      <c r="E524" t="str">
        <f>"470010146901"</f>
        <v>470010146901</v>
      </c>
      <c r="F524" t="s">
        <v>52</v>
      </c>
      <c r="G524">
        <v>901159139</v>
      </c>
      <c r="H524">
        <v>47001</v>
      </c>
      <c r="I524" t="s">
        <v>1041</v>
      </c>
      <c r="J524">
        <v>3014822187</v>
      </c>
      <c r="K524" t="s">
        <v>54</v>
      </c>
      <c r="L524">
        <v>1082874082</v>
      </c>
      <c r="M524" t="s">
        <v>2771</v>
      </c>
      <c r="N524" t="s">
        <v>424</v>
      </c>
      <c r="O524" t="s">
        <v>2772</v>
      </c>
      <c r="P524" t="s">
        <v>2773</v>
      </c>
      <c r="Q524" t="s">
        <v>2774</v>
      </c>
      <c r="R524" t="s">
        <v>237</v>
      </c>
      <c r="S524">
        <v>1176964226</v>
      </c>
      <c r="T524" t="s">
        <v>2775</v>
      </c>
      <c r="U524" t="s">
        <v>2776</v>
      </c>
      <c r="V524" t="s">
        <v>2777</v>
      </c>
      <c r="W524" t="s">
        <v>2778</v>
      </c>
      <c r="X524" t="s">
        <v>1045</v>
      </c>
      <c r="Y524" t="s">
        <v>345</v>
      </c>
      <c r="Z524">
        <v>11</v>
      </c>
      <c r="AA524" t="s">
        <v>87</v>
      </c>
      <c r="AB524" t="s">
        <v>56</v>
      </c>
      <c r="AC524" t="s">
        <v>56</v>
      </c>
      <c r="AD524">
        <v>0</v>
      </c>
      <c r="AE524" t="s">
        <v>66</v>
      </c>
      <c r="AF524" t="s">
        <v>56</v>
      </c>
      <c r="AG524" t="s">
        <v>56</v>
      </c>
      <c r="AH524" t="s">
        <v>56</v>
      </c>
      <c r="AI524" t="s">
        <v>56</v>
      </c>
      <c r="AJ524" t="s">
        <v>2779</v>
      </c>
      <c r="AK524" t="s">
        <v>2780</v>
      </c>
      <c r="AL524" t="s">
        <v>56</v>
      </c>
      <c r="AM524" t="s">
        <v>56</v>
      </c>
      <c r="AN524" t="s">
        <v>56</v>
      </c>
      <c r="AO524" t="s">
        <v>56</v>
      </c>
      <c r="AP524" t="s">
        <v>56</v>
      </c>
      <c r="AQ524" t="s">
        <v>71</v>
      </c>
      <c r="AR524" t="s">
        <v>56</v>
      </c>
      <c r="AS524" t="s">
        <v>56</v>
      </c>
      <c r="AT524" t="s">
        <v>56</v>
      </c>
      <c r="AU524" t="s">
        <v>56</v>
      </c>
      <c r="AV524" t="s">
        <v>56</v>
      </c>
      <c r="AW524" t="s">
        <v>56</v>
      </c>
      <c r="AX524">
        <v>4</v>
      </c>
    </row>
    <row r="525" spans="1:50" x14ac:dyDescent="0.25">
      <c r="A525" t="str">
        <f>"20200127149017063990"</f>
        <v>20200127149017063990</v>
      </c>
      <c r="B525" t="s">
        <v>190</v>
      </c>
      <c r="C525" t="s">
        <v>190</v>
      </c>
      <c r="D525" t="s">
        <v>2029</v>
      </c>
      <c r="E525" t="str">
        <f>"080010003601"</f>
        <v>080010003601</v>
      </c>
      <c r="F525" t="s">
        <v>52</v>
      </c>
      <c r="G525">
        <v>802000955</v>
      </c>
      <c r="H525" t="s">
        <v>112</v>
      </c>
      <c r="I525" t="s">
        <v>218</v>
      </c>
      <c r="J525" t="s">
        <v>56</v>
      </c>
      <c r="K525" t="s">
        <v>54</v>
      </c>
      <c r="L525">
        <v>1045754222</v>
      </c>
      <c r="M525" t="s">
        <v>607</v>
      </c>
      <c r="N525" t="s">
        <v>117</v>
      </c>
      <c r="O525" t="s">
        <v>608</v>
      </c>
      <c r="P525" t="s">
        <v>528</v>
      </c>
      <c r="Q525">
        <v>1045754222</v>
      </c>
      <c r="R525" t="s">
        <v>54</v>
      </c>
      <c r="S525">
        <v>1002411042</v>
      </c>
      <c r="T525" t="s">
        <v>1042</v>
      </c>
      <c r="U525" t="s">
        <v>128</v>
      </c>
      <c r="V525" t="s">
        <v>2781</v>
      </c>
      <c r="W525" t="s">
        <v>263</v>
      </c>
      <c r="X525" t="s">
        <v>1098</v>
      </c>
      <c r="Y525" t="s">
        <v>101</v>
      </c>
      <c r="Z525">
        <v>12</v>
      </c>
      <c r="AA525" t="s">
        <v>65</v>
      </c>
      <c r="AB525" t="s">
        <v>56</v>
      </c>
      <c r="AC525" t="s">
        <v>56</v>
      </c>
      <c r="AD525">
        <v>0</v>
      </c>
      <c r="AE525" t="s">
        <v>66</v>
      </c>
      <c r="AF525" t="s">
        <v>56</v>
      </c>
      <c r="AG525" t="s">
        <v>56</v>
      </c>
      <c r="AH525" t="s">
        <v>56</v>
      </c>
      <c r="AI525" t="s">
        <v>56</v>
      </c>
      <c r="AJ525" t="s">
        <v>536</v>
      </c>
      <c r="AK525" t="s">
        <v>537</v>
      </c>
      <c r="AL525" t="s">
        <v>56</v>
      </c>
      <c r="AM525" t="s">
        <v>56</v>
      </c>
      <c r="AN525" t="s">
        <v>56</v>
      </c>
      <c r="AO525" t="s">
        <v>56</v>
      </c>
      <c r="AP525" t="s">
        <v>56</v>
      </c>
      <c r="AQ525" t="s">
        <v>71</v>
      </c>
      <c r="AR525" t="s">
        <v>56</v>
      </c>
      <c r="AS525" t="s">
        <v>56</v>
      </c>
      <c r="AT525" t="s">
        <v>56</v>
      </c>
      <c r="AU525" t="s">
        <v>56</v>
      </c>
      <c r="AV525" t="s">
        <v>56</v>
      </c>
      <c r="AW525" t="s">
        <v>56</v>
      </c>
      <c r="AX525">
        <v>4</v>
      </c>
    </row>
    <row r="526" spans="1:50" x14ac:dyDescent="0.25">
      <c r="A526" t="str">
        <f>"20200129169017112746"</f>
        <v>20200129169017112746</v>
      </c>
      <c r="B526" t="s">
        <v>72</v>
      </c>
      <c r="C526" t="s">
        <v>72</v>
      </c>
      <c r="D526" t="s">
        <v>2782</v>
      </c>
      <c r="E526" t="str">
        <f>"086380074501"</f>
        <v>086380074501</v>
      </c>
      <c r="F526" t="s">
        <v>52</v>
      </c>
      <c r="G526">
        <v>900080150</v>
      </c>
      <c r="H526" t="s">
        <v>246</v>
      </c>
      <c r="I526" t="s">
        <v>247</v>
      </c>
      <c r="J526">
        <v>8783805</v>
      </c>
      <c r="K526" t="s">
        <v>54</v>
      </c>
      <c r="L526">
        <v>32847775</v>
      </c>
      <c r="M526" t="s">
        <v>59</v>
      </c>
      <c r="N526" t="s">
        <v>342</v>
      </c>
      <c r="O526" t="s">
        <v>586</v>
      </c>
      <c r="P526" t="s">
        <v>587</v>
      </c>
      <c r="Q526" t="s">
        <v>588</v>
      </c>
      <c r="R526" t="s">
        <v>54</v>
      </c>
      <c r="S526">
        <v>22629276</v>
      </c>
      <c r="T526" t="s">
        <v>804</v>
      </c>
      <c r="U526" t="s">
        <v>117</v>
      </c>
      <c r="V526" t="s">
        <v>1794</v>
      </c>
      <c r="W526" t="s">
        <v>2783</v>
      </c>
      <c r="X526" t="s">
        <v>590</v>
      </c>
      <c r="Y526" t="s">
        <v>121</v>
      </c>
      <c r="Z526">
        <v>12</v>
      </c>
      <c r="AA526" t="s">
        <v>65</v>
      </c>
      <c r="AB526" t="s">
        <v>56</v>
      </c>
      <c r="AC526" t="s">
        <v>56</v>
      </c>
      <c r="AD526">
        <v>0</v>
      </c>
      <c r="AE526" t="s">
        <v>66</v>
      </c>
      <c r="AF526" t="s">
        <v>56</v>
      </c>
      <c r="AG526" t="s">
        <v>56</v>
      </c>
      <c r="AH526" t="s">
        <v>56</v>
      </c>
      <c r="AI526" t="s">
        <v>56</v>
      </c>
      <c r="AJ526" t="s">
        <v>828</v>
      </c>
      <c r="AK526" t="s">
        <v>829</v>
      </c>
      <c r="AL526" t="s">
        <v>56</v>
      </c>
      <c r="AM526" t="s">
        <v>56</v>
      </c>
      <c r="AN526" t="s">
        <v>56</v>
      </c>
      <c r="AO526" t="s">
        <v>56</v>
      </c>
      <c r="AP526" t="s">
        <v>56</v>
      </c>
      <c r="AQ526" t="s">
        <v>71</v>
      </c>
      <c r="AR526" t="s">
        <v>56</v>
      </c>
      <c r="AS526" t="s">
        <v>56</v>
      </c>
      <c r="AT526" t="s">
        <v>56</v>
      </c>
      <c r="AU526" t="s">
        <v>56</v>
      </c>
      <c r="AV526" t="s">
        <v>56</v>
      </c>
      <c r="AW526" t="s">
        <v>56</v>
      </c>
      <c r="AX526">
        <v>4</v>
      </c>
    </row>
    <row r="527" spans="1:50" x14ac:dyDescent="0.25">
      <c r="A527" t="str">
        <f>"20200130196017147222"</f>
        <v>20200130196017147222</v>
      </c>
      <c r="B527" t="s">
        <v>124</v>
      </c>
      <c r="C527" t="s">
        <v>124</v>
      </c>
      <c r="D527" t="s">
        <v>2784</v>
      </c>
      <c r="E527" t="str">
        <f>"080010445408"</f>
        <v>080010445408</v>
      </c>
      <c r="F527" t="s">
        <v>52</v>
      </c>
      <c r="G527">
        <v>901139193</v>
      </c>
      <c r="H527" t="s">
        <v>112</v>
      </c>
      <c r="I527" t="s">
        <v>2785</v>
      </c>
      <c r="J527">
        <v>3781483</v>
      </c>
      <c r="K527" t="s">
        <v>54</v>
      </c>
      <c r="L527">
        <v>12523588</v>
      </c>
      <c r="M527" t="s">
        <v>2786</v>
      </c>
      <c r="N527" t="s">
        <v>2218</v>
      </c>
      <c r="O527" t="s">
        <v>801</v>
      </c>
      <c r="P527" t="s">
        <v>1789</v>
      </c>
      <c r="Q527">
        <v>12523588</v>
      </c>
      <c r="R527" t="s">
        <v>54</v>
      </c>
      <c r="S527">
        <v>22846324</v>
      </c>
      <c r="T527" t="s">
        <v>504</v>
      </c>
      <c r="U527" t="s">
        <v>1555</v>
      </c>
      <c r="V527" t="s">
        <v>2522</v>
      </c>
      <c r="W527" t="s">
        <v>2787</v>
      </c>
      <c r="X527" t="s">
        <v>1098</v>
      </c>
      <c r="Y527" t="s">
        <v>101</v>
      </c>
      <c r="Z527">
        <v>12</v>
      </c>
      <c r="AA527" t="s">
        <v>65</v>
      </c>
      <c r="AB527" t="s">
        <v>56</v>
      </c>
      <c r="AC527" t="s">
        <v>56</v>
      </c>
      <c r="AD527">
        <v>0</v>
      </c>
      <c r="AE527" t="s">
        <v>66</v>
      </c>
      <c r="AF527" t="s">
        <v>56</v>
      </c>
      <c r="AG527" t="s">
        <v>56</v>
      </c>
      <c r="AH527" t="s">
        <v>56</v>
      </c>
      <c r="AI527" t="s">
        <v>56</v>
      </c>
      <c r="AJ527" t="s">
        <v>215</v>
      </c>
      <c r="AK527" t="s">
        <v>216</v>
      </c>
      <c r="AL527" t="s">
        <v>56</v>
      </c>
      <c r="AM527" t="s">
        <v>56</v>
      </c>
      <c r="AN527" t="s">
        <v>56</v>
      </c>
      <c r="AO527" t="s">
        <v>56</v>
      </c>
      <c r="AP527" t="s">
        <v>56</v>
      </c>
      <c r="AQ527" t="s">
        <v>71</v>
      </c>
      <c r="AR527" t="s">
        <v>56</v>
      </c>
      <c r="AS527" t="s">
        <v>56</v>
      </c>
      <c r="AT527" t="s">
        <v>56</v>
      </c>
      <c r="AU527" t="s">
        <v>56</v>
      </c>
      <c r="AV527" t="s">
        <v>56</v>
      </c>
      <c r="AW527" t="s">
        <v>56</v>
      </c>
      <c r="AX527">
        <v>4</v>
      </c>
    </row>
    <row r="528" spans="1:50" x14ac:dyDescent="0.25">
      <c r="A528" t="str">
        <f>"20200129114017113798"</f>
        <v>20200129114017113798</v>
      </c>
      <c r="B528" t="s">
        <v>72</v>
      </c>
      <c r="C528" t="s">
        <v>72</v>
      </c>
      <c r="D528" t="s">
        <v>2788</v>
      </c>
      <c r="E528" t="str">
        <f>"080010380001"</f>
        <v>080010380001</v>
      </c>
      <c r="F528" t="s">
        <v>52</v>
      </c>
      <c r="G528">
        <v>900665930</v>
      </c>
      <c r="H528" t="s">
        <v>112</v>
      </c>
      <c r="I528" t="s">
        <v>113</v>
      </c>
      <c r="J528">
        <v>3175759202</v>
      </c>
      <c r="K528" t="s">
        <v>54</v>
      </c>
      <c r="L528">
        <v>1045724464</v>
      </c>
      <c r="M528" t="s">
        <v>59</v>
      </c>
      <c r="N528" t="s">
        <v>114</v>
      </c>
      <c r="O528" t="s">
        <v>115</v>
      </c>
      <c r="P528" t="s">
        <v>116</v>
      </c>
      <c r="Q528">
        <v>1045724464</v>
      </c>
      <c r="R528" t="s">
        <v>54</v>
      </c>
      <c r="S528">
        <v>22375961</v>
      </c>
      <c r="T528" t="s">
        <v>117</v>
      </c>
      <c r="U528" t="s">
        <v>2455</v>
      </c>
      <c r="V528" t="s">
        <v>1194</v>
      </c>
      <c r="W528" t="s">
        <v>735</v>
      </c>
      <c r="X528" t="s">
        <v>120</v>
      </c>
      <c r="Y528" t="s">
        <v>121</v>
      </c>
      <c r="Z528">
        <v>12</v>
      </c>
      <c r="AA528" t="s">
        <v>65</v>
      </c>
      <c r="AB528" t="s">
        <v>56</v>
      </c>
      <c r="AC528" t="s">
        <v>56</v>
      </c>
      <c r="AD528">
        <v>0</v>
      </c>
      <c r="AE528" t="s">
        <v>66</v>
      </c>
      <c r="AF528" t="s">
        <v>56</v>
      </c>
      <c r="AG528" t="s">
        <v>56</v>
      </c>
      <c r="AH528" t="s">
        <v>56</v>
      </c>
      <c r="AI528" t="s">
        <v>56</v>
      </c>
      <c r="AJ528" t="s">
        <v>444</v>
      </c>
      <c r="AK528" t="s">
        <v>445</v>
      </c>
      <c r="AL528" t="s">
        <v>56</v>
      </c>
      <c r="AM528" t="s">
        <v>56</v>
      </c>
      <c r="AN528" t="s">
        <v>56</v>
      </c>
      <c r="AO528" t="s">
        <v>56</v>
      </c>
      <c r="AP528" t="s">
        <v>56</v>
      </c>
      <c r="AQ528" t="s">
        <v>71</v>
      </c>
      <c r="AR528" t="s">
        <v>56</v>
      </c>
      <c r="AS528" t="s">
        <v>56</v>
      </c>
      <c r="AT528" t="s">
        <v>56</v>
      </c>
      <c r="AU528" t="s">
        <v>56</v>
      </c>
      <c r="AV528" t="s">
        <v>56</v>
      </c>
      <c r="AW528" t="s">
        <v>56</v>
      </c>
      <c r="AX528">
        <v>4</v>
      </c>
    </row>
    <row r="529" spans="1:50" x14ac:dyDescent="0.25">
      <c r="A529" t="str">
        <f>"20200124193017019975"</f>
        <v>20200124193017019975</v>
      </c>
      <c r="B529" t="s">
        <v>201</v>
      </c>
      <c r="C529" t="s">
        <v>201</v>
      </c>
      <c r="D529" t="s">
        <v>2789</v>
      </c>
      <c r="E529" t="str">
        <f>"080010025301"</f>
        <v>080010025301</v>
      </c>
      <c r="F529" t="s">
        <v>52</v>
      </c>
      <c r="G529">
        <v>800033723</v>
      </c>
      <c r="H529" t="s">
        <v>112</v>
      </c>
      <c r="I529" t="s">
        <v>763</v>
      </c>
      <c r="J529">
        <v>3681522</v>
      </c>
      <c r="K529" t="s">
        <v>54</v>
      </c>
      <c r="L529">
        <v>72005091</v>
      </c>
      <c r="M529" t="s">
        <v>764</v>
      </c>
      <c r="N529" t="s">
        <v>132</v>
      </c>
      <c r="O529" t="s">
        <v>528</v>
      </c>
      <c r="P529" t="s">
        <v>765</v>
      </c>
      <c r="Q529" t="s">
        <v>766</v>
      </c>
      <c r="R529" t="s">
        <v>54</v>
      </c>
      <c r="S529">
        <v>3718108</v>
      </c>
      <c r="T529" t="s">
        <v>164</v>
      </c>
      <c r="U529" t="s">
        <v>1519</v>
      </c>
      <c r="V529" t="s">
        <v>2790</v>
      </c>
      <c r="W529" t="s">
        <v>658</v>
      </c>
      <c r="X529" t="s">
        <v>254</v>
      </c>
      <c r="Y529" t="s">
        <v>121</v>
      </c>
      <c r="Z529">
        <v>12</v>
      </c>
      <c r="AA529" t="s">
        <v>65</v>
      </c>
      <c r="AB529" t="s">
        <v>56</v>
      </c>
      <c r="AC529" t="s">
        <v>56</v>
      </c>
      <c r="AD529">
        <v>0</v>
      </c>
      <c r="AE529" t="s">
        <v>66</v>
      </c>
      <c r="AF529" t="s">
        <v>56</v>
      </c>
      <c r="AG529" t="s">
        <v>56</v>
      </c>
      <c r="AH529" t="s">
        <v>56</v>
      </c>
      <c r="AI529" t="s">
        <v>56</v>
      </c>
      <c r="AJ529" t="s">
        <v>1061</v>
      </c>
      <c r="AK529" t="s">
        <v>1062</v>
      </c>
      <c r="AL529" t="s">
        <v>56</v>
      </c>
      <c r="AM529" t="s">
        <v>56</v>
      </c>
      <c r="AN529" t="s">
        <v>56</v>
      </c>
      <c r="AO529" t="s">
        <v>56</v>
      </c>
      <c r="AP529" t="s">
        <v>56</v>
      </c>
      <c r="AQ529" t="s">
        <v>71</v>
      </c>
      <c r="AR529" t="s">
        <v>56</v>
      </c>
      <c r="AS529" t="s">
        <v>56</v>
      </c>
      <c r="AT529" t="s">
        <v>56</v>
      </c>
      <c r="AU529" t="s">
        <v>56</v>
      </c>
      <c r="AV529" t="s">
        <v>56</v>
      </c>
      <c r="AW529" t="s">
        <v>56</v>
      </c>
      <c r="AX529">
        <v>4</v>
      </c>
    </row>
    <row r="530" spans="1:50" x14ac:dyDescent="0.25">
      <c r="A530" t="str">
        <f>"20200131185017162471"</f>
        <v>20200131185017162471</v>
      </c>
      <c r="B530" t="s">
        <v>110</v>
      </c>
      <c r="C530" t="s">
        <v>110</v>
      </c>
      <c r="D530" t="s">
        <v>2791</v>
      </c>
      <c r="E530" t="str">
        <f>"130010314101"</f>
        <v>130010314101</v>
      </c>
      <c r="F530" t="s">
        <v>52</v>
      </c>
      <c r="G530">
        <v>901031682</v>
      </c>
      <c r="H530">
        <v>13001</v>
      </c>
      <c r="I530" t="s">
        <v>2792</v>
      </c>
      <c r="J530">
        <v>6448161</v>
      </c>
      <c r="K530" t="s">
        <v>54</v>
      </c>
      <c r="L530">
        <v>73574127</v>
      </c>
      <c r="M530" t="s">
        <v>1199</v>
      </c>
      <c r="N530" t="s">
        <v>2793</v>
      </c>
      <c r="O530" t="s">
        <v>263</v>
      </c>
      <c r="P530" t="s">
        <v>134</v>
      </c>
      <c r="Q530">
        <v>6193</v>
      </c>
      <c r="R530" t="s">
        <v>54</v>
      </c>
      <c r="S530">
        <v>1049828103</v>
      </c>
      <c r="T530" t="s">
        <v>117</v>
      </c>
      <c r="U530" t="s">
        <v>76</v>
      </c>
      <c r="V530" t="s">
        <v>381</v>
      </c>
      <c r="W530" t="s">
        <v>193</v>
      </c>
      <c r="X530" t="s">
        <v>1486</v>
      </c>
      <c r="Y530" t="s">
        <v>101</v>
      </c>
      <c r="Z530">
        <v>11</v>
      </c>
      <c r="AA530" t="s">
        <v>87</v>
      </c>
      <c r="AB530" t="s">
        <v>56</v>
      </c>
      <c r="AC530" t="s">
        <v>56</v>
      </c>
      <c r="AD530">
        <v>0</v>
      </c>
      <c r="AE530" t="s">
        <v>66</v>
      </c>
      <c r="AF530" t="s">
        <v>56</v>
      </c>
      <c r="AG530" t="s">
        <v>56</v>
      </c>
      <c r="AH530" t="s">
        <v>56</v>
      </c>
      <c r="AI530" t="s">
        <v>56</v>
      </c>
      <c r="AJ530" t="s">
        <v>2794</v>
      </c>
      <c r="AK530" t="s">
        <v>2795</v>
      </c>
      <c r="AL530" t="s">
        <v>2796</v>
      </c>
      <c r="AM530" t="s">
        <v>2797</v>
      </c>
      <c r="AN530" t="s">
        <v>56</v>
      </c>
      <c r="AO530" t="s">
        <v>56</v>
      </c>
      <c r="AP530" t="s">
        <v>56</v>
      </c>
      <c r="AQ530" t="s">
        <v>71</v>
      </c>
      <c r="AR530" t="s">
        <v>56</v>
      </c>
      <c r="AS530" t="s">
        <v>56</v>
      </c>
      <c r="AT530" t="s">
        <v>56</v>
      </c>
      <c r="AU530" t="s">
        <v>56</v>
      </c>
      <c r="AV530" t="s">
        <v>56</v>
      </c>
      <c r="AW530" t="s">
        <v>56</v>
      </c>
      <c r="AX530">
        <v>4</v>
      </c>
    </row>
    <row r="531" spans="1:50" x14ac:dyDescent="0.25">
      <c r="A531" t="str">
        <f>"20200130172017152604"</f>
        <v>20200130172017152604</v>
      </c>
      <c r="B531" t="s">
        <v>124</v>
      </c>
      <c r="C531" t="s">
        <v>124</v>
      </c>
      <c r="D531" t="s">
        <v>2798</v>
      </c>
      <c r="E531" t="str">
        <f>"700010096901"</f>
        <v>700010096901</v>
      </c>
      <c r="F531" t="s">
        <v>52</v>
      </c>
      <c r="G531">
        <v>900118990</v>
      </c>
      <c r="H531">
        <v>70001</v>
      </c>
      <c r="I531" t="s">
        <v>869</v>
      </c>
      <c r="J531">
        <v>2761605</v>
      </c>
      <c r="K531" t="s">
        <v>54</v>
      </c>
      <c r="L531">
        <v>73200918</v>
      </c>
      <c r="M531" t="s">
        <v>1492</v>
      </c>
      <c r="N531" t="s">
        <v>259</v>
      </c>
      <c r="O531" t="s">
        <v>2799</v>
      </c>
      <c r="P531" t="s">
        <v>2800</v>
      </c>
      <c r="Q531" t="s">
        <v>2801</v>
      </c>
      <c r="R531" t="s">
        <v>54</v>
      </c>
      <c r="S531">
        <v>3937119</v>
      </c>
      <c r="T531" t="s">
        <v>86</v>
      </c>
      <c r="U531" t="s">
        <v>62</v>
      </c>
      <c r="V531" t="s">
        <v>109</v>
      </c>
      <c r="W531" t="s">
        <v>1401</v>
      </c>
      <c r="X531" t="s">
        <v>1495</v>
      </c>
      <c r="Y531" t="s">
        <v>330</v>
      </c>
      <c r="Z531">
        <v>11</v>
      </c>
      <c r="AA531" t="s">
        <v>87</v>
      </c>
      <c r="AB531" t="s">
        <v>56</v>
      </c>
      <c r="AC531" t="s">
        <v>56</v>
      </c>
      <c r="AD531">
        <v>0</v>
      </c>
      <c r="AE531" t="s">
        <v>66</v>
      </c>
      <c r="AF531" t="s">
        <v>56</v>
      </c>
      <c r="AG531" t="s">
        <v>56</v>
      </c>
      <c r="AH531" t="s">
        <v>56</v>
      </c>
      <c r="AI531" t="s">
        <v>56</v>
      </c>
      <c r="AJ531" t="s">
        <v>149</v>
      </c>
      <c r="AK531" t="s">
        <v>150</v>
      </c>
      <c r="AL531" t="s">
        <v>1061</v>
      </c>
      <c r="AM531" t="s">
        <v>1062</v>
      </c>
      <c r="AN531" t="s">
        <v>1696</v>
      </c>
      <c r="AO531" t="s">
        <v>1697</v>
      </c>
      <c r="AP531" t="s">
        <v>56</v>
      </c>
      <c r="AQ531" t="s">
        <v>71</v>
      </c>
      <c r="AR531" t="s">
        <v>56</v>
      </c>
      <c r="AS531" t="s">
        <v>56</v>
      </c>
      <c r="AT531" t="s">
        <v>56</v>
      </c>
      <c r="AU531" t="s">
        <v>56</v>
      </c>
      <c r="AV531" t="s">
        <v>56</v>
      </c>
      <c r="AW531" t="s">
        <v>56</v>
      </c>
      <c r="AX531">
        <v>4</v>
      </c>
    </row>
    <row r="532" spans="1:50" x14ac:dyDescent="0.25">
      <c r="A532" t="str">
        <f>"20200130140017152892"</f>
        <v>20200130140017152892</v>
      </c>
      <c r="B532" t="s">
        <v>124</v>
      </c>
      <c r="C532" t="s">
        <v>124</v>
      </c>
      <c r="D532" t="s">
        <v>2802</v>
      </c>
      <c r="E532" t="str">
        <f>"700010096901"</f>
        <v>700010096901</v>
      </c>
      <c r="F532" t="s">
        <v>52</v>
      </c>
      <c r="G532">
        <v>900118990</v>
      </c>
      <c r="H532">
        <v>70001</v>
      </c>
      <c r="I532" t="s">
        <v>869</v>
      </c>
      <c r="J532">
        <v>2761605</v>
      </c>
      <c r="K532" t="s">
        <v>54</v>
      </c>
      <c r="L532">
        <v>73200918</v>
      </c>
      <c r="M532" t="s">
        <v>1492</v>
      </c>
      <c r="N532" t="s">
        <v>259</v>
      </c>
      <c r="O532" t="s">
        <v>2799</v>
      </c>
      <c r="P532" t="s">
        <v>2800</v>
      </c>
      <c r="Q532" t="s">
        <v>2801</v>
      </c>
      <c r="R532" t="s">
        <v>54</v>
      </c>
      <c r="S532">
        <v>3937119</v>
      </c>
      <c r="T532" t="s">
        <v>86</v>
      </c>
      <c r="U532" t="s">
        <v>62</v>
      </c>
      <c r="V532" t="s">
        <v>109</v>
      </c>
      <c r="W532" t="s">
        <v>1401</v>
      </c>
      <c r="X532" t="s">
        <v>1495</v>
      </c>
      <c r="Y532" t="s">
        <v>330</v>
      </c>
      <c r="Z532">
        <v>11</v>
      </c>
      <c r="AA532" t="s">
        <v>87</v>
      </c>
      <c r="AB532" t="s">
        <v>56</v>
      </c>
      <c r="AC532" t="s">
        <v>56</v>
      </c>
      <c r="AD532">
        <v>0</v>
      </c>
      <c r="AE532" t="s">
        <v>66</v>
      </c>
      <c r="AF532" t="s">
        <v>56</v>
      </c>
      <c r="AG532" t="s">
        <v>56</v>
      </c>
      <c r="AH532" t="s">
        <v>56</v>
      </c>
      <c r="AI532" t="s">
        <v>56</v>
      </c>
      <c r="AJ532" t="s">
        <v>149</v>
      </c>
      <c r="AK532" t="s">
        <v>150</v>
      </c>
      <c r="AL532" t="s">
        <v>1061</v>
      </c>
      <c r="AM532" t="s">
        <v>1062</v>
      </c>
      <c r="AN532" t="s">
        <v>1696</v>
      </c>
      <c r="AO532" t="s">
        <v>1697</v>
      </c>
      <c r="AP532" t="s">
        <v>56</v>
      </c>
      <c r="AQ532" t="s">
        <v>71</v>
      </c>
      <c r="AR532" t="s">
        <v>56</v>
      </c>
      <c r="AS532" t="s">
        <v>56</v>
      </c>
      <c r="AT532" t="s">
        <v>56</v>
      </c>
      <c r="AU532" t="s">
        <v>56</v>
      </c>
      <c r="AV532" t="s">
        <v>56</v>
      </c>
      <c r="AW532" t="s">
        <v>56</v>
      </c>
      <c r="AX532">
        <v>4</v>
      </c>
    </row>
    <row r="533" spans="1:50" x14ac:dyDescent="0.25">
      <c r="A533" t="str">
        <f>"20200131190017163646"</f>
        <v>20200131190017163646</v>
      </c>
      <c r="B533" t="s">
        <v>110</v>
      </c>
      <c r="C533" t="s">
        <v>110</v>
      </c>
      <c r="D533" t="s">
        <v>2803</v>
      </c>
      <c r="E533" t="str">
        <f>"080010122201"</f>
        <v>080010122201</v>
      </c>
      <c r="F533" t="s">
        <v>52</v>
      </c>
      <c r="G533">
        <v>890116783</v>
      </c>
      <c r="H533" t="s">
        <v>112</v>
      </c>
      <c r="I533" t="s">
        <v>1796</v>
      </c>
      <c r="J533">
        <v>3781220</v>
      </c>
      <c r="K533" t="s">
        <v>54</v>
      </c>
      <c r="L533">
        <v>17065305</v>
      </c>
      <c r="M533" t="s">
        <v>1492</v>
      </c>
      <c r="N533" t="s">
        <v>1222</v>
      </c>
      <c r="O533" t="s">
        <v>1981</v>
      </c>
      <c r="P533" t="s">
        <v>324</v>
      </c>
      <c r="Q533">
        <v>707</v>
      </c>
      <c r="R533" t="s">
        <v>54</v>
      </c>
      <c r="S533">
        <v>32684520</v>
      </c>
      <c r="T533" t="s">
        <v>2804</v>
      </c>
      <c r="U533" t="s">
        <v>62</v>
      </c>
      <c r="V533" t="s">
        <v>2805</v>
      </c>
      <c r="W533" t="s">
        <v>635</v>
      </c>
      <c r="X533" t="s">
        <v>120</v>
      </c>
      <c r="Y533" t="s">
        <v>121</v>
      </c>
      <c r="Z533">
        <v>12</v>
      </c>
      <c r="AA533" t="s">
        <v>65</v>
      </c>
      <c r="AB533" t="s">
        <v>56</v>
      </c>
      <c r="AC533" t="s">
        <v>56</v>
      </c>
      <c r="AD533">
        <v>0</v>
      </c>
      <c r="AE533" t="s">
        <v>66</v>
      </c>
      <c r="AF533" t="s">
        <v>56</v>
      </c>
      <c r="AG533" t="s">
        <v>56</v>
      </c>
      <c r="AH533" t="s">
        <v>56</v>
      </c>
      <c r="AI533" t="s">
        <v>56</v>
      </c>
      <c r="AJ533" t="s">
        <v>1801</v>
      </c>
      <c r="AK533" t="s">
        <v>1802</v>
      </c>
      <c r="AL533" t="s">
        <v>56</v>
      </c>
      <c r="AM533" t="s">
        <v>56</v>
      </c>
      <c r="AN533" t="s">
        <v>56</v>
      </c>
      <c r="AO533" t="s">
        <v>56</v>
      </c>
      <c r="AP533" t="s">
        <v>56</v>
      </c>
      <c r="AQ533" t="s">
        <v>71</v>
      </c>
      <c r="AR533" t="s">
        <v>56</v>
      </c>
      <c r="AS533" t="s">
        <v>56</v>
      </c>
      <c r="AT533" t="s">
        <v>56</v>
      </c>
      <c r="AU533" t="s">
        <v>56</v>
      </c>
      <c r="AV533" t="s">
        <v>56</v>
      </c>
      <c r="AW533" t="s">
        <v>56</v>
      </c>
      <c r="AX533">
        <v>4</v>
      </c>
    </row>
    <row r="534" spans="1:50" x14ac:dyDescent="0.25">
      <c r="A534" t="str">
        <f>"20200129111017102223"</f>
        <v>20200129111017102223</v>
      </c>
      <c r="B534" t="s">
        <v>72</v>
      </c>
      <c r="C534" t="s">
        <v>72</v>
      </c>
      <c r="D534" t="s">
        <v>2806</v>
      </c>
      <c r="E534" t="str">
        <f>"130010178101"</f>
        <v>130010178101</v>
      </c>
      <c r="F534" t="s">
        <v>52</v>
      </c>
      <c r="G534">
        <v>900042103</v>
      </c>
      <c r="H534">
        <v>13001</v>
      </c>
      <c r="I534" t="s">
        <v>92</v>
      </c>
      <c r="J534">
        <v>6726017</v>
      </c>
      <c r="K534" t="s">
        <v>54</v>
      </c>
      <c r="L534">
        <v>9089669</v>
      </c>
      <c r="M534" t="s">
        <v>2427</v>
      </c>
      <c r="N534" t="s">
        <v>604</v>
      </c>
      <c r="O534" t="s">
        <v>297</v>
      </c>
      <c r="P534" t="s">
        <v>2807</v>
      </c>
      <c r="Q534">
        <v>570</v>
      </c>
      <c r="R534" t="s">
        <v>54</v>
      </c>
      <c r="S534">
        <v>23073525</v>
      </c>
      <c r="T534" t="s">
        <v>2808</v>
      </c>
      <c r="U534" t="s">
        <v>62</v>
      </c>
      <c r="V534" t="s">
        <v>263</v>
      </c>
      <c r="W534" t="s">
        <v>1574</v>
      </c>
      <c r="X534" t="s">
        <v>1448</v>
      </c>
      <c r="Y534" t="s">
        <v>101</v>
      </c>
      <c r="Z534">
        <v>12</v>
      </c>
      <c r="AA534" t="s">
        <v>65</v>
      </c>
      <c r="AB534" t="s">
        <v>56</v>
      </c>
      <c r="AC534" t="s">
        <v>56</v>
      </c>
      <c r="AD534">
        <v>0</v>
      </c>
      <c r="AE534" t="s">
        <v>66</v>
      </c>
      <c r="AF534" t="s">
        <v>56</v>
      </c>
      <c r="AG534" t="s">
        <v>56</v>
      </c>
      <c r="AH534" t="s">
        <v>56</v>
      </c>
      <c r="AI534" t="s">
        <v>56</v>
      </c>
      <c r="AJ534" t="s">
        <v>2173</v>
      </c>
      <c r="AK534" t="s">
        <v>2174</v>
      </c>
      <c r="AL534" t="s">
        <v>56</v>
      </c>
      <c r="AM534" t="s">
        <v>56</v>
      </c>
      <c r="AN534" t="s">
        <v>56</v>
      </c>
      <c r="AO534" t="s">
        <v>56</v>
      </c>
      <c r="AP534" t="s">
        <v>56</v>
      </c>
      <c r="AQ534" t="s">
        <v>71</v>
      </c>
      <c r="AR534" t="s">
        <v>56</v>
      </c>
      <c r="AS534" t="s">
        <v>56</v>
      </c>
      <c r="AT534" t="s">
        <v>56</v>
      </c>
      <c r="AU534" t="s">
        <v>56</v>
      </c>
      <c r="AV534" t="s">
        <v>56</v>
      </c>
      <c r="AW534" t="s">
        <v>56</v>
      </c>
      <c r="AX534">
        <v>4</v>
      </c>
    </row>
    <row r="535" spans="1:50" x14ac:dyDescent="0.25">
      <c r="A535" t="str">
        <f>"20200129181017103630"</f>
        <v>20200129181017103630</v>
      </c>
      <c r="B535" t="s">
        <v>72</v>
      </c>
      <c r="C535" t="s">
        <v>72</v>
      </c>
      <c r="D535" t="s">
        <v>2809</v>
      </c>
      <c r="E535" t="str">
        <f>"134300290801"</f>
        <v>134300290801</v>
      </c>
      <c r="F535" t="s">
        <v>52</v>
      </c>
      <c r="G535">
        <v>800033723</v>
      </c>
      <c r="H535">
        <v>13430</v>
      </c>
      <c r="I535" t="s">
        <v>1672</v>
      </c>
      <c r="J535">
        <v>3187117423</v>
      </c>
      <c r="K535" t="s">
        <v>54</v>
      </c>
      <c r="L535">
        <v>92499913</v>
      </c>
      <c r="M535" t="s">
        <v>164</v>
      </c>
      <c r="N535" t="s">
        <v>234</v>
      </c>
      <c r="O535" t="s">
        <v>726</v>
      </c>
      <c r="P535" t="s">
        <v>1673</v>
      </c>
      <c r="Q535">
        <v>1337</v>
      </c>
      <c r="R535" t="s">
        <v>54</v>
      </c>
      <c r="S535">
        <v>1010006340</v>
      </c>
      <c r="T535" t="s">
        <v>2810</v>
      </c>
      <c r="U535" t="s">
        <v>62</v>
      </c>
      <c r="V535" t="s">
        <v>1254</v>
      </c>
      <c r="W535" t="s">
        <v>169</v>
      </c>
      <c r="X535" t="s">
        <v>183</v>
      </c>
      <c r="Y535" t="s">
        <v>101</v>
      </c>
      <c r="Z535">
        <v>12</v>
      </c>
      <c r="AA535" t="s">
        <v>65</v>
      </c>
      <c r="AB535" t="s">
        <v>56</v>
      </c>
      <c r="AC535" t="s">
        <v>56</v>
      </c>
      <c r="AD535">
        <v>0</v>
      </c>
      <c r="AE535" t="s">
        <v>66</v>
      </c>
      <c r="AF535" t="s">
        <v>56</v>
      </c>
      <c r="AG535" t="s">
        <v>56</v>
      </c>
      <c r="AH535" t="s">
        <v>56</v>
      </c>
      <c r="AI535" t="s">
        <v>56</v>
      </c>
      <c r="AJ535" t="s">
        <v>1676</v>
      </c>
      <c r="AK535" t="s">
        <v>1677</v>
      </c>
      <c r="AL535" t="s">
        <v>56</v>
      </c>
      <c r="AM535" t="s">
        <v>56</v>
      </c>
      <c r="AN535" t="s">
        <v>56</v>
      </c>
      <c r="AO535" t="s">
        <v>56</v>
      </c>
      <c r="AP535" t="s">
        <v>56</v>
      </c>
      <c r="AQ535" t="s">
        <v>71</v>
      </c>
      <c r="AR535" t="s">
        <v>56</v>
      </c>
      <c r="AS535" t="s">
        <v>56</v>
      </c>
      <c r="AT535" t="s">
        <v>56</v>
      </c>
      <c r="AU535" t="s">
        <v>56</v>
      </c>
      <c r="AV535" t="s">
        <v>56</v>
      </c>
      <c r="AW535" t="s">
        <v>56</v>
      </c>
      <c r="AX535">
        <v>4</v>
      </c>
    </row>
    <row r="536" spans="1:50" x14ac:dyDescent="0.25">
      <c r="A536" t="str">
        <f>"20200124189017005017"</f>
        <v>20200124189017005017</v>
      </c>
      <c r="B536" t="s">
        <v>201</v>
      </c>
      <c r="C536" t="s">
        <v>201</v>
      </c>
      <c r="D536" t="s">
        <v>2811</v>
      </c>
      <c r="E536" t="str">
        <f>"200010205401"</f>
        <v>200010205401</v>
      </c>
      <c r="F536" t="s">
        <v>52</v>
      </c>
      <c r="G536">
        <v>901058547</v>
      </c>
      <c r="H536">
        <v>20001</v>
      </c>
      <c r="I536" t="s">
        <v>512</v>
      </c>
      <c r="J536" t="s">
        <v>513</v>
      </c>
      <c r="K536" t="s">
        <v>54</v>
      </c>
      <c r="L536">
        <v>56078839</v>
      </c>
      <c r="M536" t="s">
        <v>577</v>
      </c>
      <c r="N536" t="s">
        <v>275</v>
      </c>
      <c r="O536" t="s">
        <v>225</v>
      </c>
      <c r="P536" t="s">
        <v>578</v>
      </c>
      <c r="Q536">
        <v>7093</v>
      </c>
      <c r="R536" t="s">
        <v>54</v>
      </c>
      <c r="S536">
        <v>26725085</v>
      </c>
      <c r="T536" t="s">
        <v>1633</v>
      </c>
      <c r="U536" t="s">
        <v>62</v>
      </c>
      <c r="V536" t="s">
        <v>1300</v>
      </c>
      <c r="W536" t="s">
        <v>1268</v>
      </c>
      <c r="X536" t="s">
        <v>2722</v>
      </c>
      <c r="Y536" t="s">
        <v>86</v>
      </c>
      <c r="Z536">
        <v>11</v>
      </c>
      <c r="AA536" t="s">
        <v>87</v>
      </c>
      <c r="AB536" t="s">
        <v>56</v>
      </c>
      <c r="AC536" t="s">
        <v>56</v>
      </c>
      <c r="AD536">
        <v>0</v>
      </c>
      <c r="AE536" t="s">
        <v>66</v>
      </c>
      <c r="AF536" t="s">
        <v>56</v>
      </c>
      <c r="AG536" t="s">
        <v>56</v>
      </c>
      <c r="AH536" t="s">
        <v>56</v>
      </c>
      <c r="AI536" t="s">
        <v>56</v>
      </c>
      <c r="AJ536" t="s">
        <v>583</v>
      </c>
      <c r="AK536" t="s">
        <v>584</v>
      </c>
      <c r="AL536" t="s">
        <v>56</v>
      </c>
      <c r="AM536" t="s">
        <v>56</v>
      </c>
      <c r="AN536" t="s">
        <v>56</v>
      </c>
      <c r="AO536" t="s">
        <v>56</v>
      </c>
      <c r="AP536" t="s">
        <v>56</v>
      </c>
      <c r="AQ536" t="s">
        <v>71</v>
      </c>
      <c r="AR536" t="s">
        <v>56</v>
      </c>
      <c r="AS536" t="s">
        <v>56</v>
      </c>
      <c r="AT536" t="s">
        <v>56</v>
      </c>
      <c r="AU536" t="s">
        <v>56</v>
      </c>
      <c r="AV536" t="s">
        <v>56</v>
      </c>
      <c r="AW536" t="s">
        <v>56</v>
      </c>
      <c r="AX536">
        <v>4</v>
      </c>
    </row>
    <row r="537" spans="1:50" x14ac:dyDescent="0.25">
      <c r="A537" t="str">
        <f>"20200128140017081471"</f>
        <v>20200128140017081471</v>
      </c>
      <c r="B537" t="s">
        <v>151</v>
      </c>
      <c r="C537" t="s">
        <v>151</v>
      </c>
      <c r="D537" t="s">
        <v>2812</v>
      </c>
      <c r="E537" t="str">
        <f>"084330205401"</f>
        <v>084330205401</v>
      </c>
      <c r="F537" t="s">
        <v>52</v>
      </c>
      <c r="G537">
        <v>900488067</v>
      </c>
      <c r="H537" t="s">
        <v>349</v>
      </c>
      <c r="I537" t="s">
        <v>350</v>
      </c>
      <c r="J537">
        <v>3207404550</v>
      </c>
      <c r="K537" t="s">
        <v>54</v>
      </c>
      <c r="L537">
        <v>1048267790</v>
      </c>
      <c r="M537" t="s">
        <v>351</v>
      </c>
      <c r="N537" t="s">
        <v>352</v>
      </c>
      <c r="O537" t="s">
        <v>353</v>
      </c>
      <c r="P537" t="s">
        <v>109</v>
      </c>
      <c r="Q537">
        <v>1048267790</v>
      </c>
      <c r="R537" t="s">
        <v>54</v>
      </c>
      <c r="S537">
        <v>8760344</v>
      </c>
      <c r="T537" t="s">
        <v>81</v>
      </c>
      <c r="U537" t="s">
        <v>164</v>
      </c>
      <c r="V537" t="s">
        <v>2813</v>
      </c>
      <c r="W537" t="s">
        <v>2191</v>
      </c>
      <c r="X537" t="s">
        <v>299</v>
      </c>
      <c r="Y537" t="s">
        <v>121</v>
      </c>
      <c r="Z537">
        <v>11</v>
      </c>
      <c r="AA537" t="s">
        <v>87</v>
      </c>
      <c r="AB537" t="s">
        <v>56</v>
      </c>
      <c r="AC537" t="s">
        <v>56</v>
      </c>
      <c r="AD537">
        <v>0</v>
      </c>
      <c r="AE537" t="s">
        <v>66</v>
      </c>
      <c r="AF537" t="s">
        <v>56</v>
      </c>
      <c r="AG537" t="s">
        <v>56</v>
      </c>
      <c r="AH537" t="s">
        <v>56</v>
      </c>
      <c r="AI537" t="s">
        <v>56</v>
      </c>
      <c r="AJ537" t="s">
        <v>356</v>
      </c>
      <c r="AK537" t="s">
        <v>357</v>
      </c>
      <c r="AL537" t="s">
        <v>56</v>
      </c>
      <c r="AM537" t="s">
        <v>56</v>
      </c>
      <c r="AN537" t="s">
        <v>56</v>
      </c>
      <c r="AO537" t="s">
        <v>56</v>
      </c>
      <c r="AP537" t="s">
        <v>56</v>
      </c>
      <c r="AQ537" t="s">
        <v>71</v>
      </c>
      <c r="AR537" t="s">
        <v>56</v>
      </c>
      <c r="AS537" t="s">
        <v>56</v>
      </c>
      <c r="AT537" t="s">
        <v>56</v>
      </c>
      <c r="AU537" t="s">
        <v>56</v>
      </c>
      <c r="AV537" t="s">
        <v>56</v>
      </c>
      <c r="AW537" t="s">
        <v>56</v>
      </c>
      <c r="AX537">
        <v>4</v>
      </c>
    </row>
    <row r="538" spans="1:50" x14ac:dyDescent="0.25">
      <c r="A538" t="str">
        <f>"20200129184017106470"</f>
        <v>20200129184017106470</v>
      </c>
      <c r="B538" t="s">
        <v>72</v>
      </c>
      <c r="C538" t="s">
        <v>72</v>
      </c>
      <c r="D538" t="s">
        <v>2814</v>
      </c>
      <c r="E538" t="str">
        <f>"086380074501"</f>
        <v>086380074501</v>
      </c>
      <c r="F538" t="s">
        <v>52</v>
      </c>
      <c r="G538">
        <v>900080150</v>
      </c>
      <c r="H538" t="s">
        <v>246</v>
      </c>
      <c r="I538" t="s">
        <v>247</v>
      </c>
      <c r="J538">
        <v>8783805</v>
      </c>
      <c r="K538" t="s">
        <v>54</v>
      </c>
      <c r="L538">
        <v>32847775</v>
      </c>
      <c r="M538" t="s">
        <v>59</v>
      </c>
      <c r="N538" t="s">
        <v>342</v>
      </c>
      <c r="O538" t="s">
        <v>586</v>
      </c>
      <c r="P538" t="s">
        <v>587</v>
      </c>
      <c r="Q538" t="s">
        <v>588</v>
      </c>
      <c r="R538" t="s">
        <v>54</v>
      </c>
      <c r="S538">
        <v>22538824</v>
      </c>
      <c r="T538" t="s">
        <v>2815</v>
      </c>
      <c r="U538" t="s">
        <v>296</v>
      </c>
      <c r="V538" t="s">
        <v>324</v>
      </c>
      <c r="W538" t="s">
        <v>1244</v>
      </c>
      <c r="X538" t="s">
        <v>2394</v>
      </c>
      <c r="Y538" t="s">
        <v>121</v>
      </c>
      <c r="Z538">
        <v>12</v>
      </c>
      <c r="AA538" t="s">
        <v>65</v>
      </c>
      <c r="AB538" t="s">
        <v>56</v>
      </c>
      <c r="AC538" t="s">
        <v>56</v>
      </c>
      <c r="AD538">
        <v>0</v>
      </c>
      <c r="AE538" t="s">
        <v>66</v>
      </c>
      <c r="AF538" t="s">
        <v>56</v>
      </c>
      <c r="AG538" t="s">
        <v>56</v>
      </c>
      <c r="AH538" t="s">
        <v>56</v>
      </c>
      <c r="AI538" t="s">
        <v>56</v>
      </c>
      <c r="AJ538" t="s">
        <v>591</v>
      </c>
      <c r="AK538" t="s">
        <v>592</v>
      </c>
      <c r="AL538" t="s">
        <v>56</v>
      </c>
      <c r="AM538" t="s">
        <v>56</v>
      </c>
      <c r="AN538" t="s">
        <v>56</v>
      </c>
      <c r="AO538" t="s">
        <v>56</v>
      </c>
      <c r="AP538" t="s">
        <v>56</v>
      </c>
      <c r="AQ538" t="s">
        <v>71</v>
      </c>
      <c r="AR538" t="s">
        <v>56</v>
      </c>
      <c r="AS538" t="s">
        <v>56</v>
      </c>
      <c r="AT538" t="s">
        <v>56</v>
      </c>
      <c r="AU538" t="s">
        <v>56</v>
      </c>
      <c r="AV538" t="s">
        <v>56</v>
      </c>
      <c r="AW538" t="s">
        <v>56</v>
      </c>
      <c r="AX538">
        <v>4</v>
      </c>
    </row>
    <row r="539" spans="1:50" x14ac:dyDescent="0.25">
      <c r="A539" t="str">
        <f>"20200202151017191165"</f>
        <v>20200202151017191165</v>
      </c>
      <c r="B539" t="s">
        <v>90</v>
      </c>
      <c r="C539" t="s">
        <v>90</v>
      </c>
      <c r="D539" t="s">
        <v>2816</v>
      </c>
      <c r="E539" t="str">
        <f>"760010379901"</f>
        <v>760010379901</v>
      </c>
      <c r="F539" t="s">
        <v>52</v>
      </c>
      <c r="G539">
        <v>890303461</v>
      </c>
      <c r="H539">
        <v>76001</v>
      </c>
      <c r="I539" t="s">
        <v>270</v>
      </c>
      <c r="J539" t="s">
        <v>271</v>
      </c>
      <c r="K539" t="s">
        <v>54</v>
      </c>
      <c r="L539">
        <v>1114827937</v>
      </c>
      <c r="M539" t="s">
        <v>2817</v>
      </c>
      <c r="N539" t="s">
        <v>448</v>
      </c>
      <c r="O539" t="s">
        <v>392</v>
      </c>
      <c r="P539" t="s">
        <v>2818</v>
      </c>
      <c r="Q539">
        <v>1114827937</v>
      </c>
      <c r="R539" t="s">
        <v>54</v>
      </c>
      <c r="S539">
        <v>22198794</v>
      </c>
      <c r="T539" t="s">
        <v>504</v>
      </c>
      <c r="U539" t="s">
        <v>2819</v>
      </c>
      <c r="V539" t="s">
        <v>1092</v>
      </c>
      <c r="W539" t="s">
        <v>1268</v>
      </c>
      <c r="X539" t="s">
        <v>277</v>
      </c>
      <c r="Y539" t="s">
        <v>64</v>
      </c>
      <c r="Z539">
        <v>30</v>
      </c>
      <c r="AA539" t="s">
        <v>661</v>
      </c>
      <c r="AB539">
        <v>0</v>
      </c>
      <c r="AC539" t="s">
        <v>66</v>
      </c>
      <c r="AD539">
        <v>0</v>
      </c>
      <c r="AE539" t="s">
        <v>66</v>
      </c>
      <c r="AF539" t="s">
        <v>56</v>
      </c>
      <c r="AG539" t="s">
        <v>56</v>
      </c>
      <c r="AH539" t="s">
        <v>56</v>
      </c>
      <c r="AI539" t="s">
        <v>56</v>
      </c>
      <c r="AJ539" t="s">
        <v>2820</v>
      </c>
      <c r="AK539" t="s">
        <v>2821</v>
      </c>
      <c r="AL539" t="s">
        <v>56</v>
      </c>
      <c r="AM539" t="s">
        <v>56</v>
      </c>
      <c r="AN539" t="s">
        <v>56</v>
      </c>
      <c r="AO539" t="s">
        <v>56</v>
      </c>
      <c r="AP539" t="s">
        <v>56</v>
      </c>
      <c r="AQ539" t="s">
        <v>71</v>
      </c>
      <c r="AR539" t="s">
        <v>56</v>
      </c>
      <c r="AS539" t="s">
        <v>56</v>
      </c>
      <c r="AT539" t="s">
        <v>56</v>
      </c>
      <c r="AU539" t="s">
        <v>56</v>
      </c>
      <c r="AV539" t="s">
        <v>56</v>
      </c>
      <c r="AW539" t="s">
        <v>56</v>
      </c>
      <c r="AX539">
        <v>4</v>
      </c>
    </row>
    <row r="540" spans="1:50" x14ac:dyDescent="0.25">
      <c r="A540" t="str">
        <f>"20200127130017051046"</f>
        <v>20200127130017051046</v>
      </c>
      <c r="B540" t="s">
        <v>190</v>
      </c>
      <c r="C540" t="s">
        <v>190</v>
      </c>
      <c r="D540" t="s">
        <v>2822</v>
      </c>
      <c r="E540" t="str">
        <f>"080010409201"</f>
        <v>080010409201</v>
      </c>
      <c r="F540" t="s">
        <v>52</v>
      </c>
      <c r="G540">
        <v>900448414</v>
      </c>
      <c r="H540" t="s">
        <v>112</v>
      </c>
      <c r="I540" t="s">
        <v>785</v>
      </c>
      <c r="J540">
        <v>3545674</v>
      </c>
      <c r="K540" t="s">
        <v>54</v>
      </c>
      <c r="L540">
        <v>64552066</v>
      </c>
      <c r="M540" t="s">
        <v>786</v>
      </c>
      <c r="N540" t="s">
        <v>787</v>
      </c>
      <c r="O540" t="s">
        <v>788</v>
      </c>
      <c r="P540" t="s">
        <v>789</v>
      </c>
      <c r="Q540">
        <v>12159</v>
      </c>
      <c r="R540" t="s">
        <v>54</v>
      </c>
      <c r="S540">
        <v>22399786</v>
      </c>
      <c r="T540" t="s">
        <v>316</v>
      </c>
      <c r="U540" t="s">
        <v>62</v>
      </c>
      <c r="V540" t="s">
        <v>364</v>
      </c>
      <c r="W540" t="s">
        <v>2099</v>
      </c>
      <c r="X540" t="s">
        <v>241</v>
      </c>
      <c r="Y540" t="s">
        <v>121</v>
      </c>
      <c r="Z540">
        <v>12</v>
      </c>
      <c r="AA540" t="s">
        <v>65</v>
      </c>
      <c r="AB540" t="s">
        <v>56</v>
      </c>
      <c r="AC540" t="s">
        <v>56</v>
      </c>
      <c r="AD540">
        <v>0</v>
      </c>
      <c r="AE540" t="s">
        <v>66</v>
      </c>
      <c r="AF540" t="s">
        <v>56</v>
      </c>
      <c r="AG540" t="s">
        <v>56</v>
      </c>
      <c r="AH540" t="s">
        <v>56</v>
      </c>
      <c r="AI540" t="s">
        <v>56</v>
      </c>
      <c r="AJ540" t="s">
        <v>794</v>
      </c>
      <c r="AK540" t="s">
        <v>795</v>
      </c>
      <c r="AL540" t="s">
        <v>56</v>
      </c>
      <c r="AM540" t="s">
        <v>56</v>
      </c>
      <c r="AN540" t="s">
        <v>56</v>
      </c>
      <c r="AO540" t="s">
        <v>56</v>
      </c>
      <c r="AP540" t="s">
        <v>56</v>
      </c>
      <c r="AQ540" t="s">
        <v>71</v>
      </c>
      <c r="AR540" t="s">
        <v>56</v>
      </c>
      <c r="AS540" t="s">
        <v>56</v>
      </c>
      <c r="AT540" t="s">
        <v>56</v>
      </c>
      <c r="AU540" t="s">
        <v>56</v>
      </c>
      <c r="AV540" t="s">
        <v>56</v>
      </c>
      <c r="AW540" t="s">
        <v>56</v>
      </c>
      <c r="AX540">
        <v>4</v>
      </c>
    </row>
    <row r="541" spans="1:50" x14ac:dyDescent="0.25">
      <c r="A541" t="str">
        <f>"20200130129017145340"</f>
        <v>20200130129017145340</v>
      </c>
      <c r="B541" t="s">
        <v>124</v>
      </c>
      <c r="C541" t="s">
        <v>124</v>
      </c>
      <c r="D541" t="s">
        <v>2823</v>
      </c>
      <c r="E541" t="str">
        <f>"700010018501"</f>
        <v>700010018501</v>
      </c>
      <c r="F541" t="s">
        <v>52</v>
      </c>
      <c r="G541">
        <v>823002342</v>
      </c>
      <c r="H541">
        <v>70001</v>
      </c>
      <c r="I541" t="s">
        <v>1932</v>
      </c>
      <c r="J541">
        <v>2820285</v>
      </c>
      <c r="K541" t="s">
        <v>54</v>
      </c>
      <c r="L541">
        <v>92502319</v>
      </c>
      <c r="M541" t="s">
        <v>76</v>
      </c>
      <c r="N541" t="s">
        <v>1933</v>
      </c>
      <c r="O541" t="s">
        <v>691</v>
      </c>
      <c r="P541" t="s">
        <v>373</v>
      </c>
      <c r="Q541">
        <v>15694</v>
      </c>
      <c r="R541" t="s">
        <v>54</v>
      </c>
      <c r="S541">
        <v>64717742</v>
      </c>
      <c r="T541" t="s">
        <v>2824</v>
      </c>
      <c r="U541" t="s">
        <v>1032</v>
      </c>
      <c r="V541" t="s">
        <v>691</v>
      </c>
      <c r="W541" t="s">
        <v>2825</v>
      </c>
      <c r="X541" t="s">
        <v>1495</v>
      </c>
      <c r="Y541" t="s">
        <v>330</v>
      </c>
      <c r="Z541">
        <v>12</v>
      </c>
      <c r="AA541" t="s">
        <v>65</v>
      </c>
      <c r="AB541" t="s">
        <v>56</v>
      </c>
      <c r="AC541" t="s">
        <v>56</v>
      </c>
      <c r="AD541">
        <v>0</v>
      </c>
      <c r="AE541" t="s">
        <v>66</v>
      </c>
      <c r="AF541" t="s">
        <v>56</v>
      </c>
      <c r="AG541" t="s">
        <v>56</v>
      </c>
      <c r="AH541" t="s">
        <v>56</v>
      </c>
      <c r="AI541" t="s">
        <v>56</v>
      </c>
      <c r="AJ541" t="s">
        <v>171</v>
      </c>
      <c r="AK541" t="s">
        <v>172</v>
      </c>
      <c r="AL541" t="s">
        <v>56</v>
      </c>
      <c r="AM541" t="s">
        <v>56</v>
      </c>
      <c r="AN541" t="s">
        <v>56</v>
      </c>
      <c r="AO541" t="s">
        <v>56</v>
      </c>
      <c r="AP541" t="s">
        <v>56</v>
      </c>
      <c r="AQ541" t="s">
        <v>71</v>
      </c>
      <c r="AR541" t="s">
        <v>56</v>
      </c>
      <c r="AS541" t="s">
        <v>56</v>
      </c>
      <c r="AT541" t="s">
        <v>56</v>
      </c>
      <c r="AU541" t="s">
        <v>56</v>
      </c>
      <c r="AV541" t="s">
        <v>56</v>
      </c>
      <c r="AW541" t="s">
        <v>56</v>
      </c>
      <c r="AX541">
        <v>4</v>
      </c>
    </row>
    <row r="542" spans="1:50" x14ac:dyDescent="0.25">
      <c r="A542" t="str">
        <f>"20200124116017013574"</f>
        <v>20200124116017013574</v>
      </c>
      <c r="B542" t="s">
        <v>201</v>
      </c>
      <c r="C542" t="s">
        <v>201</v>
      </c>
      <c r="D542" t="s">
        <v>2826</v>
      </c>
      <c r="E542" t="str">
        <f>"761470371502"</f>
        <v>761470371502</v>
      </c>
      <c r="F542" t="s">
        <v>52</v>
      </c>
      <c r="G542">
        <v>890303841</v>
      </c>
      <c r="H542">
        <v>76147</v>
      </c>
      <c r="I542" t="s">
        <v>359</v>
      </c>
      <c r="J542">
        <v>2132425</v>
      </c>
      <c r="K542" t="s">
        <v>54</v>
      </c>
      <c r="L542">
        <v>16830715</v>
      </c>
      <c r="M542" t="s">
        <v>127</v>
      </c>
      <c r="N542" t="s">
        <v>360</v>
      </c>
      <c r="O542" t="s">
        <v>361</v>
      </c>
      <c r="P542" t="s">
        <v>362</v>
      </c>
      <c r="Q542">
        <v>1913</v>
      </c>
      <c r="R542" t="s">
        <v>54</v>
      </c>
      <c r="S542">
        <v>16201177</v>
      </c>
      <c r="T542" t="s">
        <v>164</v>
      </c>
      <c r="U542" t="s">
        <v>165</v>
      </c>
      <c r="V542" t="s">
        <v>1428</v>
      </c>
      <c r="W542" t="s">
        <v>136</v>
      </c>
      <c r="X542" t="s">
        <v>277</v>
      </c>
      <c r="Y542" t="s">
        <v>64</v>
      </c>
      <c r="Z542">
        <v>11</v>
      </c>
      <c r="AA542" t="s">
        <v>87</v>
      </c>
      <c r="AB542" t="s">
        <v>56</v>
      </c>
      <c r="AC542" t="s">
        <v>56</v>
      </c>
      <c r="AD542">
        <v>0</v>
      </c>
      <c r="AE542" t="s">
        <v>66</v>
      </c>
      <c r="AF542" t="s">
        <v>56</v>
      </c>
      <c r="AG542" t="s">
        <v>56</v>
      </c>
      <c r="AH542" t="s">
        <v>56</v>
      </c>
      <c r="AI542" t="s">
        <v>56</v>
      </c>
      <c r="AJ542" t="s">
        <v>365</v>
      </c>
      <c r="AK542" t="s">
        <v>366</v>
      </c>
      <c r="AL542" t="s">
        <v>215</v>
      </c>
      <c r="AM542" t="s">
        <v>216</v>
      </c>
      <c r="AN542" t="s">
        <v>56</v>
      </c>
      <c r="AO542" t="s">
        <v>56</v>
      </c>
      <c r="AP542" t="s">
        <v>56</v>
      </c>
      <c r="AQ542" t="s">
        <v>71</v>
      </c>
      <c r="AR542" t="s">
        <v>56</v>
      </c>
      <c r="AS542" t="s">
        <v>56</v>
      </c>
      <c r="AT542" t="s">
        <v>56</v>
      </c>
      <c r="AU542" t="s">
        <v>56</v>
      </c>
      <c r="AV542" t="s">
        <v>56</v>
      </c>
      <c r="AW542" t="s">
        <v>56</v>
      </c>
      <c r="AX542">
        <v>4</v>
      </c>
    </row>
    <row r="543" spans="1:50" x14ac:dyDescent="0.25">
      <c r="A543" t="str">
        <f>"20200131165017168897"</f>
        <v>20200131165017168897</v>
      </c>
      <c r="B543" t="s">
        <v>110</v>
      </c>
      <c r="C543" t="s">
        <v>110</v>
      </c>
      <c r="D543" t="s">
        <v>2827</v>
      </c>
      <c r="E543" t="str">
        <f>"087580016101"</f>
        <v>087580016101</v>
      </c>
      <c r="F543" t="s">
        <v>52</v>
      </c>
      <c r="G543">
        <v>802013023</v>
      </c>
      <c r="H543" t="s">
        <v>74</v>
      </c>
      <c r="I543" t="s">
        <v>953</v>
      </c>
      <c r="J543">
        <v>3759400</v>
      </c>
      <c r="K543" t="s">
        <v>54</v>
      </c>
      <c r="L543">
        <v>22738424</v>
      </c>
      <c r="M543" t="s">
        <v>1721</v>
      </c>
      <c r="N543" t="s">
        <v>1321</v>
      </c>
      <c r="O543" t="s">
        <v>573</v>
      </c>
      <c r="P543" t="s">
        <v>403</v>
      </c>
      <c r="Q543" t="s">
        <v>1722</v>
      </c>
      <c r="R543" t="s">
        <v>54</v>
      </c>
      <c r="S543">
        <v>22645716</v>
      </c>
      <c r="T543" t="s">
        <v>1857</v>
      </c>
      <c r="U543" t="s">
        <v>1679</v>
      </c>
      <c r="V543" t="s">
        <v>636</v>
      </c>
      <c r="W543" t="s">
        <v>1680</v>
      </c>
      <c r="X543" t="s">
        <v>299</v>
      </c>
      <c r="Y543" t="s">
        <v>121</v>
      </c>
      <c r="Z543">
        <v>11</v>
      </c>
      <c r="AA543" t="s">
        <v>87</v>
      </c>
      <c r="AB543" t="s">
        <v>56</v>
      </c>
      <c r="AC543" t="s">
        <v>56</v>
      </c>
      <c r="AD543">
        <v>0</v>
      </c>
      <c r="AE543" t="s">
        <v>66</v>
      </c>
      <c r="AF543" t="s">
        <v>56</v>
      </c>
      <c r="AG543" t="s">
        <v>56</v>
      </c>
      <c r="AH543" t="s">
        <v>56</v>
      </c>
      <c r="AI543" t="s">
        <v>56</v>
      </c>
      <c r="AJ543" t="s">
        <v>255</v>
      </c>
      <c r="AK543" t="s">
        <v>256</v>
      </c>
      <c r="AL543" t="s">
        <v>356</v>
      </c>
      <c r="AM543" t="s">
        <v>357</v>
      </c>
      <c r="AN543" t="s">
        <v>384</v>
      </c>
      <c r="AO543" t="s">
        <v>385</v>
      </c>
      <c r="AP543" t="s">
        <v>56</v>
      </c>
      <c r="AQ543" t="s">
        <v>71</v>
      </c>
      <c r="AR543" t="s">
        <v>56</v>
      </c>
      <c r="AS543" t="s">
        <v>56</v>
      </c>
      <c r="AT543" t="s">
        <v>56</v>
      </c>
      <c r="AU543" t="s">
        <v>56</v>
      </c>
      <c r="AV543" t="s">
        <v>56</v>
      </c>
      <c r="AW543" t="s">
        <v>56</v>
      </c>
      <c r="AX543">
        <v>4</v>
      </c>
    </row>
    <row r="544" spans="1:50" x14ac:dyDescent="0.25">
      <c r="A544" t="str">
        <f>"20200129177017107870"</f>
        <v>20200129177017107870</v>
      </c>
      <c r="B544" t="s">
        <v>72</v>
      </c>
      <c r="C544" t="s">
        <v>72</v>
      </c>
      <c r="D544" t="s">
        <v>2828</v>
      </c>
      <c r="E544" t="str">
        <f>"080010022301"</f>
        <v>080010022301</v>
      </c>
      <c r="F544" t="s">
        <v>52</v>
      </c>
      <c r="G544">
        <v>72125229</v>
      </c>
      <c r="H544" t="s">
        <v>112</v>
      </c>
      <c r="I544" t="s">
        <v>303</v>
      </c>
      <c r="J544">
        <v>3781924</v>
      </c>
      <c r="K544" t="s">
        <v>54</v>
      </c>
      <c r="L544">
        <v>72125229</v>
      </c>
      <c r="M544" t="s">
        <v>304</v>
      </c>
      <c r="N544" t="s">
        <v>56</v>
      </c>
      <c r="O544" t="s">
        <v>305</v>
      </c>
      <c r="P544" t="s">
        <v>306</v>
      </c>
      <c r="Q544" t="s">
        <v>56</v>
      </c>
      <c r="R544" t="s">
        <v>54</v>
      </c>
      <c r="S544">
        <v>1045761241</v>
      </c>
      <c r="T544" t="s">
        <v>1222</v>
      </c>
      <c r="U544" t="s">
        <v>76</v>
      </c>
      <c r="V544" t="s">
        <v>425</v>
      </c>
      <c r="W544" t="s">
        <v>2829</v>
      </c>
      <c r="X544" t="s">
        <v>120</v>
      </c>
      <c r="Y544" t="s">
        <v>121</v>
      </c>
      <c r="Z544">
        <v>12</v>
      </c>
      <c r="AA544" t="s">
        <v>65</v>
      </c>
      <c r="AB544" t="s">
        <v>56</v>
      </c>
      <c r="AC544" t="s">
        <v>56</v>
      </c>
      <c r="AD544">
        <v>0</v>
      </c>
      <c r="AE544" t="s">
        <v>66</v>
      </c>
      <c r="AF544" t="s">
        <v>56</v>
      </c>
      <c r="AG544" t="s">
        <v>56</v>
      </c>
      <c r="AH544" t="s">
        <v>56</v>
      </c>
      <c r="AI544" t="s">
        <v>56</v>
      </c>
      <c r="AJ544" t="s">
        <v>310</v>
      </c>
      <c r="AK544" t="s">
        <v>311</v>
      </c>
      <c r="AL544" t="s">
        <v>56</v>
      </c>
      <c r="AM544" t="s">
        <v>56</v>
      </c>
      <c r="AN544" t="s">
        <v>56</v>
      </c>
      <c r="AO544" t="s">
        <v>56</v>
      </c>
      <c r="AP544" t="s">
        <v>56</v>
      </c>
      <c r="AQ544" t="s">
        <v>71</v>
      </c>
      <c r="AR544" t="s">
        <v>56</v>
      </c>
      <c r="AS544" t="s">
        <v>56</v>
      </c>
      <c r="AT544" t="s">
        <v>56</v>
      </c>
      <c r="AU544" t="s">
        <v>56</v>
      </c>
      <c r="AV544" t="s">
        <v>56</v>
      </c>
      <c r="AW544" t="s">
        <v>56</v>
      </c>
      <c r="AX544">
        <v>4</v>
      </c>
    </row>
    <row r="545" spans="1:50" x14ac:dyDescent="0.25">
      <c r="A545" t="str">
        <f>"20200129152017102821"</f>
        <v>20200129152017102821</v>
      </c>
      <c r="B545" t="s">
        <v>72</v>
      </c>
      <c r="C545" t="s">
        <v>72</v>
      </c>
      <c r="D545" t="s">
        <v>2830</v>
      </c>
      <c r="E545" t="str">
        <f>"134300077501"</f>
        <v>134300077501</v>
      </c>
      <c r="F545" t="s">
        <v>52</v>
      </c>
      <c r="G545">
        <v>823002800</v>
      </c>
      <c r="H545">
        <v>13430</v>
      </c>
      <c r="I545" t="s">
        <v>539</v>
      </c>
      <c r="J545">
        <v>3107315890</v>
      </c>
      <c r="K545" t="s">
        <v>54</v>
      </c>
      <c r="L545">
        <v>55231988</v>
      </c>
      <c r="M545" t="s">
        <v>886</v>
      </c>
      <c r="N545" t="s">
        <v>56</v>
      </c>
      <c r="O545" t="s">
        <v>193</v>
      </c>
      <c r="P545" t="s">
        <v>805</v>
      </c>
      <c r="Q545">
        <v>161322009</v>
      </c>
      <c r="R545" t="s">
        <v>54</v>
      </c>
      <c r="S545">
        <v>1193235138</v>
      </c>
      <c r="T545" t="s">
        <v>250</v>
      </c>
      <c r="U545" t="s">
        <v>2831</v>
      </c>
      <c r="V545" t="s">
        <v>2832</v>
      </c>
      <c r="W545" t="s">
        <v>263</v>
      </c>
      <c r="X545" t="s">
        <v>183</v>
      </c>
      <c r="Y545" t="s">
        <v>101</v>
      </c>
      <c r="Z545">
        <v>12</v>
      </c>
      <c r="AA545" t="s">
        <v>65</v>
      </c>
      <c r="AB545" t="s">
        <v>56</v>
      </c>
      <c r="AC545" t="s">
        <v>56</v>
      </c>
      <c r="AD545">
        <v>0</v>
      </c>
      <c r="AE545" t="s">
        <v>66</v>
      </c>
      <c r="AF545" t="s">
        <v>56</v>
      </c>
      <c r="AG545" t="s">
        <v>56</v>
      </c>
      <c r="AH545" t="s">
        <v>56</v>
      </c>
      <c r="AI545" t="s">
        <v>56</v>
      </c>
      <c r="AJ545" t="s">
        <v>2833</v>
      </c>
      <c r="AK545" t="s">
        <v>2834</v>
      </c>
      <c r="AL545" t="s">
        <v>2835</v>
      </c>
      <c r="AM545" t="s">
        <v>2836</v>
      </c>
      <c r="AN545" t="s">
        <v>56</v>
      </c>
      <c r="AO545" t="s">
        <v>56</v>
      </c>
      <c r="AP545" t="s">
        <v>56</v>
      </c>
      <c r="AQ545" t="s">
        <v>71</v>
      </c>
      <c r="AR545" t="s">
        <v>56</v>
      </c>
      <c r="AS545" t="s">
        <v>56</v>
      </c>
      <c r="AT545" t="s">
        <v>56</v>
      </c>
      <c r="AU545" t="s">
        <v>56</v>
      </c>
      <c r="AV545" t="s">
        <v>56</v>
      </c>
      <c r="AW545" t="s">
        <v>56</v>
      </c>
      <c r="AX545">
        <v>4</v>
      </c>
    </row>
    <row r="546" spans="1:50" x14ac:dyDescent="0.25">
      <c r="A546" t="str">
        <f>"20200130169017151289"</f>
        <v>20200130169017151289</v>
      </c>
      <c r="B546" t="s">
        <v>124</v>
      </c>
      <c r="C546" t="s">
        <v>124</v>
      </c>
      <c r="D546" t="s">
        <v>2837</v>
      </c>
      <c r="E546" t="str">
        <f>"134300068301"</f>
        <v>134300068301</v>
      </c>
      <c r="F546" t="s">
        <v>52</v>
      </c>
      <c r="G546">
        <v>900827631</v>
      </c>
      <c r="H546">
        <v>13430</v>
      </c>
      <c r="I546" t="s">
        <v>258</v>
      </c>
      <c r="J546">
        <v>3145812515</v>
      </c>
      <c r="K546" t="s">
        <v>54</v>
      </c>
      <c r="L546">
        <v>78733522</v>
      </c>
      <c r="M546" t="s">
        <v>259</v>
      </c>
      <c r="N546" t="s">
        <v>223</v>
      </c>
      <c r="O546" t="s">
        <v>179</v>
      </c>
      <c r="P546" t="s">
        <v>260</v>
      </c>
      <c r="Q546">
        <v>23306</v>
      </c>
      <c r="R546" t="s">
        <v>54</v>
      </c>
      <c r="S546">
        <v>33194284</v>
      </c>
      <c r="T546" t="s">
        <v>2838</v>
      </c>
      <c r="U546" t="s">
        <v>600</v>
      </c>
      <c r="V546" t="s">
        <v>297</v>
      </c>
      <c r="W546" t="s">
        <v>2736</v>
      </c>
      <c r="X546" t="s">
        <v>183</v>
      </c>
      <c r="Y546" t="s">
        <v>101</v>
      </c>
      <c r="Z546">
        <v>12</v>
      </c>
      <c r="AA546" t="s">
        <v>65</v>
      </c>
      <c r="AB546" t="s">
        <v>56</v>
      </c>
      <c r="AC546" t="s">
        <v>56</v>
      </c>
      <c r="AD546">
        <v>0</v>
      </c>
      <c r="AE546" t="s">
        <v>66</v>
      </c>
      <c r="AF546" t="s">
        <v>56</v>
      </c>
      <c r="AG546" t="s">
        <v>56</v>
      </c>
      <c r="AH546" t="s">
        <v>56</v>
      </c>
      <c r="AI546" t="s">
        <v>56</v>
      </c>
      <c r="AJ546" t="s">
        <v>2839</v>
      </c>
      <c r="AK546" t="s">
        <v>2840</v>
      </c>
      <c r="AL546" t="s">
        <v>56</v>
      </c>
      <c r="AM546" t="s">
        <v>56</v>
      </c>
      <c r="AN546" t="s">
        <v>56</v>
      </c>
      <c r="AO546" t="s">
        <v>56</v>
      </c>
      <c r="AP546" t="s">
        <v>56</v>
      </c>
      <c r="AQ546" t="s">
        <v>71</v>
      </c>
      <c r="AR546" t="s">
        <v>56</v>
      </c>
      <c r="AS546" t="s">
        <v>56</v>
      </c>
      <c r="AT546" t="s">
        <v>56</v>
      </c>
      <c r="AU546" t="s">
        <v>56</v>
      </c>
      <c r="AV546" t="s">
        <v>56</v>
      </c>
      <c r="AW546" t="s">
        <v>56</v>
      </c>
      <c r="AX546">
        <v>4</v>
      </c>
    </row>
    <row r="547" spans="1:50" x14ac:dyDescent="0.25">
      <c r="A547" t="str">
        <f>"20200130115017143270"</f>
        <v>20200130115017143270</v>
      </c>
      <c r="B547" t="s">
        <v>124</v>
      </c>
      <c r="C547" t="s">
        <v>124</v>
      </c>
      <c r="D547" t="s">
        <v>2841</v>
      </c>
      <c r="E547" t="str">
        <f>"130010118701"</f>
        <v>130010118701</v>
      </c>
      <c r="F547" t="s">
        <v>52</v>
      </c>
      <c r="G547">
        <v>890480135</v>
      </c>
      <c r="H547">
        <v>13001</v>
      </c>
      <c r="I547" t="s">
        <v>1442</v>
      </c>
      <c r="J547" t="s">
        <v>1443</v>
      </c>
      <c r="K547" t="s">
        <v>54</v>
      </c>
      <c r="L547">
        <v>32635682</v>
      </c>
      <c r="M547" t="s">
        <v>2842</v>
      </c>
      <c r="N547" t="s">
        <v>117</v>
      </c>
      <c r="O547" t="s">
        <v>2843</v>
      </c>
      <c r="P547" t="s">
        <v>2844</v>
      </c>
      <c r="Q547">
        <v>1750</v>
      </c>
      <c r="R547" t="s">
        <v>237</v>
      </c>
      <c r="S547">
        <v>1049291629</v>
      </c>
      <c r="T547" t="s">
        <v>2845</v>
      </c>
      <c r="U547" t="s">
        <v>2600</v>
      </c>
      <c r="V547" t="s">
        <v>1926</v>
      </c>
      <c r="W547" t="s">
        <v>2846</v>
      </c>
      <c r="X547" t="s">
        <v>2847</v>
      </c>
      <c r="Y547" t="s">
        <v>101</v>
      </c>
      <c r="Z547">
        <v>22</v>
      </c>
      <c r="AA547" t="s">
        <v>102</v>
      </c>
      <c r="AB547">
        <v>0</v>
      </c>
      <c r="AC547" t="s">
        <v>66</v>
      </c>
      <c r="AD547">
        <v>0</v>
      </c>
      <c r="AE547" t="s">
        <v>66</v>
      </c>
      <c r="AF547" t="s">
        <v>56</v>
      </c>
      <c r="AG547" t="s">
        <v>56</v>
      </c>
      <c r="AH547" t="s">
        <v>56</v>
      </c>
      <c r="AI547" t="s">
        <v>56</v>
      </c>
      <c r="AJ547" t="s">
        <v>2848</v>
      </c>
      <c r="AK547" t="s">
        <v>2849</v>
      </c>
      <c r="AL547" t="s">
        <v>56</v>
      </c>
      <c r="AM547" t="s">
        <v>56</v>
      </c>
      <c r="AN547" t="s">
        <v>56</v>
      </c>
      <c r="AO547" t="s">
        <v>56</v>
      </c>
      <c r="AP547" t="s">
        <v>56</v>
      </c>
      <c r="AQ547" t="s">
        <v>71</v>
      </c>
      <c r="AR547" t="s">
        <v>56</v>
      </c>
      <c r="AS547" t="s">
        <v>56</v>
      </c>
      <c r="AT547" t="s">
        <v>56</v>
      </c>
      <c r="AU547" t="s">
        <v>56</v>
      </c>
      <c r="AV547" t="s">
        <v>56</v>
      </c>
      <c r="AW547" t="s">
        <v>56</v>
      </c>
      <c r="AX547">
        <v>4</v>
      </c>
    </row>
    <row r="548" spans="1:50" x14ac:dyDescent="0.25">
      <c r="A548" t="str">
        <f>"20200124128017004990"</f>
        <v>20200124128017004990</v>
      </c>
      <c r="B548" t="s">
        <v>201</v>
      </c>
      <c r="C548" t="s">
        <v>201</v>
      </c>
      <c r="D548" t="s">
        <v>2850</v>
      </c>
      <c r="E548" t="str">
        <f>"080010003601"</f>
        <v>080010003601</v>
      </c>
      <c r="F548" t="s">
        <v>52</v>
      </c>
      <c r="G548">
        <v>802000955</v>
      </c>
      <c r="H548" t="s">
        <v>112</v>
      </c>
      <c r="I548" t="s">
        <v>218</v>
      </c>
      <c r="J548" t="s">
        <v>56</v>
      </c>
      <c r="K548" t="s">
        <v>54</v>
      </c>
      <c r="L548">
        <v>1051357508</v>
      </c>
      <c r="M548" t="s">
        <v>644</v>
      </c>
      <c r="N548" t="s">
        <v>645</v>
      </c>
      <c r="O548" t="s">
        <v>646</v>
      </c>
      <c r="P548" t="s">
        <v>647</v>
      </c>
      <c r="Q548">
        <v>81153</v>
      </c>
      <c r="R548" t="s">
        <v>54</v>
      </c>
      <c r="S548">
        <v>1010124942</v>
      </c>
      <c r="T548" t="s">
        <v>1145</v>
      </c>
      <c r="U548" t="s">
        <v>117</v>
      </c>
      <c r="V548" t="s">
        <v>1794</v>
      </c>
      <c r="W548" t="s">
        <v>99</v>
      </c>
      <c r="X548" t="s">
        <v>1563</v>
      </c>
      <c r="Y548" t="s">
        <v>345</v>
      </c>
      <c r="Z548">
        <v>12</v>
      </c>
      <c r="AA548" t="s">
        <v>65</v>
      </c>
      <c r="AB548" t="s">
        <v>56</v>
      </c>
      <c r="AC548" t="s">
        <v>56</v>
      </c>
      <c r="AD548">
        <v>0</v>
      </c>
      <c r="AE548" t="s">
        <v>66</v>
      </c>
      <c r="AF548" t="s">
        <v>56</v>
      </c>
      <c r="AG548" t="s">
        <v>56</v>
      </c>
      <c r="AH548" t="s">
        <v>56</v>
      </c>
      <c r="AI548" t="s">
        <v>56</v>
      </c>
      <c r="AJ548" t="s">
        <v>228</v>
      </c>
      <c r="AK548" t="s">
        <v>229</v>
      </c>
      <c r="AL548" t="s">
        <v>56</v>
      </c>
      <c r="AM548" t="s">
        <v>56</v>
      </c>
      <c r="AN548" t="s">
        <v>56</v>
      </c>
      <c r="AO548" t="s">
        <v>56</v>
      </c>
      <c r="AP548" t="s">
        <v>56</v>
      </c>
      <c r="AQ548" t="s">
        <v>71</v>
      </c>
      <c r="AR548" t="s">
        <v>56</v>
      </c>
      <c r="AS548" t="s">
        <v>56</v>
      </c>
      <c r="AT548" t="s">
        <v>56</v>
      </c>
      <c r="AU548" t="s">
        <v>56</v>
      </c>
      <c r="AV548" t="s">
        <v>56</v>
      </c>
      <c r="AW548" t="s">
        <v>56</v>
      </c>
      <c r="AX548">
        <v>4</v>
      </c>
    </row>
    <row r="549" spans="1:50" x14ac:dyDescent="0.25">
      <c r="A549" t="str">
        <f>"20200128142017068147"</f>
        <v>20200128142017068147</v>
      </c>
      <c r="B549" t="s">
        <v>151</v>
      </c>
      <c r="C549" t="s">
        <v>151</v>
      </c>
      <c r="D549" t="s">
        <v>2851</v>
      </c>
      <c r="E549" t="str">
        <f>"050010214401"</f>
        <v>050010214401</v>
      </c>
      <c r="F549" t="s">
        <v>52</v>
      </c>
      <c r="G549">
        <v>890904646</v>
      </c>
      <c r="H549" t="s">
        <v>1652</v>
      </c>
      <c r="I549" t="s">
        <v>1847</v>
      </c>
      <c r="J549">
        <v>3847302</v>
      </c>
      <c r="K549" t="s">
        <v>54</v>
      </c>
      <c r="L549">
        <v>71774135</v>
      </c>
      <c r="M549" t="s">
        <v>1222</v>
      </c>
      <c r="N549" t="s">
        <v>2852</v>
      </c>
      <c r="O549" t="s">
        <v>2733</v>
      </c>
      <c r="P549" t="s">
        <v>1922</v>
      </c>
      <c r="Q549">
        <v>5153102</v>
      </c>
      <c r="R549" t="s">
        <v>440</v>
      </c>
      <c r="S549">
        <v>1078014093</v>
      </c>
      <c r="T549" t="s">
        <v>962</v>
      </c>
      <c r="U549" t="s">
        <v>62</v>
      </c>
      <c r="V549" t="s">
        <v>2853</v>
      </c>
      <c r="W549" t="s">
        <v>2854</v>
      </c>
      <c r="X549" t="s">
        <v>1858</v>
      </c>
      <c r="Y549" t="s">
        <v>717</v>
      </c>
      <c r="Z549">
        <v>22</v>
      </c>
      <c r="AA549" t="s">
        <v>102</v>
      </c>
      <c r="AB549">
        <v>0</v>
      </c>
      <c r="AC549" t="s">
        <v>66</v>
      </c>
      <c r="AD549">
        <v>0</v>
      </c>
      <c r="AE549" t="s">
        <v>66</v>
      </c>
      <c r="AF549" t="s">
        <v>56</v>
      </c>
      <c r="AG549" t="s">
        <v>56</v>
      </c>
      <c r="AH549" t="s">
        <v>56</v>
      </c>
      <c r="AI549" t="s">
        <v>56</v>
      </c>
      <c r="AJ549" t="s">
        <v>2855</v>
      </c>
      <c r="AK549" t="s">
        <v>2856</v>
      </c>
      <c r="AL549" t="s">
        <v>2857</v>
      </c>
      <c r="AM549" t="s">
        <v>2858</v>
      </c>
      <c r="AN549" t="s">
        <v>56</v>
      </c>
      <c r="AO549" t="s">
        <v>56</v>
      </c>
      <c r="AP549" t="s">
        <v>56</v>
      </c>
      <c r="AQ549" t="s">
        <v>71</v>
      </c>
      <c r="AR549" t="s">
        <v>56</v>
      </c>
      <c r="AS549" t="s">
        <v>56</v>
      </c>
      <c r="AT549" t="s">
        <v>56</v>
      </c>
      <c r="AU549" t="s">
        <v>56</v>
      </c>
      <c r="AV549" t="s">
        <v>56</v>
      </c>
      <c r="AW549" t="s">
        <v>56</v>
      </c>
      <c r="AX549">
        <v>4</v>
      </c>
    </row>
    <row r="550" spans="1:50" x14ac:dyDescent="0.25">
      <c r="A550" t="str">
        <f>"20200127163017045284"</f>
        <v>20200127163017045284</v>
      </c>
      <c r="B550" t="s">
        <v>190</v>
      </c>
      <c r="C550" t="s">
        <v>190</v>
      </c>
      <c r="D550" t="s">
        <v>2859</v>
      </c>
      <c r="E550" t="str">
        <f>"134300049201"</f>
        <v>134300049201</v>
      </c>
      <c r="F550" t="s">
        <v>52</v>
      </c>
      <c r="G550">
        <v>900196347</v>
      </c>
      <c r="H550">
        <v>13430</v>
      </c>
      <c r="I550" t="s">
        <v>174</v>
      </c>
      <c r="J550" t="s">
        <v>175</v>
      </c>
      <c r="K550" t="s">
        <v>54</v>
      </c>
      <c r="L550">
        <v>73578467</v>
      </c>
      <c r="M550" t="s">
        <v>192</v>
      </c>
      <c r="N550" t="s">
        <v>94</v>
      </c>
      <c r="O550" t="s">
        <v>193</v>
      </c>
      <c r="P550" t="s">
        <v>194</v>
      </c>
      <c r="Q550">
        <v>130403</v>
      </c>
      <c r="R550" t="s">
        <v>54</v>
      </c>
      <c r="S550">
        <v>1099963113</v>
      </c>
      <c r="T550" t="s">
        <v>2860</v>
      </c>
      <c r="U550" t="s">
        <v>62</v>
      </c>
      <c r="V550" t="s">
        <v>1872</v>
      </c>
      <c r="W550" t="s">
        <v>650</v>
      </c>
      <c r="X550" t="s">
        <v>183</v>
      </c>
      <c r="Y550" t="s">
        <v>101</v>
      </c>
      <c r="Z550">
        <v>22</v>
      </c>
      <c r="AA550" t="s">
        <v>102</v>
      </c>
      <c r="AB550">
        <v>0</v>
      </c>
      <c r="AC550" t="s">
        <v>66</v>
      </c>
      <c r="AD550">
        <v>0</v>
      </c>
      <c r="AE550" t="s">
        <v>66</v>
      </c>
      <c r="AF550" t="s">
        <v>56</v>
      </c>
      <c r="AG550" t="s">
        <v>56</v>
      </c>
      <c r="AH550" t="s">
        <v>56</v>
      </c>
      <c r="AI550" t="s">
        <v>56</v>
      </c>
      <c r="AJ550" t="s">
        <v>2861</v>
      </c>
      <c r="AK550" t="s">
        <v>2862</v>
      </c>
      <c r="AL550" t="s">
        <v>199</v>
      </c>
      <c r="AM550" t="s">
        <v>200</v>
      </c>
      <c r="AN550" t="s">
        <v>56</v>
      </c>
      <c r="AO550" t="s">
        <v>56</v>
      </c>
      <c r="AP550" t="s">
        <v>56</v>
      </c>
      <c r="AQ550" t="s">
        <v>71</v>
      </c>
      <c r="AR550" t="s">
        <v>56</v>
      </c>
      <c r="AS550" t="s">
        <v>56</v>
      </c>
      <c r="AT550" t="s">
        <v>56</v>
      </c>
      <c r="AU550" t="s">
        <v>56</v>
      </c>
      <c r="AV550" t="s">
        <v>56</v>
      </c>
      <c r="AW550" t="s">
        <v>56</v>
      </c>
      <c r="AX550">
        <v>4</v>
      </c>
    </row>
    <row r="551" spans="1:50" x14ac:dyDescent="0.25">
      <c r="A551" t="str">
        <f>"20200128144017069736"</f>
        <v>20200128144017069736</v>
      </c>
      <c r="B551" t="s">
        <v>151</v>
      </c>
      <c r="C551" t="s">
        <v>151</v>
      </c>
      <c r="D551" t="s">
        <v>2863</v>
      </c>
      <c r="E551" t="str">
        <f>"134300049201"</f>
        <v>134300049201</v>
      </c>
      <c r="F551" t="s">
        <v>52</v>
      </c>
      <c r="G551">
        <v>900196347</v>
      </c>
      <c r="H551">
        <v>13430</v>
      </c>
      <c r="I551" t="s">
        <v>174</v>
      </c>
      <c r="J551" t="s">
        <v>175</v>
      </c>
      <c r="K551" t="s">
        <v>54</v>
      </c>
      <c r="L551">
        <v>73578467</v>
      </c>
      <c r="M551" t="s">
        <v>192</v>
      </c>
      <c r="N551" t="s">
        <v>94</v>
      </c>
      <c r="O551" t="s">
        <v>193</v>
      </c>
      <c r="P551" t="s">
        <v>194</v>
      </c>
      <c r="Q551">
        <v>130403</v>
      </c>
      <c r="R551" t="s">
        <v>54</v>
      </c>
      <c r="S551">
        <v>1099963113</v>
      </c>
      <c r="T551" t="s">
        <v>2860</v>
      </c>
      <c r="U551" t="s">
        <v>62</v>
      </c>
      <c r="V551" t="s">
        <v>1872</v>
      </c>
      <c r="W551" t="s">
        <v>650</v>
      </c>
      <c r="X551" t="s">
        <v>183</v>
      </c>
      <c r="Y551" t="s">
        <v>101</v>
      </c>
      <c r="Z551">
        <v>22</v>
      </c>
      <c r="AA551" t="s">
        <v>102</v>
      </c>
      <c r="AB551">
        <v>0</v>
      </c>
      <c r="AC551" t="s">
        <v>66</v>
      </c>
      <c r="AD551">
        <v>0</v>
      </c>
      <c r="AE551" t="s">
        <v>66</v>
      </c>
      <c r="AF551" t="s">
        <v>56</v>
      </c>
      <c r="AG551" t="s">
        <v>56</v>
      </c>
      <c r="AH551" t="s">
        <v>56</v>
      </c>
      <c r="AI551" t="s">
        <v>56</v>
      </c>
      <c r="AJ551" t="s">
        <v>2864</v>
      </c>
      <c r="AK551" t="s">
        <v>2865</v>
      </c>
      <c r="AL551" t="s">
        <v>56</v>
      </c>
      <c r="AM551" t="s">
        <v>56</v>
      </c>
      <c r="AN551" t="s">
        <v>56</v>
      </c>
      <c r="AO551" t="s">
        <v>56</v>
      </c>
      <c r="AP551" t="s">
        <v>56</v>
      </c>
      <c r="AQ551" t="s">
        <v>71</v>
      </c>
      <c r="AR551" t="s">
        <v>56</v>
      </c>
      <c r="AS551" t="s">
        <v>56</v>
      </c>
      <c r="AT551" t="s">
        <v>56</v>
      </c>
      <c r="AU551" t="s">
        <v>56</v>
      </c>
      <c r="AV551" t="s">
        <v>56</v>
      </c>
      <c r="AW551" t="s">
        <v>56</v>
      </c>
      <c r="AX551">
        <v>4</v>
      </c>
    </row>
    <row r="552" spans="1:50" x14ac:dyDescent="0.25">
      <c r="A552" t="str">
        <f>"20200129121017114106"</f>
        <v>20200129121017114106</v>
      </c>
      <c r="B552" t="s">
        <v>72</v>
      </c>
      <c r="C552" t="s">
        <v>72</v>
      </c>
      <c r="D552" t="s">
        <v>2866</v>
      </c>
      <c r="E552" t="str">
        <f>"134300077501"</f>
        <v>134300077501</v>
      </c>
      <c r="F552" t="s">
        <v>52</v>
      </c>
      <c r="G552">
        <v>823002800</v>
      </c>
      <c r="H552">
        <v>13430</v>
      </c>
      <c r="I552" t="s">
        <v>539</v>
      </c>
      <c r="J552">
        <v>3107315890</v>
      </c>
      <c r="K552" t="s">
        <v>54</v>
      </c>
      <c r="L552">
        <v>55231988</v>
      </c>
      <c r="M552" t="s">
        <v>886</v>
      </c>
      <c r="N552" t="s">
        <v>56</v>
      </c>
      <c r="O552" t="s">
        <v>193</v>
      </c>
      <c r="P552" t="s">
        <v>805</v>
      </c>
      <c r="Q552">
        <v>161322009</v>
      </c>
      <c r="R552" t="s">
        <v>54</v>
      </c>
      <c r="S552">
        <v>33352020</v>
      </c>
      <c r="T552" t="s">
        <v>1205</v>
      </c>
      <c r="U552" t="s">
        <v>117</v>
      </c>
      <c r="V552" t="s">
        <v>207</v>
      </c>
      <c r="W552" t="s">
        <v>1568</v>
      </c>
      <c r="X552" t="s">
        <v>183</v>
      </c>
      <c r="Y552" t="s">
        <v>101</v>
      </c>
      <c r="Z552">
        <v>12</v>
      </c>
      <c r="AA552" t="s">
        <v>65</v>
      </c>
      <c r="AB552" t="s">
        <v>56</v>
      </c>
      <c r="AC552" t="s">
        <v>56</v>
      </c>
      <c r="AD552">
        <v>0</v>
      </c>
      <c r="AE552" t="s">
        <v>66</v>
      </c>
      <c r="AF552" t="s">
        <v>56</v>
      </c>
      <c r="AG552" t="s">
        <v>56</v>
      </c>
      <c r="AH552" t="s">
        <v>56</v>
      </c>
      <c r="AI552" t="s">
        <v>56</v>
      </c>
      <c r="AJ552" t="s">
        <v>1740</v>
      </c>
      <c r="AK552" t="s">
        <v>1741</v>
      </c>
      <c r="AL552" t="s">
        <v>56</v>
      </c>
      <c r="AM552" t="s">
        <v>56</v>
      </c>
      <c r="AN552" t="s">
        <v>56</v>
      </c>
      <c r="AO552" t="s">
        <v>56</v>
      </c>
      <c r="AP552" t="s">
        <v>56</v>
      </c>
      <c r="AQ552" t="s">
        <v>71</v>
      </c>
      <c r="AR552" t="s">
        <v>56</v>
      </c>
      <c r="AS552" t="s">
        <v>56</v>
      </c>
      <c r="AT552" t="s">
        <v>56</v>
      </c>
      <c r="AU552" t="s">
        <v>56</v>
      </c>
      <c r="AV552" t="s">
        <v>56</v>
      </c>
      <c r="AW552" t="s">
        <v>56</v>
      </c>
      <c r="AX552">
        <v>4</v>
      </c>
    </row>
    <row r="553" spans="1:50" x14ac:dyDescent="0.25">
      <c r="A553" t="str">
        <f>"20200128100017094445"</f>
        <v>20200128100017094445</v>
      </c>
      <c r="B553" t="s">
        <v>151</v>
      </c>
      <c r="C553" t="s">
        <v>151</v>
      </c>
      <c r="D553" t="s">
        <v>2867</v>
      </c>
      <c r="E553" t="str">
        <f>"086380015501"</f>
        <v>086380015501</v>
      </c>
      <c r="F553" t="s">
        <v>52</v>
      </c>
      <c r="G553">
        <v>802010241</v>
      </c>
      <c r="H553" t="s">
        <v>246</v>
      </c>
      <c r="I553" t="s">
        <v>1162</v>
      </c>
      <c r="J553">
        <v>8781332</v>
      </c>
      <c r="K553" t="s">
        <v>54</v>
      </c>
      <c r="L553">
        <v>22637225</v>
      </c>
      <c r="M553" t="s">
        <v>1163</v>
      </c>
      <c r="N553" t="s">
        <v>1164</v>
      </c>
      <c r="O553" t="s">
        <v>691</v>
      </c>
      <c r="P553" t="s">
        <v>568</v>
      </c>
      <c r="Q553">
        <v>22637225</v>
      </c>
      <c r="R553" t="s">
        <v>440</v>
      </c>
      <c r="S553">
        <v>1043601513</v>
      </c>
      <c r="T553" t="s">
        <v>2868</v>
      </c>
      <c r="U553" t="s">
        <v>995</v>
      </c>
      <c r="V553" t="s">
        <v>564</v>
      </c>
      <c r="W553" t="s">
        <v>564</v>
      </c>
      <c r="X553" t="s">
        <v>590</v>
      </c>
      <c r="Y553" t="s">
        <v>121</v>
      </c>
      <c r="Z553">
        <v>11</v>
      </c>
      <c r="AA553" t="s">
        <v>87</v>
      </c>
      <c r="AB553" t="s">
        <v>56</v>
      </c>
      <c r="AC553" t="s">
        <v>56</v>
      </c>
      <c r="AD553">
        <v>0</v>
      </c>
      <c r="AE553" t="s">
        <v>66</v>
      </c>
      <c r="AF553" t="s">
        <v>56</v>
      </c>
      <c r="AG553" t="s">
        <v>56</v>
      </c>
      <c r="AH553" t="s">
        <v>56</v>
      </c>
      <c r="AI553" t="s">
        <v>56</v>
      </c>
      <c r="AJ553" t="s">
        <v>591</v>
      </c>
      <c r="AK553" t="s">
        <v>592</v>
      </c>
      <c r="AL553" t="s">
        <v>2626</v>
      </c>
      <c r="AM553" t="s">
        <v>2627</v>
      </c>
      <c r="AN553" t="s">
        <v>56</v>
      </c>
      <c r="AO553" t="s">
        <v>56</v>
      </c>
      <c r="AP553" t="s">
        <v>56</v>
      </c>
      <c r="AQ553" t="s">
        <v>71</v>
      </c>
      <c r="AR553" t="s">
        <v>56</v>
      </c>
      <c r="AS553" t="s">
        <v>56</v>
      </c>
      <c r="AT553" t="s">
        <v>56</v>
      </c>
      <c r="AU553" t="s">
        <v>56</v>
      </c>
      <c r="AV553" t="s">
        <v>56</v>
      </c>
      <c r="AW553" t="s">
        <v>56</v>
      </c>
      <c r="AX553">
        <v>4</v>
      </c>
    </row>
    <row r="554" spans="1:50" x14ac:dyDescent="0.25">
      <c r="A554" t="str">
        <f>"20200127158017063149"</f>
        <v>20200127158017063149</v>
      </c>
      <c r="B554" t="s">
        <v>190</v>
      </c>
      <c r="C554" t="s">
        <v>190</v>
      </c>
      <c r="D554" t="s">
        <v>2869</v>
      </c>
      <c r="E554" t="str">
        <f>"087580001301"</f>
        <v>087580001301</v>
      </c>
      <c r="F554" t="s">
        <v>52</v>
      </c>
      <c r="G554">
        <v>890112801</v>
      </c>
      <c r="H554" t="s">
        <v>74</v>
      </c>
      <c r="I554" t="s">
        <v>75</v>
      </c>
      <c r="J554">
        <v>3715562</v>
      </c>
      <c r="K554" t="s">
        <v>54</v>
      </c>
      <c r="L554">
        <v>92507040</v>
      </c>
      <c r="M554" t="s">
        <v>128</v>
      </c>
      <c r="N554" t="s">
        <v>2870</v>
      </c>
      <c r="O554" t="s">
        <v>147</v>
      </c>
      <c r="P554" t="s">
        <v>79</v>
      </c>
      <c r="Q554" t="s">
        <v>2871</v>
      </c>
      <c r="R554" t="s">
        <v>54</v>
      </c>
      <c r="S554">
        <v>72100155</v>
      </c>
      <c r="T554" t="s">
        <v>81</v>
      </c>
      <c r="U554" t="s">
        <v>164</v>
      </c>
      <c r="V554" t="s">
        <v>956</v>
      </c>
      <c r="W554" t="s">
        <v>108</v>
      </c>
      <c r="X554" t="s">
        <v>2656</v>
      </c>
      <c r="Y554" t="s">
        <v>121</v>
      </c>
      <c r="Z554">
        <v>22</v>
      </c>
      <c r="AA554" t="s">
        <v>102</v>
      </c>
      <c r="AB554">
        <v>0</v>
      </c>
      <c r="AC554" t="s">
        <v>66</v>
      </c>
      <c r="AD554">
        <v>0</v>
      </c>
      <c r="AE554" t="s">
        <v>66</v>
      </c>
      <c r="AF554" t="s">
        <v>56</v>
      </c>
      <c r="AG554" t="s">
        <v>56</v>
      </c>
      <c r="AH554" t="s">
        <v>56</v>
      </c>
      <c r="AI554" t="s">
        <v>56</v>
      </c>
      <c r="AJ554" t="s">
        <v>2872</v>
      </c>
      <c r="AK554" t="s">
        <v>2873</v>
      </c>
      <c r="AL554" t="s">
        <v>56</v>
      </c>
      <c r="AM554" t="s">
        <v>56</v>
      </c>
      <c r="AN554" t="s">
        <v>56</v>
      </c>
      <c r="AO554" t="s">
        <v>56</v>
      </c>
      <c r="AP554" t="s">
        <v>56</v>
      </c>
      <c r="AQ554" t="s">
        <v>71</v>
      </c>
      <c r="AR554" t="s">
        <v>56</v>
      </c>
      <c r="AS554" t="s">
        <v>56</v>
      </c>
      <c r="AT554" t="s">
        <v>56</v>
      </c>
      <c r="AU554" t="s">
        <v>56</v>
      </c>
      <c r="AV554" t="s">
        <v>56</v>
      </c>
      <c r="AW554" t="s">
        <v>56</v>
      </c>
      <c r="AX554">
        <v>4</v>
      </c>
    </row>
    <row r="555" spans="1:50" x14ac:dyDescent="0.25">
      <c r="A555" t="str">
        <f>"20200129115017110302"</f>
        <v>20200129115017110302</v>
      </c>
      <c r="B555" t="s">
        <v>72</v>
      </c>
      <c r="C555" t="s">
        <v>72</v>
      </c>
      <c r="D555" t="s">
        <v>2874</v>
      </c>
      <c r="E555" t="str">
        <f>"134300049201"</f>
        <v>134300049201</v>
      </c>
      <c r="F555" t="s">
        <v>52</v>
      </c>
      <c r="G555">
        <v>900196347</v>
      </c>
      <c r="H555">
        <v>13430</v>
      </c>
      <c r="I555" t="s">
        <v>174</v>
      </c>
      <c r="J555" t="s">
        <v>175</v>
      </c>
      <c r="K555" t="s">
        <v>54</v>
      </c>
      <c r="L555">
        <v>73241145</v>
      </c>
      <c r="M555" t="s">
        <v>1565</v>
      </c>
      <c r="N555" t="s">
        <v>76</v>
      </c>
      <c r="O555" t="s">
        <v>1566</v>
      </c>
      <c r="P555" t="s">
        <v>263</v>
      </c>
      <c r="Q555">
        <v>44062001</v>
      </c>
      <c r="R555" t="s">
        <v>237</v>
      </c>
      <c r="S555">
        <v>1052972654</v>
      </c>
      <c r="T555" t="s">
        <v>2875</v>
      </c>
      <c r="U555" t="s">
        <v>519</v>
      </c>
      <c r="V555" t="s">
        <v>364</v>
      </c>
      <c r="W555" t="s">
        <v>1610</v>
      </c>
      <c r="X555" t="s">
        <v>183</v>
      </c>
      <c r="Y555" t="s">
        <v>101</v>
      </c>
      <c r="Z555">
        <v>22</v>
      </c>
      <c r="AA555" t="s">
        <v>102</v>
      </c>
      <c r="AB555">
        <v>0</v>
      </c>
      <c r="AC555" t="s">
        <v>66</v>
      </c>
      <c r="AD555">
        <v>0</v>
      </c>
      <c r="AE555" t="s">
        <v>66</v>
      </c>
      <c r="AF555" t="s">
        <v>56</v>
      </c>
      <c r="AG555" t="s">
        <v>56</v>
      </c>
      <c r="AH555" t="s">
        <v>56</v>
      </c>
      <c r="AI555" t="s">
        <v>56</v>
      </c>
      <c r="AJ555" t="s">
        <v>2876</v>
      </c>
      <c r="AK555" t="s">
        <v>2877</v>
      </c>
      <c r="AL555" t="s">
        <v>1884</v>
      </c>
      <c r="AM555" t="s">
        <v>1885</v>
      </c>
      <c r="AN555" t="s">
        <v>56</v>
      </c>
      <c r="AO555" t="s">
        <v>56</v>
      </c>
      <c r="AP555" t="s">
        <v>56</v>
      </c>
      <c r="AQ555" t="s">
        <v>71</v>
      </c>
      <c r="AR555" t="s">
        <v>56</v>
      </c>
      <c r="AS555" t="s">
        <v>56</v>
      </c>
      <c r="AT555" t="s">
        <v>56</v>
      </c>
      <c r="AU555" t="s">
        <v>56</v>
      </c>
      <c r="AV555" t="s">
        <v>56</v>
      </c>
      <c r="AW555" t="s">
        <v>56</v>
      </c>
      <c r="AX555">
        <v>4</v>
      </c>
    </row>
    <row r="556" spans="1:50" x14ac:dyDescent="0.25">
      <c r="A556" t="str">
        <f>"20200130181017153615"</f>
        <v>20200130181017153615</v>
      </c>
      <c r="B556" t="s">
        <v>124</v>
      </c>
      <c r="C556" t="s">
        <v>124</v>
      </c>
      <c r="D556" t="s">
        <v>2878</v>
      </c>
      <c r="E556" t="str">
        <f>"134300049201"</f>
        <v>134300049201</v>
      </c>
      <c r="F556" t="s">
        <v>52</v>
      </c>
      <c r="G556">
        <v>900196347</v>
      </c>
      <c r="H556">
        <v>13430</v>
      </c>
      <c r="I556" t="s">
        <v>174</v>
      </c>
      <c r="J556" t="s">
        <v>175</v>
      </c>
      <c r="K556" t="s">
        <v>54</v>
      </c>
      <c r="L556">
        <v>73241145</v>
      </c>
      <c r="M556" t="s">
        <v>1565</v>
      </c>
      <c r="N556" t="s">
        <v>76</v>
      </c>
      <c r="O556" t="s">
        <v>1566</v>
      </c>
      <c r="P556" t="s">
        <v>263</v>
      </c>
      <c r="Q556">
        <v>44062001</v>
      </c>
      <c r="R556" t="s">
        <v>237</v>
      </c>
      <c r="S556">
        <v>1052972654</v>
      </c>
      <c r="T556" t="s">
        <v>2875</v>
      </c>
      <c r="U556" t="s">
        <v>519</v>
      </c>
      <c r="V556" t="s">
        <v>364</v>
      </c>
      <c r="W556" t="s">
        <v>1610</v>
      </c>
      <c r="X556" t="s">
        <v>183</v>
      </c>
      <c r="Y556" t="s">
        <v>101</v>
      </c>
      <c r="Z556">
        <v>22</v>
      </c>
      <c r="AA556" t="s">
        <v>102</v>
      </c>
      <c r="AB556">
        <v>0</v>
      </c>
      <c r="AC556" t="s">
        <v>66</v>
      </c>
      <c r="AD556">
        <v>0</v>
      </c>
      <c r="AE556" t="s">
        <v>66</v>
      </c>
      <c r="AF556" t="s">
        <v>56</v>
      </c>
      <c r="AG556" t="s">
        <v>56</v>
      </c>
      <c r="AH556" t="s">
        <v>56</v>
      </c>
      <c r="AI556" t="s">
        <v>56</v>
      </c>
      <c r="AJ556" t="s">
        <v>2876</v>
      </c>
      <c r="AK556" t="s">
        <v>2877</v>
      </c>
      <c r="AL556" t="s">
        <v>56</v>
      </c>
      <c r="AM556" t="s">
        <v>56</v>
      </c>
      <c r="AN556" t="s">
        <v>56</v>
      </c>
      <c r="AO556" t="s">
        <v>56</v>
      </c>
      <c r="AP556" t="s">
        <v>56</v>
      </c>
      <c r="AQ556" t="s">
        <v>71</v>
      </c>
      <c r="AR556" t="s">
        <v>56</v>
      </c>
      <c r="AS556" t="s">
        <v>56</v>
      </c>
      <c r="AT556" t="s">
        <v>56</v>
      </c>
      <c r="AU556" t="s">
        <v>56</v>
      </c>
      <c r="AV556" t="s">
        <v>56</v>
      </c>
      <c r="AW556" t="s">
        <v>56</v>
      </c>
      <c r="AX556">
        <v>4</v>
      </c>
    </row>
    <row r="557" spans="1:50" x14ac:dyDescent="0.25">
      <c r="A557" t="str">
        <f>"20200131186017156976"</f>
        <v>20200131186017156976</v>
      </c>
      <c r="B557" t="s">
        <v>110</v>
      </c>
      <c r="C557" t="s">
        <v>110</v>
      </c>
      <c r="D557" t="s">
        <v>2879</v>
      </c>
      <c r="E557" t="str">
        <f>"134300049201"</f>
        <v>134300049201</v>
      </c>
      <c r="F557" t="s">
        <v>52</v>
      </c>
      <c r="G557">
        <v>900196347</v>
      </c>
      <c r="H557">
        <v>13430</v>
      </c>
      <c r="I557" t="s">
        <v>174</v>
      </c>
      <c r="J557" t="s">
        <v>175</v>
      </c>
      <c r="K557" t="s">
        <v>54</v>
      </c>
      <c r="L557">
        <v>73241145</v>
      </c>
      <c r="M557" t="s">
        <v>1565</v>
      </c>
      <c r="N557" t="s">
        <v>76</v>
      </c>
      <c r="O557" t="s">
        <v>1566</v>
      </c>
      <c r="P557" t="s">
        <v>263</v>
      </c>
      <c r="Q557">
        <v>44062001</v>
      </c>
      <c r="R557" t="s">
        <v>237</v>
      </c>
      <c r="S557">
        <v>1052972654</v>
      </c>
      <c r="T557" t="s">
        <v>2875</v>
      </c>
      <c r="U557" t="s">
        <v>519</v>
      </c>
      <c r="V557" t="s">
        <v>364</v>
      </c>
      <c r="W557" t="s">
        <v>1610</v>
      </c>
      <c r="X557" t="s">
        <v>183</v>
      </c>
      <c r="Y557" t="s">
        <v>101</v>
      </c>
      <c r="Z557">
        <v>22</v>
      </c>
      <c r="AA557" t="s">
        <v>102</v>
      </c>
      <c r="AB557">
        <v>0</v>
      </c>
      <c r="AC557" t="s">
        <v>66</v>
      </c>
      <c r="AD557">
        <v>0</v>
      </c>
      <c r="AE557" t="s">
        <v>66</v>
      </c>
      <c r="AF557" t="s">
        <v>56</v>
      </c>
      <c r="AG557" t="s">
        <v>56</v>
      </c>
      <c r="AH557" t="s">
        <v>56</v>
      </c>
      <c r="AI557" t="s">
        <v>56</v>
      </c>
      <c r="AJ557" t="s">
        <v>1884</v>
      </c>
      <c r="AK557" t="s">
        <v>1885</v>
      </c>
      <c r="AL557" t="s">
        <v>56</v>
      </c>
      <c r="AM557" t="s">
        <v>56</v>
      </c>
      <c r="AN557" t="s">
        <v>56</v>
      </c>
      <c r="AO557" t="s">
        <v>56</v>
      </c>
      <c r="AP557" t="s">
        <v>56</v>
      </c>
      <c r="AQ557" t="s">
        <v>71</v>
      </c>
      <c r="AR557" t="s">
        <v>56</v>
      </c>
      <c r="AS557" t="s">
        <v>56</v>
      </c>
      <c r="AT557" t="s">
        <v>56</v>
      </c>
      <c r="AU557" t="s">
        <v>56</v>
      </c>
      <c r="AV557" t="s">
        <v>56</v>
      </c>
      <c r="AW557" t="s">
        <v>56</v>
      </c>
      <c r="AX557">
        <v>4</v>
      </c>
    </row>
    <row r="558" spans="1:50" x14ac:dyDescent="0.25">
      <c r="A558" t="str">
        <f>"20200126123017037953"</f>
        <v>20200126123017037953</v>
      </c>
      <c r="B558" t="s">
        <v>244</v>
      </c>
      <c r="C558" t="s">
        <v>244</v>
      </c>
      <c r="D558" t="s">
        <v>2880</v>
      </c>
      <c r="E558" t="str">
        <f>"700010177001"</f>
        <v>700010177001</v>
      </c>
      <c r="F558" t="s">
        <v>52</v>
      </c>
      <c r="G558">
        <v>901082722</v>
      </c>
      <c r="H558">
        <v>70001</v>
      </c>
      <c r="I558" t="s">
        <v>1290</v>
      </c>
      <c r="J558" t="s">
        <v>1291</v>
      </c>
      <c r="K558" t="s">
        <v>54</v>
      </c>
      <c r="L558">
        <v>79500988</v>
      </c>
      <c r="M558" t="s">
        <v>234</v>
      </c>
      <c r="N558" t="s">
        <v>76</v>
      </c>
      <c r="O558" t="s">
        <v>376</v>
      </c>
      <c r="P558" t="s">
        <v>1292</v>
      </c>
      <c r="Q558">
        <v>7014799</v>
      </c>
      <c r="R558" t="s">
        <v>54</v>
      </c>
      <c r="S558">
        <v>30564116</v>
      </c>
      <c r="T558" t="s">
        <v>2270</v>
      </c>
      <c r="U558" t="s">
        <v>2881</v>
      </c>
      <c r="V558" t="s">
        <v>2882</v>
      </c>
      <c r="W558" t="s">
        <v>688</v>
      </c>
      <c r="X558" t="s">
        <v>605</v>
      </c>
      <c r="Y558" t="s">
        <v>330</v>
      </c>
      <c r="Z558">
        <v>12</v>
      </c>
      <c r="AA558" t="s">
        <v>65</v>
      </c>
      <c r="AB558" t="s">
        <v>56</v>
      </c>
      <c r="AC558" t="s">
        <v>56</v>
      </c>
      <c r="AD558">
        <v>0</v>
      </c>
      <c r="AE558" t="s">
        <v>66</v>
      </c>
      <c r="AF558" t="s">
        <v>56</v>
      </c>
      <c r="AG558" t="s">
        <v>56</v>
      </c>
      <c r="AH558" t="s">
        <v>56</v>
      </c>
      <c r="AI558" t="s">
        <v>56</v>
      </c>
      <c r="AJ558" t="s">
        <v>414</v>
      </c>
      <c r="AK558" t="s">
        <v>415</v>
      </c>
      <c r="AL558" t="s">
        <v>56</v>
      </c>
      <c r="AM558" t="s">
        <v>56</v>
      </c>
      <c r="AN558" t="s">
        <v>56</v>
      </c>
      <c r="AO558" t="s">
        <v>56</v>
      </c>
      <c r="AP558" t="s">
        <v>56</v>
      </c>
      <c r="AQ558" t="s">
        <v>71</v>
      </c>
      <c r="AR558" t="s">
        <v>56</v>
      </c>
      <c r="AS558" t="s">
        <v>56</v>
      </c>
      <c r="AT558" t="s">
        <v>56</v>
      </c>
      <c r="AU558" t="s">
        <v>56</v>
      </c>
      <c r="AV558" t="s">
        <v>56</v>
      </c>
      <c r="AW558" t="s">
        <v>56</v>
      </c>
      <c r="AX558">
        <v>4</v>
      </c>
    </row>
    <row r="559" spans="1:50" x14ac:dyDescent="0.25">
      <c r="A559" t="str">
        <f>"20200127130017050878"</f>
        <v>20200127130017050878</v>
      </c>
      <c r="B559" t="s">
        <v>190</v>
      </c>
      <c r="C559" t="s">
        <v>190</v>
      </c>
      <c r="D559" t="s">
        <v>2883</v>
      </c>
      <c r="E559" t="str">
        <f>"700010096901"</f>
        <v>700010096901</v>
      </c>
      <c r="F559" t="s">
        <v>52</v>
      </c>
      <c r="G559">
        <v>900118990</v>
      </c>
      <c r="H559">
        <v>70001</v>
      </c>
      <c r="I559" t="s">
        <v>869</v>
      </c>
      <c r="J559">
        <v>2761605</v>
      </c>
      <c r="K559" t="s">
        <v>54</v>
      </c>
      <c r="L559">
        <v>15041623</v>
      </c>
      <c r="M559" t="s">
        <v>870</v>
      </c>
      <c r="N559" t="s">
        <v>56</v>
      </c>
      <c r="O559" t="s">
        <v>129</v>
      </c>
      <c r="P559" t="s">
        <v>130</v>
      </c>
      <c r="Q559">
        <v>294</v>
      </c>
      <c r="R559" t="s">
        <v>54</v>
      </c>
      <c r="S559">
        <v>966426</v>
      </c>
      <c r="T559" t="s">
        <v>131</v>
      </c>
      <c r="U559" t="s">
        <v>916</v>
      </c>
      <c r="V559" t="s">
        <v>376</v>
      </c>
      <c r="W559" t="s">
        <v>1060</v>
      </c>
      <c r="X559" t="s">
        <v>1708</v>
      </c>
      <c r="Y559" t="s">
        <v>330</v>
      </c>
      <c r="Z559">
        <v>12</v>
      </c>
      <c r="AA559" t="s">
        <v>65</v>
      </c>
      <c r="AB559" t="s">
        <v>56</v>
      </c>
      <c r="AC559" t="s">
        <v>56</v>
      </c>
      <c r="AD559">
        <v>0</v>
      </c>
      <c r="AE559" t="s">
        <v>66</v>
      </c>
      <c r="AF559" t="s">
        <v>56</v>
      </c>
      <c r="AG559" t="s">
        <v>56</v>
      </c>
      <c r="AH559" t="s">
        <v>56</v>
      </c>
      <c r="AI559" t="s">
        <v>56</v>
      </c>
      <c r="AJ559" t="s">
        <v>1543</v>
      </c>
      <c r="AK559" t="s">
        <v>1544</v>
      </c>
      <c r="AL559" t="s">
        <v>56</v>
      </c>
      <c r="AM559" t="s">
        <v>56</v>
      </c>
      <c r="AN559" t="s">
        <v>56</v>
      </c>
      <c r="AO559" t="s">
        <v>56</v>
      </c>
      <c r="AP559" t="s">
        <v>56</v>
      </c>
      <c r="AQ559" t="s">
        <v>71</v>
      </c>
      <c r="AR559" t="s">
        <v>56</v>
      </c>
      <c r="AS559" t="s">
        <v>56</v>
      </c>
      <c r="AT559" t="s">
        <v>56</v>
      </c>
      <c r="AU559" t="s">
        <v>56</v>
      </c>
      <c r="AV559" t="s">
        <v>56</v>
      </c>
      <c r="AW559" t="s">
        <v>56</v>
      </c>
      <c r="AX559">
        <v>4</v>
      </c>
    </row>
    <row r="560" spans="1:50" x14ac:dyDescent="0.25">
      <c r="A560" t="str">
        <f>"20200127175017061519"</f>
        <v>20200127175017061519</v>
      </c>
      <c r="B560" t="s">
        <v>190</v>
      </c>
      <c r="C560" t="s">
        <v>190</v>
      </c>
      <c r="D560" t="s">
        <v>2884</v>
      </c>
      <c r="E560" t="str">
        <f>"230010113401"</f>
        <v>230010113401</v>
      </c>
      <c r="F560" t="s">
        <v>52</v>
      </c>
      <c r="G560">
        <v>830504734</v>
      </c>
      <c r="H560">
        <v>23001</v>
      </c>
      <c r="I560" t="s">
        <v>2118</v>
      </c>
      <c r="J560">
        <v>57477910608</v>
      </c>
      <c r="K560" t="s">
        <v>54</v>
      </c>
      <c r="L560">
        <v>79470036</v>
      </c>
      <c r="M560" t="s">
        <v>132</v>
      </c>
      <c r="N560" t="s">
        <v>56</v>
      </c>
      <c r="O560" t="s">
        <v>2586</v>
      </c>
      <c r="P560" t="s">
        <v>1073</v>
      </c>
      <c r="Q560" t="s">
        <v>2587</v>
      </c>
      <c r="R560" t="s">
        <v>54</v>
      </c>
      <c r="S560">
        <v>15077292</v>
      </c>
      <c r="T560" t="s">
        <v>164</v>
      </c>
      <c r="U560" t="s">
        <v>423</v>
      </c>
      <c r="V560" t="s">
        <v>324</v>
      </c>
      <c r="W560" t="s">
        <v>99</v>
      </c>
      <c r="X560" t="s">
        <v>2002</v>
      </c>
      <c r="Y560" t="s">
        <v>136</v>
      </c>
      <c r="Z560">
        <v>12</v>
      </c>
      <c r="AA560" t="s">
        <v>65</v>
      </c>
      <c r="AB560" t="s">
        <v>56</v>
      </c>
      <c r="AC560" t="s">
        <v>56</v>
      </c>
      <c r="AD560">
        <v>0</v>
      </c>
      <c r="AE560" t="s">
        <v>66</v>
      </c>
      <c r="AF560" t="s">
        <v>56</v>
      </c>
      <c r="AG560" t="s">
        <v>56</v>
      </c>
      <c r="AH560" t="s">
        <v>56</v>
      </c>
      <c r="AI560" t="s">
        <v>56</v>
      </c>
      <c r="AJ560" t="s">
        <v>545</v>
      </c>
      <c r="AK560" t="s">
        <v>546</v>
      </c>
      <c r="AL560" t="s">
        <v>56</v>
      </c>
      <c r="AM560" t="s">
        <v>56</v>
      </c>
      <c r="AN560" t="s">
        <v>56</v>
      </c>
      <c r="AO560" t="s">
        <v>56</v>
      </c>
      <c r="AP560" t="s">
        <v>56</v>
      </c>
      <c r="AQ560" t="s">
        <v>71</v>
      </c>
      <c r="AR560" t="s">
        <v>56</v>
      </c>
      <c r="AS560" t="s">
        <v>56</v>
      </c>
      <c r="AT560" t="s">
        <v>56</v>
      </c>
      <c r="AU560" t="s">
        <v>56</v>
      </c>
      <c r="AV560" t="s">
        <v>56</v>
      </c>
      <c r="AW560" t="s">
        <v>56</v>
      </c>
      <c r="AX560">
        <v>4</v>
      </c>
    </row>
    <row r="561" spans="1:50" x14ac:dyDescent="0.25">
      <c r="A561" t="str">
        <f>"20200131175017159115"</f>
        <v>20200131175017159115</v>
      </c>
      <c r="B561" t="s">
        <v>110</v>
      </c>
      <c r="C561" t="s">
        <v>110</v>
      </c>
      <c r="D561" t="s">
        <v>2885</v>
      </c>
      <c r="E561" t="str">
        <f>"761470681501"</f>
        <v>761470681501</v>
      </c>
      <c r="F561" t="s">
        <v>52</v>
      </c>
      <c r="G561">
        <v>830515000</v>
      </c>
      <c r="H561">
        <v>76147</v>
      </c>
      <c r="I561" t="s">
        <v>1217</v>
      </c>
      <c r="J561">
        <v>2145150</v>
      </c>
      <c r="K561" t="s">
        <v>54</v>
      </c>
      <c r="L561">
        <v>16231597</v>
      </c>
      <c r="M561" t="s">
        <v>1218</v>
      </c>
      <c r="N561" t="s">
        <v>1219</v>
      </c>
      <c r="O561" t="s">
        <v>1220</v>
      </c>
      <c r="P561" t="s">
        <v>1221</v>
      </c>
      <c r="Q561">
        <v>76257504</v>
      </c>
      <c r="R561" t="s">
        <v>54</v>
      </c>
      <c r="S561">
        <v>29134978</v>
      </c>
      <c r="T561" t="s">
        <v>117</v>
      </c>
      <c r="U561" t="s">
        <v>345</v>
      </c>
      <c r="V561" t="s">
        <v>134</v>
      </c>
      <c r="W561" t="s">
        <v>1335</v>
      </c>
      <c r="X561" t="s">
        <v>63</v>
      </c>
      <c r="Y561" t="s">
        <v>64</v>
      </c>
      <c r="Z561">
        <v>12</v>
      </c>
      <c r="AA561" t="s">
        <v>65</v>
      </c>
      <c r="AB561" t="s">
        <v>56</v>
      </c>
      <c r="AC561" t="s">
        <v>56</v>
      </c>
      <c r="AD561">
        <v>0</v>
      </c>
      <c r="AE561" t="s">
        <v>66</v>
      </c>
      <c r="AF561" t="s">
        <v>56</v>
      </c>
      <c r="AG561" t="s">
        <v>56</v>
      </c>
      <c r="AH561" t="s">
        <v>56</v>
      </c>
      <c r="AI561" t="s">
        <v>56</v>
      </c>
      <c r="AJ561" t="s">
        <v>1119</v>
      </c>
      <c r="AK561" t="s">
        <v>1120</v>
      </c>
      <c r="AL561" t="s">
        <v>875</v>
      </c>
      <c r="AM561" t="s">
        <v>876</v>
      </c>
      <c r="AN561" t="s">
        <v>56</v>
      </c>
      <c r="AO561" t="s">
        <v>56</v>
      </c>
      <c r="AP561" t="s">
        <v>56</v>
      </c>
      <c r="AQ561" t="s">
        <v>71</v>
      </c>
      <c r="AR561" t="s">
        <v>56</v>
      </c>
      <c r="AS561" t="s">
        <v>56</v>
      </c>
      <c r="AT561" t="s">
        <v>56</v>
      </c>
      <c r="AU561" t="s">
        <v>56</v>
      </c>
      <c r="AV561" t="s">
        <v>56</v>
      </c>
      <c r="AW561" t="s">
        <v>56</v>
      </c>
      <c r="AX561">
        <v>4</v>
      </c>
    </row>
    <row r="562" spans="1:50" x14ac:dyDescent="0.25">
      <c r="A562" t="str">
        <f>"20200129131017106390"</f>
        <v>20200129131017106390</v>
      </c>
      <c r="B562" t="s">
        <v>72</v>
      </c>
      <c r="C562" t="s">
        <v>72</v>
      </c>
      <c r="D562" t="s">
        <v>2886</v>
      </c>
      <c r="E562" t="str">
        <f>"134300290801"</f>
        <v>134300290801</v>
      </c>
      <c r="F562" t="s">
        <v>52</v>
      </c>
      <c r="G562">
        <v>800033723</v>
      </c>
      <c r="H562">
        <v>13430</v>
      </c>
      <c r="I562" t="s">
        <v>1672</v>
      </c>
      <c r="J562">
        <v>3187117423</v>
      </c>
      <c r="K562" t="s">
        <v>54</v>
      </c>
      <c r="L562">
        <v>92499913</v>
      </c>
      <c r="M562" t="s">
        <v>164</v>
      </c>
      <c r="N562" t="s">
        <v>234</v>
      </c>
      <c r="O562" t="s">
        <v>726</v>
      </c>
      <c r="P562" t="s">
        <v>1673</v>
      </c>
      <c r="Q562">
        <v>1337</v>
      </c>
      <c r="R562" t="s">
        <v>54</v>
      </c>
      <c r="S562">
        <v>33208836</v>
      </c>
      <c r="T562" t="s">
        <v>934</v>
      </c>
      <c r="U562" t="s">
        <v>205</v>
      </c>
      <c r="V562" t="s">
        <v>146</v>
      </c>
      <c r="W562" t="s">
        <v>109</v>
      </c>
      <c r="X562" t="s">
        <v>183</v>
      </c>
      <c r="Y562" t="s">
        <v>101</v>
      </c>
      <c r="Z562">
        <v>12</v>
      </c>
      <c r="AA562" t="s">
        <v>65</v>
      </c>
      <c r="AB562" t="s">
        <v>56</v>
      </c>
      <c r="AC562" t="s">
        <v>56</v>
      </c>
      <c r="AD562">
        <v>0</v>
      </c>
      <c r="AE562" t="s">
        <v>66</v>
      </c>
      <c r="AF562" t="s">
        <v>56</v>
      </c>
      <c r="AG562" t="s">
        <v>56</v>
      </c>
      <c r="AH562" t="s">
        <v>56</v>
      </c>
      <c r="AI562" t="s">
        <v>56</v>
      </c>
      <c r="AJ562" t="s">
        <v>1676</v>
      </c>
      <c r="AK562" t="s">
        <v>1677</v>
      </c>
      <c r="AL562" t="s">
        <v>56</v>
      </c>
      <c r="AM562" t="s">
        <v>56</v>
      </c>
      <c r="AN562" t="s">
        <v>56</v>
      </c>
      <c r="AO562" t="s">
        <v>56</v>
      </c>
      <c r="AP562" t="s">
        <v>56</v>
      </c>
      <c r="AQ562" t="s">
        <v>71</v>
      </c>
      <c r="AR562" t="s">
        <v>56</v>
      </c>
      <c r="AS562" t="s">
        <v>56</v>
      </c>
      <c r="AT562" t="s">
        <v>56</v>
      </c>
      <c r="AU562" t="s">
        <v>56</v>
      </c>
      <c r="AV562" t="s">
        <v>56</v>
      </c>
      <c r="AW562" t="s">
        <v>56</v>
      </c>
      <c r="AX562">
        <v>4</v>
      </c>
    </row>
    <row r="563" spans="1:50" x14ac:dyDescent="0.25">
      <c r="A563" t="str">
        <f>"20200125140017026450"</f>
        <v>20200125140017026450</v>
      </c>
      <c r="B563" t="s">
        <v>752</v>
      </c>
      <c r="C563" t="s">
        <v>752</v>
      </c>
      <c r="D563" t="s">
        <v>2518</v>
      </c>
      <c r="E563" t="str">
        <f>"134300049201"</f>
        <v>134300049201</v>
      </c>
      <c r="F563" t="s">
        <v>52</v>
      </c>
      <c r="G563">
        <v>900196347</v>
      </c>
      <c r="H563">
        <v>13430</v>
      </c>
      <c r="I563" t="s">
        <v>174</v>
      </c>
      <c r="J563" t="s">
        <v>175</v>
      </c>
      <c r="K563" t="s">
        <v>54</v>
      </c>
      <c r="L563">
        <v>10937281</v>
      </c>
      <c r="M563" t="s">
        <v>596</v>
      </c>
      <c r="N563" t="s">
        <v>2887</v>
      </c>
      <c r="O563" t="s">
        <v>181</v>
      </c>
      <c r="P563" t="s">
        <v>2888</v>
      </c>
      <c r="Q563">
        <v>1348</v>
      </c>
      <c r="R563" t="s">
        <v>54</v>
      </c>
      <c r="S563">
        <v>33206229</v>
      </c>
      <c r="T563" t="s">
        <v>2889</v>
      </c>
      <c r="U563" t="s">
        <v>62</v>
      </c>
      <c r="V563" t="s">
        <v>343</v>
      </c>
      <c r="W563" t="s">
        <v>597</v>
      </c>
      <c r="X563" t="s">
        <v>183</v>
      </c>
      <c r="Y563" t="s">
        <v>101</v>
      </c>
      <c r="Z563">
        <v>12</v>
      </c>
      <c r="AA563" t="s">
        <v>65</v>
      </c>
      <c r="AB563" t="s">
        <v>56</v>
      </c>
      <c r="AC563" t="s">
        <v>56</v>
      </c>
      <c r="AD563">
        <v>0</v>
      </c>
      <c r="AE563" t="s">
        <v>66</v>
      </c>
      <c r="AF563" t="s">
        <v>56</v>
      </c>
      <c r="AG563" t="s">
        <v>56</v>
      </c>
      <c r="AH563" t="s">
        <v>56</v>
      </c>
      <c r="AI563" t="s">
        <v>56</v>
      </c>
      <c r="AJ563" t="s">
        <v>1119</v>
      </c>
      <c r="AK563" t="s">
        <v>1120</v>
      </c>
      <c r="AL563" t="s">
        <v>56</v>
      </c>
      <c r="AM563" t="s">
        <v>56</v>
      </c>
      <c r="AN563" t="s">
        <v>56</v>
      </c>
      <c r="AO563" t="s">
        <v>56</v>
      </c>
      <c r="AP563" t="s">
        <v>56</v>
      </c>
      <c r="AQ563" t="s">
        <v>71</v>
      </c>
      <c r="AR563" t="s">
        <v>56</v>
      </c>
      <c r="AS563" t="s">
        <v>56</v>
      </c>
      <c r="AT563" t="s">
        <v>56</v>
      </c>
      <c r="AU563" t="s">
        <v>56</v>
      </c>
      <c r="AV563" t="s">
        <v>56</v>
      </c>
      <c r="AW563" t="s">
        <v>56</v>
      </c>
      <c r="AX563">
        <v>4</v>
      </c>
    </row>
    <row r="564" spans="1:50" x14ac:dyDescent="0.25">
      <c r="A564" t="str">
        <f>"20200130191017132429"</f>
        <v>20200130191017132429</v>
      </c>
      <c r="B564" t="s">
        <v>124</v>
      </c>
      <c r="C564" t="s">
        <v>124</v>
      </c>
      <c r="D564" t="s">
        <v>2890</v>
      </c>
      <c r="E564" t="str">
        <f>"130010256801"</f>
        <v>130010256801</v>
      </c>
      <c r="F564" t="s">
        <v>52</v>
      </c>
      <c r="G564">
        <v>900602320</v>
      </c>
      <c r="H564">
        <v>13001</v>
      </c>
      <c r="I564" t="s">
        <v>418</v>
      </c>
      <c r="J564">
        <v>3145960813</v>
      </c>
      <c r="K564" t="s">
        <v>54</v>
      </c>
      <c r="L564">
        <v>55228304</v>
      </c>
      <c r="M564" t="s">
        <v>1392</v>
      </c>
      <c r="N564" t="s">
        <v>519</v>
      </c>
      <c r="O564" t="s">
        <v>848</v>
      </c>
      <c r="P564" t="s">
        <v>1393</v>
      </c>
      <c r="Q564" t="s">
        <v>56</v>
      </c>
      <c r="R564" t="s">
        <v>237</v>
      </c>
      <c r="S564">
        <v>1142929595</v>
      </c>
      <c r="T564" t="s">
        <v>589</v>
      </c>
      <c r="U564" t="s">
        <v>76</v>
      </c>
      <c r="V564" t="s">
        <v>109</v>
      </c>
      <c r="W564" t="s">
        <v>622</v>
      </c>
      <c r="X564" t="s">
        <v>427</v>
      </c>
      <c r="Y564" t="s">
        <v>101</v>
      </c>
      <c r="Z564">
        <v>12</v>
      </c>
      <c r="AA564" t="s">
        <v>65</v>
      </c>
      <c r="AB564" t="s">
        <v>56</v>
      </c>
      <c r="AC564" t="s">
        <v>56</v>
      </c>
      <c r="AD564">
        <v>0</v>
      </c>
      <c r="AE564" t="s">
        <v>66</v>
      </c>
      <c r="AF564" t="s">
        <v>56</v>
      </c>
      <c r="AG564" t="s">
        <v>56</v>
      </c>
      <c r="AH564" t="s">
        <v>56</v>
      </c>
      <c r="AI564" t="s">
        <v>56</v>
      </c>
      <c r="AJ564" t="s">
        <v>1396</v>
      </c>
      <c r="AK564" t="s">
        <v>1397</v>
      </c>
      <c r="AL564" t="s">
        <v>56</v>
      </c>
      <c r="AM564" t="s">
        <v>56</v>
      </c>
      <c r="AN564" t="s">
        <v>56</v>
      </c>
      <c r="AO564" t="s">
        <v>56</v>
      </c>
      <c r="AP564" t="s">
        <v>56</v>
      </c>
      <c r="AQ564" t="s">
        <v>71</v>
      </c>
      <c r="AR564" t="s">
        <v>56</v>
      </c>
      <c r="AS564" t="s">
        <v>56</v>
      </c>
      <c r="AT564" t="s">
        <v>56</v>
      </c>
      <c r="AU564" t="s">
        <v>56</v>
      </c>
      <c r="AV564" t="s">
        <v>56</v>
      </c>
      <c r="AW564" t="s">
        <v>56</v>
      </c>
      <c r="AX564">
        <v>4</v>
      </c>
    </row>
    <row r="565" spans="1:50" x14ac:dyDescent="0.25">
      <c r="A565" t="str">
        <f>"20200128147017070205"</f>
        <v>20200128147017070205</v>
      </c>
      <c r="B565" t="s">
        <v>151</v>
      </c>
      <c r="C565" t="s">
        <v>151</v>
      </c>
      <c r="D565" t="s">
        <v>2891</v>
      </c>
      <c r="E565" t="str">
        <f>"700010104501"</f>
        <v>700010104501</v>
      </c>
      <c r="F565" t="s">
        <v>52</v>
      </c>
      <c r="G565">
        <v>900112364</v>
      </c>
      <c r="H565">
        <v>70001</v>
      </c>
      <c r="I565" t="s">
        <v>2542</v>
      </c>
      <c r="J565">
        <v>2823970</v>
      </c>
      <c r="K565" t="s">
        <v>54</v>
      </c>
      <c r="L565">
        <v>73195759</v>
      </c>
      <c r="M565" t="s">
        <v>2543</v>
      </c>
      <c r="N565" t="s">
        <v>76</v>
      </c>
      <c r="O565" t="s">
        <v>1715</v>
      </c>
      <c r="P565" t="s">
        <v>1301</v>
      </c>
      <c r="Q565">
        <v>70739</v>
      </c>
      <c r="R565" t="s">
        <v>54</v>
      </c>
      <c r="S565">
        <v>64920016</v>
      </c>
      <c r="T565" t="s">
        <v>59</v>
      </c>
      <c r="U565" t="s">
        <v>2892</v>
      </c>
      <c r="V565" t="s">
        <v>2893</v>
      </c>
      <c r="W565" t="s">
        <v>977</v>
      </c>
      <c r="X565" t="s">
        <v>889</v>
      </c>
      <c r="Y565" t="s">
        <v>330</v>
      </c>
      <c r="Z565">
        <v>22</v>
      </c>
      <c r="AA565" t="s">
        <v>102</v>
      </c>
      <c r="AB565">
        <v>0</v>
      </c>
      <c r="AC565" t="s">
        <v>66</v>
      </c>
      <c r="AD565">
        <v>0</v>
      </c>
      <c r="AE565" t="s">
        <v>66</v>
      </c>
      <c r="AF565" t="s">
        <v>56</v>
      </c>
      <c r="AG565" t="s">
        <v>56</v>
      </c>
      <c r="AH565" t="s">
        <v>56</v>
      </c>
      <c r="AI565" t="s">
        <v>56</v>
      </c>
      <c r="AJ565" t="s">
        <v>215</v>
      </c>
      <c r="AK565" t="s">
        <v>216</v>
      </c>
      <c r="AL565" t="s">
        <v>56</v>
      </c>
      <c r="AM565" t="s">
        <v>56</v>
      </c>
      <c r="AN565" t="s">
        <v>56</v>
      </c>
      <c r="AO565" t="s">
        <v>56</v>
      </c>
      <c r="AP565" t="s">
        <v>56</v>
      </c>
      <c r="AQ565" t="s">
        <v>71</v>
      </c>
      <c r="AR565" t="s">
        <v>56</v>
      </c>
      <c r="AS565" t="s">
        <v>56</v>
      </c>
      <c r="AT565" t="s">
        <v>56</v>
      </c>
      <c r="AU565" t="s">
        <v>56</v>
      </c>
      <c r="AV565" t="s">
        <v>56</v>
      </c>
      <c r="AW565" t="s">
        <v>56</v>
      </c>
      <c r="AX565">
        <v>4</v>
      </c>
    </row>
    <row r="566" spans="1:50" x14ac:dyDescent="0.25">
      <c r="A566" t="str">
        <f>"20200129182017113605"</f>
        <v>20200129182017113605</v>
      </c>
      <c r="B566" t="s">
        <v>72</v>
      </c>
      <c r="C566" t="s">
        <v>72</v>
      </c>
      <c r="D566" t="s">
        <v>2894</v>
      </c>
      <c r="E566" t="str">
        <f>"700010104501"</f>
        <v>700010104501</v>
      </c>
      <c r="F566" t="s">
        <v>52</v>
      </c>
      <c r="G566">
        <v>900112364</v>
      </c>
      <c r="H566">
        <v>70001</v>
      </c>
      <c r="I566" t="s">
        <v>2542</v>
      </c>
      <c r="J566">
        <v>2823970</v>
      </c>
      <c r="K566" t="s">
        <v>54</v>
      </c>
      <c r="L566">
        <v>73195759</v>
      </c>
      <c r="M566" t="s">
        <v>2543</v>
      </c>
      <c r="N566" t="s">
        <v>76</v>
      </c>
      <c r="O566" t="s">
        <v>1715</v>
      </c>
      <c r="P566" t="s">
        <v>1301</v>
      </c>
      <c r="Q566">
        <v>70739</v>
      </c>
      <c r="R566" t="s">
        <v>54</v>
      </c>
      <c r="S566">
        <v>64920016</v>
      </c>
      <c r="T566" t="s">
        <v>59</v>
      </c>
      <c r="U566" t="s">
        <v>2892</v>
      </c>
      <c r="V566" t="s">
        <v>2893</v>
      </c>
      <c r="W566" t="s">
        <v>977</v>
      </c>
      <c r="X566" t="s">
        <v>889</v>
      </c>
      <c r="Y566" t="s">
        <v>330</v>
      </c>
      <c r="Z566">
        <v>11</v>
      </c>
      <c r="AA566" t="s">
        <v>87</v>
      </c>
      <c r="AB566" t="s">
        <v>56</v>
      </c>
      <c r="AC566" t="s">
        <v>56</v>
      </c>
      <c r="AD566">
        <v>0</v>
      </c>
      <c r="AE566" t="s">
        <v>66</v>
      </c>
      <c r="AF566" t="s">
        <v>56</v>
      </c>
      <c r="AG566" t="s">
        <v>56</v>
      </c>
      <c r="AH566" t="s">
        <v>56</v>
      </c>
      <c r="AI566" t="s">
        <v>56</v>
      </c>
      <c r="AJ566" t="s">
        <v>215</v>
      </c>
      <c r="AK566" t="s">
        <v>216</v>
      </c>
      <c r="AL566" t="s">
        <v>56</v>
      </c>
      <c r="AM566" t="s">
        <v>56</v>
      </c>
      <c r="AN566" t="s">
        <v>56</v>
      </c>
      <c r="AO566" t="s">
        <v>56</v>
      </c>
      <c r="AP566" t="s">
        <v>56</v>
      </c>
      <c r="AQ566" t="s">
        <v>71</v>
      </c>
      <c r="AR566" t="s">
        <v>56</v>
      </c>
      <c r="AS566" t="s">
        <v>56</v>
      </c>
      <c r="AT566" t="s">
        <v>56</v>
      </c>
      <c r="AU566" t="s">
        <v>56</v>
      </c>
      <c r="AV566" t="s">
        <v>56</v>
      </c>
      <c r="AW566" t="s">
        <v>56</v>
      </c>
      <c r="AX566">
        <v>4</v>
      </c>
    </row>
    <row r="567" spans="1:50" x14ac:dyDescent="0.25">
      <c r="A567" t="str">
        <f>"20200124119017013308"</f>
        <v>20200124119017013308</v>
      </c>
      <c r="B567" t="s">
        <v>201</v>
      </c>
      <c r="C567" t="s">
        <v>201</v>
      </c>
      <c r="D567" t="s">
        <v>2895</v>
      </c>
      <c r="E567" t="str">
        <f>"761470371502"</f>
        <v>761470371502</v>
      </c>
      <c r="F567" t="s">
        <v>52</v>
      </c>
      <c r="G567">
        <v>890303841</v>
      </c>
      <c r="H567">
        <v>76147</v>
      </c>
      <c r="I567" t="s">
        <v>359</v>
      </c>
      <c r="J567">
        <v>2132425</v>
      </c>
      <c r="K567" t="s">
        <v>54</v>
      </c>
      <c r="L567">
        <v>16830715</v>
      </c>
      <c r="M567" t="s">
        <v>127</v>
      </c>
      <c r="N567" t="s">
        <v>360</v>
      </c>
      <c r="O567" t="s">
        <v>361</v>
      </c>
      <c r="P567" t="s">
        <v>362</v>
      </c>
      <c r="Q567">
        <v>1913</v>
      </c>
      <c r="R567" t="s">
        <v>54</v>
      </c>
      <c r="S567">
        <v>31426769</v>
      </c>
      <c r="T567" t="s">
        <v>470</v>
      </c>
      <c r="U567" t="s">
        <v>1573</v>
      </c>
      <c r="V567" t="s">
        <v>297</v>
      </c>
      <c r="W567" t="s">
        <v>1962</v>
      </c>
      <c r="X567" t="s">
        <v>277</v>
      </c>
      <c r="Y567" t="s">
        <v>64</v>
      </c>
      <c r="Z567">
        <v>11</v>
      </c>
      <c r="AA567" t="s">
        <v>87</v>
      </c>
      <c r="AB567" t="s">
        <v>56</v>
      </c>
      <c r="AC567" t="s">
        <v>56</v>
      </c>
      <c r="AD567">
        <v>0</v>
      </c>
      <c r="AE567" t="s">
        <v>66</v>
      </c>
      <c r="AF567" t="s">
        <v>56</v>
      </c>
      <c r="AG567" t="s">
        <v>56</v>
      </c>
      <c r="AH567" t="s">
        <v>56</v>
      </c>
      <c r="AI567" t="s">
        <v>56</v>
      </c>
      <c r="AJ567" t="s">
        <v>482</v>
      </c>
      <c r="AK567" t="s">
        <v>483</v>
      </c>
      <c r="AL567" t="s">
        <v>1832</v>
      </c>
      <c r="AM567" t="s">
        <v>1833</v>
      </c>
      <c r="AN567" t="s">
        <v>215</v>
      </c>
      <c r="AO567" t="s">
        <v>216</v>
      </c>
      <c r="AP567" t="s">
        <v>56</v>
      </c>
      <c r="AQ567" t="s">
        <v>71</v>
      </c>
      <c r="AR567" t="s">
        <v>56</v>
      </c>
      <c r="AS567" t="s">
        <v>56</v>
      </c>
      <c r="AT567" t="s">
        <v>56</v>
      </c>
      <c r="AU567" t="s">
        <v>56</v>
      </c>
      <c r="AV567" t="s">
        <v>56</v>
      </c>
      <c r="AW567" t="s">
        <v>56</v>
      </c>
      <c r="AX567">
        <v>4</v>
      </c>
    </row>
    <row r="568" spans="1:50" x14ac:dyDescent="0.25">
      <c r="A568" t="str">
        <f>"20200127125017044183"</f>
        <v>20200127125017044183</v>
      </c>
      <c r="B568" t="s">
        <v>190</v>
      </c>
      <c r="C568" t="s">
        <v>190</v>
      </c>
      <c r="D568" t="s">
        <v>2896</v>
      </c>
      <c r="E568" t="str">
        <f>"130010178101"</f>
        <v>130010178101</v>
      </c>
      <c r="F568" t="s">
        <v>52</v>
      </c>
      <c r="G568">
        <v>900042103</v>
      </c>
      <c r="H568">
        <v>13001</v>
      </c>
      <c r="I568" t="s">
        <v>92</v>
      </c>
      <c r="J568">
        <v>6726017</v>
      </c>
      <c r="K568" t="s">
        <v>54</v>
      </c>
      <c r="L568">
        <v>9074167</v>
      </c>
      <c r="M568" t="s">
        <v>2897</v>
      </c>
      <c r="N568" t="s">
        <v>56</v>
      </c>
      <c r="O568" t="s">
        <v>353</v>
      </c>
      <c r="P568" t="s">
        <v>355</v>
      </c>
      <c r="Q568">
        <v>1004</v>
      </c>
      <c r="R568" t="s">
        <v>54</v>
      </c>
      <c r="S568">
        <v>1051444651</v>
      </c>
      <c r="T568" t="s">
        <v>2898</v>
      </c>
      <c r="U568" t="s">
        <v>62</v>
      </c>
      <c r="V568" t="s">
        <v>1353</v>
      </c>
      <c r="W568" t="s">
        <v>194</v>
      </c>
      <c r="X568" t="s">
        <v>2899</v>
      </c>
      <c r="Y568" t="s">
        <v>101</v>
      </c>
      <c r="Z568">
        <v>22</v>
      </c>
      <c r="AA568" t="s">
        <v>102</v>
      </c>
      <c r="AB568">
        <v>0</v>
      </c>
      <c r="AC568" t="s">
        <v>66</v>
      </c>
      <c r="AD568">
        <v>0</v>
      </c>
      <c r="AE568" t="s">
        <v>66</v>
      </c>
      <c r="AF568" t="s">
        <v>56</v>
      </c>
      <c r="AG568" t="s">
        <v>56</v>
      </c>
      <c r="AH568" t="s">
        <v>56</v>
      </c>
      <c r="AI568" t="s">
        <v>56</v>
      </c>
      <c r="AJ568" t="s">
        <v>2900</v>
      </c>
      <c r="AK568" t="s">
        <v>2901</v>
      </c>
      <c r="AL568" t="s">
        <v>56</v>
      </c>
      <c r="AM568" t="s">
        <v>56</v>
      </c>
      <c r="AN568" t="s">
        <v>56</v>
      </c>
      <c r="AO568" t="s">
        <v>56</v>
      </c>
      <c r="AP568" t="s">
        <v>56</v>
      </c>
      <c r="AQ568" t="s">
        <v>71</v>
      </c>
      <c r="AR568" t="s">
        <v>56</v>
      </c>
      <c r="AS568" t="s">
        <v>56</v>
      </c>
      <c r="AT568" t="s">
        <v>56</v>
      </c>
      <c r="AU568" t="s">
        <v>56</v>
      </c>
      <c r="AV568" t="s">
        <v>56</v>
      </c>
      <c r="AW568" t="s">
        <v>56</v>
      </c>
      <c r="AX568">
        <v>4</v>
      </c>
    </row>
    <row r="569" spans="1:50" x14ac:dyDescent="0.25">
      <c r="A569" t="str">
        <f>"20200127167017051379"</f>
        <v>20200127167017051379</v>
      </c>
      <c r="B569" t="s">
        <v>190</v>
      </c>
      <c r="C569" t="s">
        <v>190</v>
      </c>
      <c r="D569" t="s">
        <v>173</v>
      </c>
      <c r="E569" t="str">
        <f>"200010083101"</f>
        <v>200010083101</v>
      </c>
      <c r="F569" t="s">
        <v>52</v>
      </c>
      <c r="G569">
        <v>900066797</v>
      </c>
      <c r="H569">
        <v>20001</v>
      </c>
      <c r="I569" t="s">
        <v>457</v>
      </c>
      <c r="J569" t="s">
        <v>458</v>
      </c>
      <c r="K569" t="s">
        <v>54</v>
      </c>
      <c r="L569">
        <v>49760462</v>
      </c>
      <c r="M569" t="s">
        <v>459</v>
      </c>
      <c r="N569" t="s">
        <v>117</v>
      </c>
      <c r="O569" t="s">
        <v>460</v>
      </c>
      <c r="P569" t="s">
        <v>403</v>
      </c>
      <c r="Q569">
        <v>8550</v>
      </c>
      <c r="R569" t="s">
        <v>54</v>
      </c>
      <c r="S569">
        <v>26877419</v>
      </c>
      <c r="T569" t="s">
        <v>114</v>
      </c>
      <c r="U569" t="s">
        <v>1214</v>
      </c>
      <c r="V569" t="s">
        <v>2902</v>
      </c>
      <c r="W569" t="s">
        <v>252</v>
      </c>
      <c r="X569" t="s">
        <v>148</v>
      </c>
      <c r="Y569" t="s">
        <v>86</v>
      </c>
      <c r="Z569">
        <v>12</v>
      </c>
      <c r="AA569" t="s">
        <v>65</v>
      </c>
      <c r="AB569" t="s">
        <v>56</v>
      </c>
      <c r="AC569" t="s">
        <v>56</v>
      </c>
      <c r="AD569">
        <v>0</v>
      </c>
      <c r="AE569" t="s">
        <v>66</v>
      </c>
      <c r="AF569" t="s">
        <v>56</v>
      </c>
      <c r="AG569" t="s">
        <v>56</v>
      </c>
      <c r="AH569" t="s">
        <v>56</v>
      </c>
      <c r="AI569" t="s">
        <v>56</v>
      </c>
      <c r="AJ569" t="s">
        <v>463</v>
      </c>
      <c r="AK569" t="s">
        <v>464</v>
      </c>
      <c r="AL569" t="s">
        <v>56</v>
      </c>
      <c r="AM569" t="s">
        <v>56</v>
      </c>
      <c r="AN569" t="s">
        <v>56</v>
      </c>
      <c r="AO569" t="s">
        <v>56</v>
      </c>
      <c r="AP569" t="s">
        <v>56</v>
      </c>
      <c r="AQ569" t="s">
        <v>71</v>
      </c>
      <c r="AR569" t="s">
        <v>56</v>
      </c>
      <c r="AS569" t="s">
        <v>56</v>
      </c>
      <c r="AT569" t="s">
        <v>56</v>
      </c>
      <c r="AU569" t="s">
        <v>56</v>
      </c>
      <c r="AV569" t="s">
        <v>56</v>
      </c>
      <c r="AW569" t="s">
        <v>56</v>
      </c>
      <c r="AX569">
        <v>4</v>
      </c>
    </row>
    <row r="570" spans="1:50" x14ac:dyDescent="0.25">
      <c r="A570" t="str">
        <f>"20200127164017050635"</f>
        <v>20200127164017050635</v>
      </c>
      <c r="B570" t="s">
        <v>190</v>
      </c>
      <c r="C570" t="s">
        <v>190</v>
      </c>
      <c r="D570" t="s">
        <v>2903</v>
      </c>
      <c r="E570" t="str">
        <f>"200010083101"</f>
        <v>200010083101</v>
      </c>
      <c r="F570" t="s">
        <v>52</v>
      </c>
      <c r="G570">
        <v>900066797</v>
      </c>
      <c r="H570">
        <v>20001</v>
      </c>
      <c r="I570" t="s">
        <v>457</v>
      </c>
      <c r="J570" t="s">
        <v>458</v>
      </c>
      <c r="K570" t="s">
        <v>54</v>
      </c>
      <c r="L570">
        <v>49760462</v>
      </c>
      <c r="M570" t="s">
        <v>459</v>
      </c>
      <c r="N570" t="s">
        <v>117</v>
      </c>
      <c r="O570" t="s">
        <v>460</v>
      </c>
      <c r="P570" t="s">
        <v>403</v>
      </c>
      <c r="Q570">
        <v>8550</v>
      </c>
      <c r="R570" t="s">
        <v>54</v>
      </c>
      <c r="S570">
        <v>77009959</v>
      </c>
      <c r="T570" t="s">
        <v>2904</v>
      </c>
      <c r="U570" t="s">
        <v>76</v>
      </c>
      <c r="V570" t="s">
        <v>403</v>
      </c>
      <c r="W570" t="s">
        <v>2905</v>
      </c>
      <c r="X570" t="s">
        <v>462</v>
      </c>
      <c r="Y570" t="s">
        <v>86</v>
      </c>
      <c r="Z570">
        <v>12</v>
      </c>
      <c r="AA570" t="s">
        <v>65</v>
      </c>
      <c r="AB570" t="s">
        <v>56</v>
      </c>
      <c r="AC570" t="s">
        <v>56</v>
      </c>
      <c r="AD570">
        <v>0</v>
      </c>
      <c r="AE570" t="s">
        <v>66</v>
      </c>
      <c r="AF570" t="s">
        <v>56</v>
      </c>
      <c r="AG570" t="s">
        <v>56</v>
      </c>
      <c r="AH570" t="s">
        <v>56</v>
      </c>
      <c r="AI570" t="s">
        <v>56</v>
      </c>
      <c r="AJ570" t="s">
        <v>463</v>
      </c>
      <c r="AK570" t="s">
        <v>464</v>
      </c>
      <c r="AL570" t="s">
        <v>56</v>
      </c>
      <c r="AM570" t="s">
        <v>56</v>
      </c>
      <c r="AN570" t="s">
        <v>56</v>
      </c>
      <c r="AO570" t="s">
        <v>56</v>
      </c>
      <c r="AP570" t="s">
        <v>56</v>
      </c>
      <c r="AQ570" t="s">
        <v>71</v>
      </c>
      <c r="AR570" t="s">
        <v>56</v>
      </c>
      <c r="AS570" t="s">
        <v>56</v>
      </c>
      <c r="AT570" t="s">
        <v>56</v>
      </c>
      <c r="AU570" t="s">
        <v>56</v>
      </c>
      <c r="AV570" t="s">
        <v>56</v>
      </c>
      <c r="AW570" t="s">
        <v>56</v>
      </c>
      <c r="AX570">
        <v>4</v>
      </c>
    </row>
    <row r="571" spans="1:50" x14ac:dyDescent="0.25">
      <c r="A571" t="str">
        <f>"20200127147017048995"</f>
        <v>20200127147017048995</v>
      </c>
      <c r="B571" t="s">
        <v>190</v>
      </c>
      <c r="C571" t="s">
        <v>190</v>
      </c>
      <c r="D571" t="s">
        <v>2906</v>
      </c>
      <c r="E571" t="str">
        <f>"080010022301"</f>
        <v>080010022301</v>
      </c>
      <c r="F571" t="s">
        <v>52</v>
      </c>
      <c r="G571">
        <v>72125229</v>
      </c>
      <c r="H571" t="s">
        <v>112</v>
      </c>
      <c r="I571" t="s">
        <v>303</v>
      </c>
      <c r="J571">
        <v>3781924</v>
      </c>
      <c r="K571" t="s">
        <v>54</v>
      </c>
      <c r="L571">
        <v>72125229</v>
      </c>
      <c r="M571" t="s">
        <v>304</v>
      </c>
      <c r="N571" t="s">
        <v>56</v>
      </c>
      <c r="O571" t="s">
        <v>305</v>
      </c>
      <c r="P571" t="s">
        <v>306</v>
      </c>
      <c r="Q571" t="s">
        <v>56</v>
      </c>
      <c r="R571" t="s">
        <v>54</v>
      </c>
      <c r="S571">
        <v>22379664</v>
      </c>
      <c r="T571" t="s">
        <v>1210</v>
      </c>
      <c r="U571" t="s">
        <v>995</v>
      </c>
      <c r="V571" t="s">
        <v>2103</v>
      </c>
      <c r="W571" t="s">
        <v>1116</v>
      </c>
      <c r="X571" t="s">
        <v>241</v>
      </c>
      <c r="Y571" t="s">
        <v>121</v>
      </c>
      <c r="Z571">
        <v>12</v>
      </c>
      <c r="AA571" t="s">
        <v>65</v>
      </c>
      <c r="AB571" t="s">
        <v>56</v>
      </c>
      <c r="AC571" t="s">
        <v>56</v>
      </c>
      <c r="AD571">
        <v>0</v>
      </c>
      <c r="AE571" t="s">
        <v>66</v>
      </c>
      <c r="AF571" t="s">
        <v>56</v>
      </c>
      <c r="AG571" t="s">
        <v>56</v>
      </c>
      <c r="AH571" t="s">
        <v>56</v>
      </c>
      <c r="AI571" t="s">
        <v>56</v>
      </c>
      <c r="AJ571" t="s">
        <v>310</v>
      </c>
      <c r="AK571" t="s">
        <v>311</v>
      </c>
      <c r="AL571" t="s">
        <v>56</v>
      </c>
      <c r="AM571" t="s">
        <v>56</v>
      </c>
      <c r="AN571" t="s">
        <v>56</v>
      </c>
      <c r="AO571" t="s">
        <v>56</v>
      </c>
      <c r="AP571" t="s">
        <v>56</v>
      </c>
      <c r="AQ571" t="s">
        <v>71</v>
      </c>
      <c r="AR571" t="s">
        <v>56</v>
      </c>
      <c r="AS571" t="s">
        <v>56</v>
      </c>
      <c r="AT571" t="s">
        <v>56</v>
      </c>
      <c r="AU571" t="s">
        <v>56</v>
      </c>
      <c r="AV571" t="s">
        <v>56</v>
      </c>
      <c r="AW571" t="s">
        <v>56</v>
      </c>
      <c r="AX571">
        <v>4</v>
      </c>
    </row>
    <row r="572" spans="1:50" x14ac:dyDescent="0.25">
      <c r="A572" t="str">
        <f>"20200129111017099194"</f>
        <v>20200129111017099194</v>
      </c>
      <c r="B572" t="s">
        <v>72</v>
      </c>
      <c r="C572" t="s">
        <v>72</v>
      </c>
      <c r="D572" t="s">
        <v>2907</v>
      </c>
      <c r="E572" t="str">
        <f>"080010349401"</f>
        <v>080010349401</v>
      </c>
      <c r="F572" t="s">
        <v>52</v>
      </c>
      <c r="G572">
        <v>900458308</v>
      </c>
      <c r="H572" t="s">
        <v>112</v>
      </c>
      <c r="I572" t="s">
        <v>370</v>
      </c>
      <c r="J572" t="s">
        <v>371</v>
      </c>
      <c r="K572" t="s">
        <v>54</v>
      </c>
      <c r="L572">
        <v>1143378811</v>
      </c>
      <c r="M572" t="s">
        <v>372</v>
      </c>
      <c r="N572" t="s">
        <v>373</v>
      </c>
      <c r="O572" t="s">
        <v>109</v>
      </c>
      <c r="P572" t="s">
        <v>374</v>
      </c>
      <c r="Q572">
        <v>1143378811</v>
      </c>
      <c r="R572" t="s">
        <v>54</v>
      </c>
      <c r="S572">
        <v>22255158</v>
      </c>
      <c r="T572" t="s">
        <v>2908</v>
      </c>
      <c r="U572" t="s">
        <v>62</v>
      </c>
      <c r="V572" t="s">
        <v>2909</v>
      </c>
      <c r="W572" t="s">
        <v>2910</v>
      </c>
      <c r="X572" t="s">
        <v>120</v>
      </c>
      <c r="Y572" t="s">
        <v>121</v>
      </c>
      <c r="Z572">
        <v>12</v>
      </c>
      <c r="AA572" t="s">
        <v>65</v>
      </c>
      <c r="AB572" t="s">
        <v>56</v>
      </c>
      <c r="AC572" t="s">
        <v>56</v>
      </c>
      <c r="AD572">
        <v>0</v>
      </c>
      <c r="AE572" t="s">
        <v>66</v>
      </c>
      <c r="AF572" t="s">
        <v>56</v>
      </c>
      <c r="AG572" t="s">
        <v>56</v>
      </c>
      <c r="AH572" t="s">
        <v>56</v>
      </c>
      <c r="AI572" t="s">
        <v>56</v>
      </c>
      <c r="AJ572" t="s">
        <v>356</v>
      </c>
      <c r="AK572" t="s">
        <v>357</v>
      </c>
      <c r="AL572" t="s">
        <v>255</v>
      </c>
      <c r="AM572" t="s">
        <v>256</v>
      </c>
      <c r="AN572" t="s">
        <v>56</v>
      </c>
      <c r="AO572" t="s">
        <v>56</v>
      </c>
      <c r="AP572" t="s">
        <v>56</v>
      </c>
      <c r="AQ572" t="s">
        <v>71</v>
      </c>
      <c r="AR572" t="s">
        <v>56</v>
      </c>
      <c r="AS572" t="s">
        <v>56</v>
      </c>
      <c r="AT572" t="s">
        <v>56</v>
      </c>
      <c r="AU572" t="s">
        <v>56</v>
      </c>
      <c r="AV572" t="s">
        <v>56</v>
      </c>
      <c r="AW572" t="s">
        <v>56</v>
      </c>
      <c r="AX572">
        <v>4</v>
      </c>
    </row>
    <row r="573" spans="1:50" x14ac:dyDescent="0.25">
      <c r="A573" t="str">
        <f>"20200131120017177809"</f>
        <v>20200131120017177809</v>
      </c>
      <c r="B573" t="s">
        <v>110</v>
      </c>
      <c r="C573" t="s">
        <v>110</v>
      </c>
      <c r="D573" t="s">
        <v>2911</v>
      </c>
      <c r="E573" t="str">
        <f>"700010018501"</f>
        <v>700010018501</v>
      </c>
      <c r="F573" t="s">
        <v>52</v>
      </c>
      <c r="G573">
        <v>823002342</v>
      </c>
      <c r="H573">
        <v>70001</v>
      </c>
      <c r="I573" t="s">
        <v>1932</v>
      </c>
      <c r="J573">
        <v>2820285</v>
      </c>
      <c r="K573" t="s">
        <v>54</v>
      </c>
      <c r="L573">
        <v>92502319</v>
      </c>
      <c r="M573" t="s">
        <v>76</v>
      </c>
      <c r="N573" t="s">
        <v>1933</v>
      </c>
      <c r="O573" t="s">
        <v>691</v>
      </c>
      <c r="P573" t="s">
        <v>373</v>
      </c>
      <c r="Q573">
        <v>15694</v>
      </c>
      <c r="R573" t="s">
        <v>54</v>
      </c>
      <c r="S573">
        <v>22903978</v>
      </c>
      <c r="T573" t="s">
        <v>2912</v>
      </c>
      <c r="U573" t="s">
        <v>600</v>
      </c>
      <c r="V573" t="s">
        <v>775</v>
      </c>
      <c r="W573" t="s">
        <v>2913</v>
      </c>
      <c r="X573" t="s">
        <v>1277</v>
      </c>
      <c r="Y573" t="s">
        <v>101</v>
      </c>
      <c r="Z573">
        <v>12</v>
      </c>
      <c r="AA573" t="s">
        <v>65</v>
      </c>
      <c r="AB573" t="s">
        <v>56</v>
      </c>
      <c r="AC573" t="s">
        <v>56</v>
      </c>
      <c r="AD573">
        <v>0</v>
      </c>
      <c r="AE573" t="s">
        <v>66</v>
      </c>
      <c r="AF573" t="s">
        <v>56</v>
      </c>
      <c r="AG573" t="s">
        <v>56</v>
      </c>
      <c r="AH573" t="s">
        <v>56</v>
      </c>
      <c r="AI573" t="s">
        <v>56</v>
      </c>
      <c r="AJ573" t="s">
        <v>171</v>
      </c>
      <c r="AK573" t="s">
        <v>172</v>
      </c>
      <c r="AL573" t="s">
        <v>56</v>
      </c>
      <c r="AM573" t="s">
        <v>56</v>
      </c>
      <c r="AN573" t="s">
        <v>56</v>
      </c>
      <c r="AO573" t="s">
        <v>56</v>
      </c>
      <c r="AP573" t="s">
        <v>56</v>
      </c>
      <c r="AQ573" t="s">
        <v>71</v>
      </c>
      <c r="AR573" t="s">
        <v>56</v>
      </c>
      <c r="AS573" t="s">
        <v>56</v>
      </c>
      <c r="AT573" t="s">
        <v>56</v>
      </c>
      <c r="AU573" t="s">
        <v>56</v>
      </c>
      <c r="AV573" t="s">
        <v>56</v>
      </c>
      <c r="AW573" t="s">
        <v>56</v>
      </c>
      <c r="AX573">
        <v>4</v>
      </c>
    </row>
    <row r="574" spans="1:50" x14ac:dyDescent="0.25">
      <c r="A574" t="str">
        <f>"20200130117017135507"</f>
        <v>20200130117017135507</v>
      </c>
      <c r="B574" t="s">
        <v>124</v>
      </c>
      <c r="C574" t="s">
        <v>124</v>
      </c>
      <c r="D574" t="s">
        <v>2914</v>
      </c>
      <c r="E574" t="str">
        <f>"700010016301"</f>
        <v>700010016301</v>
      </c>
      <c r="F574" t="s">
        <v>52</v>
      </c>
      <c r="G574">
        <v>823002800</v>
      </c>
      <c r="H574">
        <v>70001</v>
      </c>
      <c r="I574" t="s">
        <v>603</v>
      </c>
      <c r="J574">
        <v>3126692716</v>
      </c>
      <c r="K574" t="s">
        <v>54</v>
      </c>
      <c r="L574">
        <v>92520392</v>
      </c>
      <c r="M574" t="s">
        <v>540</v>
      </c>
      <c r="N574" t="s">
        <v>164</v>
      </c>
      <c r="O574" t="s">
        <v>376</v>
      </c>
      <c r="P574" t="s">
        <v>109</v>
      </c>
      <c r="Q574">
        <v>282</v>
      </c>
      <c r="R574" t="s">
        <v>54</v>
      </c>
      <c r="S574">
        <v>50964503</v>
      </c>
      <c r="T574" t="s">
        <v>2915</v>
      </c>
      <c r="U574" t="s">
        <v>117</v>
      </c>
      <c r="V574" t="s">
        <v>376</v>
      </c>
      <c r="W574" t="s">
        <v>324</v>
      </c>
      <c r="X574" t="s">
        <v>605</v>
      </c>
      <c r="Y574" t="s">
        <v>330</v>
      </c>
      <c r="Z574">
        <v>11</v>
      </c>
      <c r="AA574" t="s">
        <v>87</v>
      </c>
      <c r="AB574" t="s">
        <v>56</v>
      </c>
      <c r="AC574" t="s">
        <v>56</v>
      </c>
      <c r="AD574">
        <v>0</v>
      </c>
      <c r="AE574" t="s">
        <v>66</v>
      </c>
      <c r="AF574" t="s">
        <v>56</v>
      </c>
      <c r="AG574" t="s">
        <v>56</v>
      </c>
      <c r="AH574" t="s">
        <v>56</v>
      </c>
      <c r="AI574" t="s">
        <v>56</v>
      </c>
      <c r="AJ574" t="s">
        <v>536</v>
      </c>
      <c r="AK574" t="s">
        <v>537</v>
      </c>
      <c r="AL574" t="s">
        <v>56</v>
      </c>
      <c r="AM574" t="s">
        <v>56</v>
      </c>
      <c r="AN574" t="s">
        <v>56</v>
      </c>
      <c r="AO574" t="s">
        <v>56</v>
      </c>
      <c r="AP574" t="s">
        <v>56</v>
      </c>
      <c r="AQ574" t="s">
        <v>71</v>
      </c>
      <c r="AR574" t="s">
        <v>56</v>
      </c>
      <c r="AS574" t="s">
        <v>56</v>
      </c>
      <c r="AT574" t="s">
        <v>56</v>
      </c>
      <c r="AU574" t="s">
        <v>56</v>
      </c>
      <c r="AV574" t="s">
        <v>56</v>
      </c>
      <c r="AW574" t="s">
        <v>56</v>
      </c>
      <c r="AX574">
        <v>4</v>
      </c>
    </row>
    <row r="575" spans="1:50" x14ac:dyDescent="0.25">
      <c r="A575" t="str">
        <f>"20200130120017154722"</f>
        <v>20200130120017154722</v>
      </c>
      <c r="B575" t="s">
        <v>124</v>
      </c>
      <c r="C575" t="s">
        <v>124</v>
      </c>
      <c r="D575" t="s">
        <v>2916</v>
      </c>
      <c r="E575" t="str">
        <f>"080010003601"</f>
        <v>080010003601</v>
      </c>
      <c r="F575" t="s">
        <v>52</v>
      </c>
      <c r="G575">
        <v>802000955</v>
      </c>
      <c r="H575" t="s">
        <v>112</v>
      </c>
      <c r="I575" t="s">
        <v>218</v>
      </c>
      <c r="J575" t="s">
        <v>56</v>
      </c>
      <c r="K575" t="s">
        <v>54</v>
      </c>
      <c r="L575">
        <v>8725746</v>
      </c>
      <c r="M575" t="s">
        <v>76</v>
      </c>
      <c r="N575" t="s">
        <v>1293</v>
      </c>
      <c r="O575" t="s">
        <v>582</v>
      </c>
      <c r="P575" t="s">
        <v>376</v>
      </c>
      <c r="Q575">
        <v>686</v>
      </c>
      <c r="R575" t="s">
        <v>54</v>
      </c>
      <c r="S575">
        <v>32625103</v>
      </c>
      <c r="T575" t="s">
        <v>2917</v>
      </c>
      <c r="U575" t="s">
        <v>2298</v>
      </c>
      <c r="V575" t="s">
        <v>1276</v>
      </c>
      <c r="W575" t="s">
        <v>353</v>
      </c>
      <c r="X575" t="s">
        <v>120</v>
      </c>
      <c r="Y575" t="s">
        <v>121</v>
      </c>
      <c r="Z575">
        <v>12</v>
      </c>
      <c r="AA575" t="s">
        <v>65</v>
      </c>
      <c r="AB575" t="s">
        <v>56</v>
      </c>
      <c r="AC575" t="s">
        <v>56</v>
      </c>
      <c r="AD575">
        <v>0</v>
      </c>
      <c r="AE575" t="s">
        <v>66</v>
      </c>
      <c r="AF575" t="s">
        <v>56</v>
      </c>
      <c r="AG575" t="s">
        <v>56</v>
      </c>
      <c r="AH575" t="s">
        <v>56</v>
      </c>
      <c r="AI575" t="s">
        <v>56</v>
      </c>
      <c r="AJ575" t="s">
        <v>226</v>
      </c>
      <c r="AK575" t="s">
        <v>227</v>
      </c>
      <c r="AL575" t="s">
        <v>56</v>
      </c>
      <c r="AM575" t="s">
        <v>56</v>
      </c>
      <c r="AN575" t="s">
        <v>56</v>
      </c>
      <c r="AO575" t="s">
        <v>56</v>
      </c>
      <c r="AP575" t="s">
        <v>56</v>
      </c>
      <c r="AQ575" t="s">
        <v>71</v>
      </c>
      <c r="AR575" t="s">
        <v>56</v>
      </c>
      <c r="AS575" t="s">
        <v>56</v>
      </c>
      <c r="AT575" t="s">
        <v>56</v>
      </c>
      <c r="AU575" t="s">
        <v>56</v>
      </c>
      <c r="AV575" t="s">
        <v>56</v>
      </c>
      <c r="AW575" t="s">
        <v>56</v>
      </c>
      <c r="AX575">
        <v>4</v>
      </c>
    </row>
    <row r="576" spans="1:50" x14ac:dyDescent="0.25">
      <c r="A576" t="str">
        <f>"20200124170016998472"</f>
        <v>20200124170016998472</v>
      </c>
      <c r="B576" t="s">
        <v>201</v>
      </c>
      <c r="C576" t="s">
        <v>201</v>
      </c>
      <c r="D576" t="s">
        <v>2918</v>
      </c>
      <c r="E576" t="str">
        <f>"200010162601"</f>
        <v>200010162601</v>
      </c>
      <c r="F576" t="s">
        <v>52</v>
      </c>
      <c r="G576">
        <v>900552539</v>
      </c>
      <c r="H576">
        <v>20001</v>
      </c>
      <c r="I576" t="s">
        <v>140</v>
      </c>
      <c r="J576">
        <v>3003009498</v>
      </c>
      <c r="K576" t="s">
        <v>54</v>
      </c>
      <c r="L576">
        <v>1129572448</v>
      </c>
      <c r="M576" t="s">
        <v>141</v>
      </c>
      <c r="N576" t="s">
        <v>142</v>
      </c>
      <c r="O576" t="s">
        <v>143</v>
      </c>
      <c r="P576" t="s">
        <v>144</v>
      </c>
      <c r="Q576">
        <v>86169</v>
      </c>
      <c r="R576" t="s">
        <v>237</v>
      </c>
      <c r="S576">
        <v>1043445597</v>
      </c>
      <c r="T576" t="s">
        <v>250</v>
      </c>
      <c r="U576" t="s">
        <v>261</v>
      </c>
      <c r="V576" t="s">
        <v>1711</v>
      </c>
      <c r="W576" t="s">
        <v>2919</v>
      </c>
      <c r="X576" t="s">
        <v>462</v>
      </c>
      <c r="Y576" t="s">
        <v>86</v>
      </c>
      <c r="Z576">
        <v>22</v>
      </c>
      <c r="AA576" t="s">
        <v>102</v>
      </c>
      <c r="AB576">
        <v>0</v>
      </c>
      <c r="AC576" t="s">
        <v>66</v>
      </c>
      <c r="AD576">
        <v>0</v>
      </c>
      <c r="AE576" t="s">
        <v>66</v>
      </c>
      <c r="AF576" t="s">
        <v>56</v>
      </c>
      <c r="AG576" t="s">
        <v>56</v>
      </c>
      <c r="AH576" t="s">
        <v>56</v>
      </c>
      <c r="AI576" t="s">
        <v>56</v>
      </c>
      <c r="AJ576" t="s">
        <v>2239</v>
      </c>
      <c r="AK576" t="s">
        <v>2240</v>
      </c>
      <c r="AL576" t="s">
        <v>56</v>
      </c>
      <c r="AM576" t="s">
        <v>56</v>
      </c>
      <c r="AN576" t="s">
        <v>56</v>
      </c>
      <c r="AO576" t="s">
        <v>56</v>
      </c>
      <c r="AP576" t="s">
        <v>56</v>
      </c>
      <c r="AQ576" t="s">
        <v>71</v>
      </c>
      <c r="AR576" t="s">
        <v>56</v>
      </c>
      <c r="AS576" t="s">
        <v>56</v>
      </c>
      <c r="AT576" t="s">
        <v>56</v>
      </c>
      <c r="AU576" t="s">
        <v>56</v>
      </c>
      <c r="AV576" t="s">
        <v>56</v>
      </c>
      <c r="AW576" t="s">
        <v>56</v>
      </c>
      <c r="AX576">
        <v>4</v>
      </c>
    </row>
    <row r="577" spans="1:50" x14ac:dyDescent="0.25">
      <c r="A577" t="str">
        <f>"20200128179017080969"</f>
        <v>20200128179017080969</v>
      </c>
      <c r="B577" t="s">
        <v>151</v>
      </c>
      <c r="C577" t="s">
        <v>151</v>
      </c>
      <c r="D577" t="s">
        <v>2920</v>
      </c>
      <c r="E577" t="str">
        <f>"200010162601"</f>
        <v>200010162601</v>
      </c>
      <c r="F577" t="s">
        <v>52</v>
      </c>
      <c r="G577">
        <v>900552539</v>
      </c>
      <c r="H577">
        <v>20001</v>
      </c>
      <c r="I577" t="s">
        <v>140</v>
      </c>
      <c r="J577">
        <v>3003009498</v>
      </c>
      <c r="K577" t="s">
        <v>54</v>
      </c>
      <c r="L577">
        <v>1129572448</v>
      </c>
      <c r="M577" t="s">
        <v>141</v>
      </c>
      <c r="N577" t="s">
        <v>142</v>
      </c>
      <c r="O577" t="s">
        <v>143</v>
      </c>
      <c r="P577" t="s">
        <v>144</v>
      </c>
      <c r="Q577">
        <v>86169</v>
      </c>
      <c r="R577" t="s">
        <v>237</v>
      </c>
      <c r="S577">
        <v>1043445597</v>
      </c>
      <c r="T577" t="s">
        <v>250</v>
      </c>
      <c r="U577" t="s">
        <v>261</v>
      </c>
      <c r="V577" t="s">
        <v>1711</v>
      </c>
      <c r="W577" t="s">
        <v>2919</v>
      </c>
      <c r="X577" t="s">
        <v>462</v>
      </c>
      <c r="Y577" t="s">
        <v>86</v>
      </c>
      <c r="Z577">
        <v>22</v>
      </c>
      <c r="AA577" t="s">
        <v>102</v>
      </c>
      <c r="AB577">
        <v>0</v>
      </c>
      <c r="AC577" t="s">
        <v>66</v>
      </c>
      <c r="AD577">
        <v>0</v>
      </c>
      <c r="AE577" t="s">
        <v>66</v>
      </c>
      <c r="AF577" t="s">
        <v>56</v>
      </c>
      <c r="AG577" t="s">
        <v>56</v>
      </c>
      <c r="AH577" t="s">
        <v>56</v>
      </c>
      <c r="AI577" t="s">
        <v>56</v>
      </c>
      <c r="AJ577" t="s">
        <v>2239</v>
      </c>
      <c r="AK577" t="s">
        <v>2240</v>
      </c>
      <c r="AL577" t="s">
        <v>56</v>
      </c>
      <c r="AM577" t="s">
        <v>56</v>
      </c>
      <c r="AN577" t="s">
        <v>56</v>
      </c>
      <c r="AO577" t="s">
        <v>56</v>
      </c>
      <c r="AP577" t="s">
        <v>56</v>
      </c>
      <c r="AQ577" t="s">
        <v>71</v>
      </c>
      <c r="AR577" t="s">
        <v>56</v>
      </c>
      <c r="AS577" t="s">
        <v>56</v>
      </c>
      <c r="AT577" t="s">
        <v>56</v>
      </c>
      <c r="AU577" t="s">
        <v>56</v>
      </c>
      <c r="AV577" t="s">
        <v>56</v>
      </c>
      <c r="AW577" t="s">
        <v>56</v>
      </c>
      <c r="AX577">
        <v>4</v>
      </c>
    </row>
    <row r="578" spans="1:50" x14ac:dyDescent="0.25">
      <c r="A578" t="str">
        <f>"20200127165017047976"</f>
        <v>20200127165017047976</v>
      </c>
      <c r="B578" t="s">
        <v>190</v>
      </c>
      <c r="C578" t="s">
        <v>190</v>
      </c>
      <c r="D578" t="s">
        <v>2921</v>
      </c>
      <c r="E578" t="str">
        <f>"080010122201"</f>
        <v>080010122201</v>
      </c>
      <c r="F578" t="s">
        <v>52</v>
      </c>
      <c r="G578">
        <v>890116783</v>
      </c>
      <c r="H578" t="s">
        <v>112</v>
      </c>
      <c r="I578" t="s">
        <v>1796</v>
      </c>
      <c r="J578">
        <v>3781220</v>
      </c>
      <c r="K578" t="s">
        <v>54</v>
      </c>
      <c r="L578">
        <v>1140835805</v>
      </c>
      <c r="M578" t="s">
        <v>1797</v>
      </c>
      <c r="N578" t="s">
        <v>1798</v>
      </c>
      <c r="O578" t="s">
        <v>608</v>
      </c>
      <c r="P578" t="s">
        <v>1799</v>
      </c>
      <c r="Q578" t="s">
        <v>1800</v>
      </c>
      <c r="R578" t="s">
        <v>54</v>
      </c>
      <c r="S578">
        <v>26740037</v>
      </c>
      <c r="T578" t="s">
        <v>2922</v>
      </c>
      <c r="U578" t="s">
        <v>62</v>
      </c>
      <c r="V578" t="s">
        <v>1276</v>
      </c>
      <c r="W578" t="s">
        <v>57</v>
      </c>
      <c r="X578" t="s">
        <v>120</v>
      </c>
      <c r="Y578" t="s">
        <v>121</v>
      </c>
      <c r="Z578">
        <v>12</v>
      </c>
      <c r="AA578" t="s">
        <v>65</v>
      </c>
      <c r="AB578" t="s">
        <v>56</v>
      </c>
      <c r="AC578" t="s">
        <v>56</v>
      </c>
      <c r="AD578">
        <v>0</v>
      </c>
      <c r="AE578" t="s">
        <v>66</v>
      </c>
      <c r="AF578" t="s">
        <v>56</v>
      </c>
      <c r="AG578" t="s">
        <v>56</v>
      </c>
      <c r="AH578" t="s">
        <v>56</v>
      </c>
      <c r="AI578" t="s">
        <v>56</v>
      </c>
      <c r="AJ578" t="s">
        <v>1801</v>
      </c>
      <c r="AK578" t="s">
        <v>1802</v>
      </c>
      <c r="AL578" t="s">
        <v>56</v>
      </c>
      <c r="AM578" t="s">
        <v>56</v>
      </c>
      <c r="AN578" t="s">
        <v>56</v>
      </c>
      <c r="AO578" t="s">
        <v>56</v>
      </c>
      <c r="AP578" t="s">
        <v>56</v>
      </c>
      <c r="AQ578" t="s">
        <v>71</v>
      </c>
      <c r="AR578" t="s">
        <v>56</v>
      </c>
      <c r="AS578" t="s">
        <v>56</v>
      </c>
      <c r="AT578" t="s">
        <v>56</v>
      </c>
      <c r="AU578" t="s">
        <v>56</v>
      </c>
      <c r="AV578" t="s">
        <v>56</v>
      </c>
      <c r="AW578" t="s">
        <v>56</v>
      </c>
      <c r="AX578">
        <v>4</v>
      </c>
    </row>
    <row r="579" spans="1:50" x14ac:dyDescent="0.25">
      <c r="A579" t="str">
        <f>"20200201168017188462"</f>
        <v>20200201168017188462</v>
      </c>
      <c r="B579" t="s">
        <v>50</v>
      </c>
      <c r="C579" t="s">
        <v>50</v>
      </c>
      <c r="D579" t="s">
        <v>2923</v>
      </c>
      <c r="E579" t="str">
        <f>"084330205401"</f>
        <v>084330205401</v>
      </c>
      <c r="F579" t="s">
        <v>52</v>
      </c>
      <c r="G579">
        <v>900488067</v>
      </c>
      <c r="H579" t="s">
        <v>349</v>
      </c>
      <c r="I579" t="s">
        <v>350</v>
      </c>
      <c r="J579">
        <v>3207404550</v>
      </c>
      <c r="K579" t="s">
        <v>54</v>
      </c>
      <c r="L579">
        <v>1048267790</v>
      </c>
      <c r="M579" t="s">
        <v>351</v>
      </c>
      <c r="N579" t="s">
        <v>352</v>
      </c>
      <c r="O579" t="s">
        <v>353</v>
      </c>
      <c r="P579" t="s">
        <v>109</v>
      </c>
      <c r="Q579">
        <v>1048267790</v>
      </c>
      <c r="R579" t="s">
        <v>54</v>
      </c>
      <c r="S579">
        <v>26740037</v>
      </c>
      <c r="T579" t="s">
        <v>2922</v>
      </c>
      <c r="U579" t="s">
        <v>62</v>
      </c>
      <c r="V579" t="s">
        <v>1276</v>
      </c>
      <c r="W579" t="s">
        <v>57</v>
      </c>
      <c r="X579" t="s">
        <v>120</v>
      </c>
      <c r="Y579" t="s">
        <v>121</v>
      </c>
      <c r="Z579">
        <v>11</v>
      </c>
      <c r="AA579" t="s">
        <v>87</v>
      </c>
      <c r="AB579" t="s">
        <v>56</v>
      </c>
      <c r="AC579" t="s">
        <v>56</v>
      </c>
      <c r="AD579">
        <v>0</v>
      </c>
      <c r="AE579" t="s">
        <v>66</v>
      </c>
      <c r="AF579" t="s">
        <v>56</v>
      </c>
      <c r="AG579" t="s">
        <v>56</v>
      </c>
      <c r="AH579" t="s">
        <v>56</v>
      </c>
      <c r="AI579" t="s">
        <v>56</v>
      </c>
      <c r="AJ579" t="s">
        <v>356</v>
      </c>
      <c r="AK579" t="s">
        <v>357</v>
      </c>
      <c r="AL579" t="s">
        <v>56</v>
      </c>
      <c r="AM579" t="s">
        <v>56</v>
      </c>
      <c r="AN579" t="s">
        <v>56</v>
      </c>
      <c r="AO579" t="s">
        <v>56</v>
      </c>
      <c r="AP579" t="s">
        <v>56</v>
      </c>
      <c r="AQ579" t="s">
        <v>71</v>
      </c>
      <c r="AR579" t="s">
        <v>56</v>
      </c>
      <c r="AS579" t="s">
        <v>56</v>
      </c>
      <c r="AT579" t="s">
        <v>56</v>
      </c>
      <c r="AU579" t="s">
        <v>56</v>
      </c>
      <c r="AV579" t="s">
        <v>56</v>
      </c>
      <c r="AW579" t="s">
        <v>56</v>
      </c>
      <c r="AX579">
        <v>4</v>
      </c>
    </row>
    <row r="580" spans="1:50" x14ac:dyDescent="0.25">
      <c r="A580" t="str">
        <f>"20200125161017027891"</f>
        <v>20200125161017027891</v>
      </c>
      <c r="B580" t="s">
        <v>752</v>
      </c>
      <c r="C580" t="s">
        <v>752</v>
      </c>
      <c r="D580" t="s">
        <v>2924</v>
      </c>
      <c r="E580" t="str">
        <f>"080010445438"</f>
        <v>080010445438</v>
      </c>
      <c r="F580" t="s">
        <v>52</v>
      </c>
      <c r="G580">
        <v>901139193</v>
      </c>
      <c r="H580" t="s">
        <v>112</v>
      </c>
      <c r="I580" t="s">
        <v>1771</v>
      </c>
      <c r="J580">
        <v>3781483</v>
      </c>
      <c r="K580" t="s">
        <v>54</v>
      </c>
      <c r="L580">
        <v>1064979833</v>
      </c>
      <c r="M580" t="s">
        <v>1766</v>
      </c>
      <c r="N580" t="s">
        <v>2200</v>
      </c>
      <c r="O580" t="s">
        <v>1735</v>
      </c>
      <c r="P580" t="s">
        <v>2925</v>
      </c>
      <c r="Q580" t="s">
        <v>2926</v>
      </c>
      <c r="R580" t="s">
        <v>54</v>
      </c>
      <c r="S580">
        <v>84041200</v>
      </c>
      <c r="T580" t="s">
        <v>1360</v>
      </c>
      <c r="U580" t="s">
        <v>155</v>
      </c>
      <c r="V580" t="s">
        <v>707</v>
      </c>
      <c r="W580" t="s">
        <v>181</v>
      </c>
      <c r="X580" t="s">
        <v>120</v>
      </c>
      <c r="Y580" t="s">
        <v>121</v>
      </c>
      <c r="Z580">
        <v>22</v>
      </c>
      <c r="AA580" t="s">
        <v>102</v>
      </c>
      <c r="AB580">
        <v>0</v>
      </c>
      <c r="AC580" t="s">
        <v>66</v>
      </c>
      <c r="AD580">
        <v>0</v>
      </c>
      <c r="AE580" t="s">
        <v>66</v>
      </c>
      <c r="AF580" t="s">
        <v>56</v>
      </c>
      <c r="AG580" t="s">
        <v>56</v>
      </c>
      <c r="AH580" t="s">
        <v>56</v>
      </c>
      <c r="AI580" t="s">
        <v>56</v>
      </c>
      <c r="AJ580" t="s">
        <v>828</v>
      </c>
      <c r="AK580" t="s">
        <v>829</v>
      </c>
      <c r="AL580" t="s">
        <v>56</v>
      </c>
      <c r="AM580" t="s">
        <v>56</v>
      </c>
      <c r="AN580" t="s">
        <v>56</v>
      </c>
      <c r="AO580" t="s">
        <v>56</v>
      </c>
      <c r="AP580" t="s">
        <v>56</v>
      </c>
      <c r="AQ580" t="s">
        <v>71</v>
      </c>
      <c r="AR580" t="s">
        <v>56</v>
      </c>
      <c r="AS580" t="s">
        <v>56</v>
      </c>
      <c r="AT580" t="s">
        <v>56</v>
      </c>
      <c r="AU580" t="s">
        <v>56</v>
      </c>
      <c r="AV580" t="s">
        <v>56</v>
      </c>
      <c r="AW580" t="s">
        <v>56</v>
      </c>
      <c r="AX580">
        <v>4</v>
      </c>
    </row>
    <row r="581" spans="1:50" x14ac:dyDescent="0.25">
      <c r="A581" t="str">
        <f>"20200125192017031390"</f>
        <v>20200125192017031390</v>
      </c>
      <c r="B581" t="s">
        <v>752</v>
      </c>
      <c r="C581" t="s">
        <v>752</v>
      </c>
      <c r="D581" t="s">
        <v>2927</v>
      </c>
      <c r="E581" t="str">
        <f>"134300049201"</f>
        <v>134300049201</v>
      </c>
      <c r="F581" t="s">
        <v>52</v>
      </c>
      <c r="G581">
        <v>900196347</v>
      </c>
      <c r="H581">
        <v>13430</v>
      </c>
      <c r="I581" t="s">
        <v>174</v>
      </c>
      <c r="J581" t="s">
        <v>175</v>
      </c>
      <c r="K581" t="s">
        <v>54</v>
      </c>
      <c r="L581">
        <v>80232160</v>
      </c>
      <c r="M581" t="s">
        <v>81</v>
      </c>
      <c r="N581" t="s">
        <v>2095</v>
      </c>
      <c r="O581" t="s">
        <v>2928</v>
      </c>
      <c r="P581" t="s">
        <v>1476</v>
      </c>
      <c r="Q581">
        <v>44304</v>
      </c>
      <c r="R581" t="s">
        <v>54</v>
      </c>
      <c r="S581">
        <v>26897122</v>
      </c>
      <c r="T581" t="s">
        <v>2929</v>
      </c>
      <c r="U581" t="s">
        <v>62</v>
      </c>
      <c r="V581" t="s">
        <v>2103</v>
      </c>
      <c r="W581" t="s">
        <v>2930</v>
      </c>
      <c r="X581" t="s">
        <v>183</v>
      </c>
      <c r="Y581" t="s">
        <v>101</v>
      </c>
      <c r="Z581">
        <v>22</v>
      </c>
      <c r="AA581" t="s">
        <v>102</v>
      </c>
      <c r="AB581">
        <v>0</v>
      </c>
      <c r="AC581" t="s">
        <v>66</v>
      </c>
      <c r="AD581">
        <v>0</v>
      </c>
      <c r="AE581" t="s">
        <v>66</v>
      </c>
      <c r="AF581" t="s">
        <v>56</v>
      </c>
      <c r="AG581" t="s">
        <v>56</v>
      </c>
      <c r="AH581" t="s">
        <v>56</v>
      </c>
      <c r="AI581" t="s">
        <v>56</v>
      </c>
      <c r="AJ581" t="s">
        <v>2931</v>
      </c>
      <c r="AK581" t="s">
        <v>2932</v>
      </c>
      <c r="AL581" t="s">
        <v>56</v>
      </c>
      <c r="AM581" t="s">
        <v>56</v>
      </c>
      <c r="AN581" t="s">
        <v>56</v>
      </c>
      <c r="AO581" t="s">
        <v>56</v>
      </c>
      <c r="AP581" t="s">
        <v>56</v>
      </c>
      <c r="AQ581" t="s">
        <v>71</v>
      </c>
      <c r="AR581" t="s">
        <v>56</v>
      </c>
      <c r="AS581" t="s">
        <v>56</v>
      </c>
      <c r="AT581" t="s">
        <v>56</v>
      </c>
      <c r="AU581" t="s">
        <v>56</v>
      </c>
      <c r="AV581" t="s">
        <v>56</v>
      </c>
      <c r="AW581" t="s">
        <v>56</v>
      </c>
      <c r="AX581">
        <v>4</v>
      </c>
    </row>
    <row r="582" spans="1:50" x14ac:dyDescent="0.25">
      <c r="A582" t="str">
        <f>"20200125124017033162"</f>
        <v>20200125124017033162</v>
      </c>
      <c r="B582" t="s">
        <v>752</v>
      </c>
      <c r="C582" t="s">
        <v>752</v>
      </c>
      <c r="D582" t="s">
        <v>2933</v>
      </c>
      <c r="E582" t="str">
        <f>"134300049201"</f>
        <v>134300049201</v>
      </c>
      <c r="F582" t="s">
        <v>52</v>
      </c>
      <c r="G582">
        <v>900196347</v>
      </c>
      <c r="H582">
        <v>13430</v>
      </c>
      <c r="I582" t="s">
        <v>174</v>
      </c>
      <c r="J582" t="s">
        <v>175</v>
      </c>
      <c r="K582" t="s">
        <v>54</v>
      </c>
      <c r="L582">
        <v>80232160</v>
      </c>
      <c r="M582" t="s">
        <v>81</v>
      </c>
      <c r="N582" t="s">
        <v>2095</v>
      </c>
      <c r="O582" t="s">
        <v>2928</v>
      </c>
      <c r="P582" t="s">
        <v>1476</v>
      </c>
      <c r="Q582">
        <v>44304</v>
      </c>
      <c r="R582" t="s">
        <v>54</v>
      </c>
      <c r="S582">
        <v>26897122</v>
      </c>
      <c r="T582" t="s">
        <v>2929</v>
      </c>
      <c r="U582" t="s">
        <v>62</v>
      </c>
      <c r="V582" t="s">
        <v>2103</v>
      </c>
      <c r="W582" t="s">
        <v>2930</v>
      </c>
      <c r="X582" t="s">
        <v>183</v>
      </c>
      <c r="Y582" t="s">
        <v>101</v>
      </c>
      <c r="Z582">
        <v>22</v>
      </c>
      <c r="AA582" t="s">
        <v>102</v>
      </c>
      <c r="AB582">
        <v>0</v>
      </c>
      <c r="AC582" t="s">
        <v>66</v>
      </c>
      <c r="AD582">
        <v>0</v>
      </c>
      <c r="AE582" t="s">
        <v>66</v>
      </c>
      <c r="AF582" t="s">
        <v>56</v>
      </c>
      <c r="AG582" t="s">
        <v>56</v>
      </c>
      <c r="AH582" t="s">
        <v>56</v>
      </c>
      <c r="AI582" t="s">
        <v>56</v>
      </c>
      <c r="AJ582" t="s">
        <v>2931</v>
      </c>
      <c r="AK582" t="s">
        <v>2932</v>
      </c>
      <c r="AL582" t="s">
        <v>56</v>
      </c>
      <c r="AM582" t="s">
        <v>56</v>
      </c>
      <c r="AN582" t="s">
        <v>56</v>
      </c>
      <c r="AO582" t="s">
        <v>56</v>
      </c>
      <c r="AP582" t="s">
        <v>56</v>
      </c>
      <c r="AQ582" t="s">
        <v>71</v>
      </c>
      <c r="AR582" t="s">
        <v>56</v>
      </c>
      <c r="AS582" t="s">
        <v>56</v>
      </c>
      <c r="AT582" t="s">
        <v>56</v>
      </c>
      <c r="AU582" t="s">
        <v>56</v>
      </c>
      <c r="AV582" t="s">
        <v>56</v>
      </c>
      <c r="AW582" t="s">
        <v>56</v>
      </c>
      <c r="AX582">
        <v>4</v>
      </c>
    </row>
    <row r="583" spans="1:50" x14ac:dyDescent="0.25">
      <c r="A583" t="str">
        <f>"20200128156017098071"</f>
        <v>20200128156017098071</v>
      </c>
      <c r="B583" t="s">
        <v>151</v>
      </c>
      <c r="C583" t="s">
        <v>151</v>
      </c>
      <c r="D583" t="s">
        <v>2934</v>
      </c>
      <c r="E583" t="str">
        <f>"700010001801"</f>
        <v>700010001801</v>
      </c>
      <c r="F583" t="s">
        <v>52</v>
      </c>
      <c r="G583">
        <v>823002227</v>
      </c>
      <c r="H583">
        <v>70001</v>
      </c>
      <c r="I583" t="s">
        <v>2935</v>
      </c>
      <c r="J583" t="s">
        <v>2936</v>
      </c>
      <c r="K583" t="s">
        <v>54</v>
      </c>
      <c r="L583">
        <v>30661162</v>
      </c>
      <c r="M583" t="s">
        <v>1971</v>
      </c>
      <c r="N583" t="s">
        <v>1032</v>
      </c>
      <c r="O583" t="s">
        <v>2937</v>
      </c>
      <c r="P583" t="s">
        <v>179</v>
      </c>
      <c r="Q583">
        <v>23737</v>
      </c>
      <c r="R583" t="s">
        <v>54</v>
      </c>
      <c r="S583">
        <v>12642419</v>
      </c>
      <c r="T583" t="s">
        <v>132</v>
      </c>
      <c r="U583" t="s">
        <v>117</v>
      </c>
      <c r="V583" t="s">
        <v>297</v>
      </c>
      <c r="W583" t="s">
        <v>101</v>
      </c>
      <c r="X583" t="s">
        <v>183</v>
      </c>
      <c r="Y583" t="s">
        <v>101</v>
      </c>
      <c r="Z583">
        <v>11</v>
      </c>
      <c r="AA583" t="s">
        <v>87</v>
      </c>
      <c r="AB583" t="s">
        <v>56</v>
      </c>
      <c r="AC583" t="s">
        <v>56</v>
      </c>
      <c r="AD583">
        <v>0</v>
      </c>
      <c r="AE583" t="s">
        <v>66</v>
      </c>
      <c r="AF583" t="s">
        <v>56</v>
      </c>
      <c r="AG583" t="s">
        <v>56</v>
      </c>
      <c r="AH583" t="s">
        <v>56</v>
      </c>
      <c r="AI583" t="s">
        <v>56</v>
      </c>
      <c r="AJ583" t="s">
        <v>2938</v>
      </c>
      <c r="AK583" t="s">
        <v>2939</v>
      </c>
      <c r="AL583" t="s">
        <v>56</v>
      </c>
      <c r="AM583" t="s">
        <v>56</v>
      </c>
      <c r="AN583" t="s">
        <v>56</v>
      </c>
      <c r="AO583" t="s">
        <v>56</v>
      </c>
      <c r="AP583" t="s">
        <v>56</v>
      </c>
      <c r="AQ583" t="s">
        <v>71</v>
      </c>
      <c r="AR583" t="s">
        <v>56</v>
      </c>
      <c r="AS583" t="s">
        <v>56</v>
      </c>
      <c r="AT583" t="s">
        <v>56</v>
      </c>
      <c r="AU583" t="s">
        <v>56</v>
      </c>
      <c r="AV583" t="s">
        <v>56</v>
      </c>
      <c r="AW583" t="s">
        <v>56</v>
      </c>
      <c r="AX583">
        <v>4</v>
      </c>
    </row>
    <row r="584" spans="1:50" x14ac:dyDescent="0.25">
      <c r="A584" t="str">
        <f>"20200127164017066635"</f>
        <v>20200127164017066635</v>
      </c>
      <c r="B584" t="s">
        <v>190</v>
      </c>
      <c r="C584" t="s">
        <v>190</v>
      </c>
      <c r="D584" t="s">
        <v>2940</v>
      </c>
      <c r="E584" t="str">
        <f>"200010090101"</f>
        <v>200010090101</v>
      </c>
      <c r="F584" t="s">
        <v>52</v>
      </c>
      <c r="G584">
        <v>900016598</v>
      </c>
      <c r="H584">
        <v>20001</v>
      </c>
      <c r="I584" t="s">
        <v>843</v>
      </c>
      <c r="J584">
        <v>5898632</v>
      </c>
      <c r="K584" t="s">
        <v>54</v>
      </c>
      <c r="L584">
        <v>77191041</v>
      </c>
      <c r="M584" t="s">
        <v>844</v>
      </c>
      <c r="N584" t="s">
        <v>76</v>
      </c>
      <c r="O584" t="s">
        <v>146</v>
      </c>
      <c r="P584" t="s">
        <v>845</v>
      </c>
      <c r="Q584">
        <v>77191041</v>
      </c>
      <c r="R584" t="s">
        <v>54</v>
      </c>
      <c r="S584">
        <v>22260263</v>
      </c>
      <c r="T584" t="s">
        <v>1555</v>
      </c>
      <c r="U584" t="s">
        <v>2031</v>
      </c>
      <c r="V584" t="s">
        <v>2289</v>
      </c>
      <c r="W584" t="s">
        <v>2941</v>
      </c>
      <c r="X584" t="s">
        <v>120</v>
      </c>
      <c r="Y584" t="s">
        <v>121</v>
      </c>
      <c r="Z584">
        <v>12</v>
      </c>
      <c r="AA584" t="s">
        <v>65</v>
      </c>
      <c r="AB584" t="s">
        <v>56</v>
      </c>
      <c r="AC584" t="s">
        <v>56</v>
      </c>
      <c r="AD584">
        <v>0</v>
      </c>
      <c r="AE584" t="s">
        <v>66</v>
      </c>
      <c r="AF584" t="s">
        <v>56</v>
      </c>
      <c r="AG584" t="s">
        <v>56</v>
      </c>
      <c r="AH584" t="s">
        <v>56</v>
      </c>
      <c r="AI584" t="s">
        <v>56</v>
      </c>
      <c r="AJ584" t="s">
        <v>2444</v>
      </c>
      <c r="AK584" t="s">
        <v>2445</v>
      </c>
      <c r="AL584" t="s">
        <v>56</v>
      </c>
      <c r="AM584" t="s">
        <v>56</v>
      </c>
      <c r="AN584" t="s">
        <v>56</v>
      </c>
      <c r="AO584" t="s">
        <v>56</v>
      </c>
      <c r="AP584" t="s">
        <v>56</v>
      </c>
      <c r="AQ584" t="s">
        <v>71</v>
      </c>
      <c r="AR584" t="s">
        <v>56</v>
      </c>
      <c r="AS584" t="s">
        <v>56</v>
      </c>
      <c r="AT584" t="s">
        <v>56</v>
      </c>
      <c r="AU584" t="s">
        <v>56</v>
      </c>
      <c r="AV584" t="s">
        <v>56</v>
      </c>
      <c r="AW584" t="s">
        <v>56</v>
      </c>
      <c r="AX584">
        <v>4</v>
      </c>
    </row>
    <row r="585" spans="1:50" x14ac:dyDescent="0.25">
      <c r="A585" t="str">
        <f>"20200127194017066794"</f>
        <v>20200127194017066794</v>
      </c>
      <c r="B585" t="s">
        <v>190</v>
      </c>
      <c r="C585" t="s">
        <v>190</v>
      </c>
      <c r="D585" t="s">
        <v>2942</v>
      </c>
      <c r="E585" t="str">
        <f>"080010027801"</f>
        <v>080010027801</v>
      </c>
      <c r="F585" t="s">
        <v>52</v>
      </c>
      <c r="G585">
        <v>800129856</v>
      </c>
      <c r="H585" t="s">
        <v>112</v>
      </c>
      <c r="I585" t="s">
        <v>2683</v>
      </c>
      <c r="J585" t="s">
        <v>56</v>
      </c>
      <c r="K585" t="s">
        <v>54</v>
      </c>
      <c r="L585">
        <v>92099303</v>
      </c>
      <c r="M585" t="s">
        <v>1492</v>
      </c>
      <c r="N585" t="s">
        <v>107</v>
      </c>
      <c r="O585" t="s">
        <v>2943</v>
      </c>
      <c r="P585" t="s">
        <v>109</v>
      </c>
      <c r="Q585">
        <v>92099303</v>
      </c>
      <c r="R585" t="s">
        <v>54</v>
      </c>
      <c r="S585">
        <v>3756091</v>
      </c>
      <c r="T585" t="s">
        <v>2944</v>
      </c>
      <c r="U585" t="s">
        <v>62</v>
      </c>
      <c r="V585" t="s">
        <v>1305</v>
      </c>
      <c r="W585" t="s">
        <v>1711</v>
      </c>
      <c r="X585" t="s">
        <v>590</v>
      </c>
      <c r="Y585" t="s">
        <v>121</v>
      </c>
      <c r="Z585">
        <v>22</v>
      </c>
      <c r="AA585" t="s">
        <v>102</v>
      </c>
      <c r="AB585">
        <v>0</v>
      </c>
      <c r="AC585" t="s">
        <v>66</v>
      </c>
      <c r="AD585">
        <v>0</v>
      </c>
      <c r="AE585" t="s">
        <v>66</v>
      </c>
      <c r="AF585" t="s">
        <v>56</v>
      </c>
      <c r="AG585" t="s">
        <v>56</v>
      </c>
      <c r="AH585" t="s">
        <v>56</v>
      </c>
      <c r="AI585" t="s">
        <v>56</v>
      </c>
      <c r="AJ585" t="s">
        <v>2945</v>
      </c>
      <c r="AK585" t="s">
        <v>2946</v>
      </c>
      <c r="AL585" t="s">
        <v>56</v>
      </c>
      <c r="AM585" t="s">
        <v>56</v>
      </c>
      <c r="AN585" t="s">
        <v>56</v>
      </c>
      <c r="AO585" t="s">
        <v>56</v>
      </c>
      <c r="AP585" t="s">
        <v>56</v>
      </c>
      <c r="AQ585" t="s">
        <v>71</v>
      </c>
      <c r="AR585" t="s">
        <v>56</v>
      </c>
      <c r="AS585" t="s">
        <v>56</v>
      </c>
      <c r="AT585" t="s">
        <v>56</v>
      </c>
      <c r="AU585" t="s">
        <v>56</v>
      </c>
      <c r="AV585" t="s">
        <v>56</v>
      </c>
      <c r="AW585" t="s">
        <v>56</v>
      </c>
      <c r="AX585">
        <v>4</v>
      </c>
    </row>
    <row r="586" spans="1:50" x14ac:dyDescent="0.25">
      <c r="A586" t="str">
        <f>"20200124117017005181"</f>
        <v>20200124117017005181</v>
      </c>
      <c r="B586" t="s">
        <v>201</v>
      </c>
      <c r="C586" t="s">
        <v>201</v>
      </c>
      <c r="D586" t="s">
        <v>2947</v>
      </c>
      <c r="E586" t="str">
        <f>"080010027801"</f>
        <v>080010027801</v>
      </c>
      <c r="F586" t="s">
        <v>52</v>
      </c>
      <c r="G586">
        <v>800129856</v>
      </c>
      <c r="H586" t="s">
        <v>112</v>
      </c>
      <c r="I586" t="s">
        <v>2683</v>
      </c>
      <c r="J586" t="s">
        <v>56</v>
      </c>
      <c r="K586" t="s">
        <v>54</v>
      </c>
      <c r="L586">
        <v>92099303</v>
      </c>
      <c r="M586" t="s">
        <v>1492</v>
      </c>
      <c r="N586" t="s">
        <v>107</v>
      </c>
      <c r="O586" t="s">
        <v>2943</v>
      </c>
      <c r="P586" t="s">
        <v>109</v>
      </c>
      <c r="Q586">
        <v>92099303</v>
      </c>
      <c r="R586" t="s">
        <v>54</v>
      </c>
      <c r="S586">
        <v>3756091</v>
      </c>
      <c r="T586" t="s">
        <v>2944</v>
      </c>
      <c r="U586" t="s">
        <v>62</v>
      </c>
      <c r="V586" t="s">
        <v>1305</v>
      </c>
      <c r="W586" t="s">
        <v>1711</v>
      </c>
      <c r="X586" t="s">
        <v>590</v>
      </c>
      <c r="Y586" t="s">
        <v>121</v>
      </c>
      <c r="Z586">
        <v>22</v>
      </c>
      <c r="AA586" t="s">
        <v>102</v>
      </c>
      <c r="AB586">
        <v>0</v>
      </c>
      <c r="AC586" t="s">
        <v>66</v>
      </c>
      <c r="AD586">
        <v>0</v>
      </c>
      <c r="AE586" t="s">
        <v>66</v>
      </c>
      <c r="AF586" t="s">
        <v>56</v>
      </c>
      <c r="AG586" t="s">
        <v>56</v>
      </c>
      <c r="AH586" t="s">
        <v>56</v>
      </c>
      <c r="AI586" t="s">
        <v>56</v>
      </c>
      <c r="AJ586" t="s">
        <v>2948</v>
      </c>
      <c r="AK586" t="s">
        <v>2949</v>
      </c>
      <c r="AL586" t="s">
        <v>56</v>
      </c>
      <c r="AM586" t="s">
        <v>56</v>
      </c>
      <c r="AN586" t="s">
        <v>56</v>
      </c>
      <c r="AO586" t="s">
        <v>56</v>
      </c>
      <c r="AP586" t="s">
        <v>56</v>
      </c>
      <c r="AQ586" t="s">
        <v>71</v>
      </c>
      <c r="AR586" t="s">
        <v>56</v>
      </c>
      <c r="AS586" t="s">
        <v>56</v>
      </c>
      <c r="AT586" t="s">
        <v>56</v>
      </c>
      <c r="AU586" t="s">
        <v>56</v>
      </c>
      <c r="AV586" t="s">
        <v>56</v>
      </c>
      <c r="AW586" t="s">
        <v>56</v>
      </c>
      <c r="AX586">
        <v>4</v>
      </c>
    </row>
    <row r="587" spans="1:50" x14ac:dyDescent="0.25">
      <c r="A587" t="str">
        <f>"20200124113017000880"</f>
        <v>20200124113017000880</v>
      </c>
      <c r="B587" t="s">
        <v>201</v>
      </c>
      <c r="C587" t="s">
        <v>201</v>
      </c>
      <c r="D587" t="s">
        <v>2950</v>
      </c>
      <c r="E587" t="str">
        <f>"200010001801"</f>
        <v>200010001801</v>
      </c>
      <c r="F587" t="s">
        <v>52</v>
      </c>
      <c r="G587">
        <v>900008328</v>
      </c>
      <c r="H587">
        <v>20001</v>
      </c>
      <c r="I587" t="s">
        <v>336</v>
      </c>
      <c r="J587" t="s">
        <v>337</v>
      </c>
      <c r="K587" t="s">
        <v>54</v>
      </c>
      <c r="L587">
        <v>77090723</v>
      </c>
      <c r="M587" t="s">
        <v>2951</v>
      </c>
      <c r="N587" t="s">
        <v>56</v>
      </c>
      <c r="O587" t="s">
        <v>2952</v>
      </c>
      <c r="P587" t="s">
        <v>324</v>
      </c>
      <c r="Q587">
        <v>131408</v>
      </c>
      <c r="R587" t="s">
        <v>54</v>
      </c>
      <c r="S587">
        <v>30069347</v>
      </c>
      <c r="T587" t="s">
        <v>1857</v>
      </c>
      <c r="U587" t="s">
        <v>62</v>
      </c>
      <c r="V587" t="s">
        <v>1686</v>
      </c>
      <c r="W587" t="s">
        <v>1393</v>
      </c>
      <c r="X587" t="s">
        <v>2953</v>
      </c>
      <c r="Y587" t="s">
        <v>86</v>
      </c>
      <c r="Z587">
        <v>11</v>
      </c>
      <c r="AA587" t="s">
        <v>87</v>
      </c>
      <c r="AB587" t="s">
        <v>56</v>
      </c>
      <c r="AC587" t="s">
        <v>56</v>
      </c>
      <c r="AD587">
        <v>0</v>
      </c>
      <c r="AE587" t="s">
        <v>66</v>
      </c>
      <c r="AF587" t="s">
        <v>56</v>
      </c>
      <c r="AG587" t="s">
        <v>56</v>
      </c>
      <c r="AH587" t="s">
        <v>56</v>
      </c>
      <c r="AI587" t="s">
        <v>56</v>
      </c>
      <c r="AJ587" t="s">
        <v>267</v>
      </c>
      <c r="AK587" t="s">
        <v>268</v>
      </c>
      <c r="AL587" t="s">
        <v>88</v>
      </c>
      <c r="AM587" t="s">
        <v>89</v>
      </c>
      <c r="AN587" t="s">
        <v>2954</v>
      </c>
      <c r="AO587" t="s">
        <v>2955</v>
      </c>
      <c r="AP587" t="s">
        <v>56</v>
      </c>
      <c r="AQ587" t="s">
        <v>71</v>
      </c>
      <c r="AR587" t="s">
        <v>56</v>
      </c>
      <c r="AS587" t="s">
        <v>56</v>
      </c>
      <c r="AT587" t="s">
        <v>56</v>
      </c>
      <c r="AU587" t="s">
        <v>56</v>
      </c>
      <c r="AV587" t="s">
        <v>56</v>
      </c>
      <c r="AW587" t="s">
        <v>56</v>
      </c>
      <c r="AX587">
        <v>4</v>
      </c>
    </row>
    <row r="588" spans="1:50" x14ac:dyDescent="0.25">
      <c r="A588" t="str">
        <f>"20200127173017046619"</f>
        <v>20200127173017046619</v>
      </c>
      <c r="B588" t="s">
        <v>190</v>
      </c>
      <c r="C588" t="s">
        <v>190</v>
      </c>
      <c r="D588" t="s">
        <v>2956</v>
      </c>
      <c r="E588" t="str">
        <f>"761470851601"</f>
        <v>761470851601</v>
      </c>
      <c r="F588" t="s">
        <v>52</v>
      </c>
      <c r="G588">
        <v>900472731</v>
      </c>
      <c r="H588">
        <v>76147</v>
      </c>
      <c r="I588" t="s">
        <v>53</v>
      </c>
      <c r="J588">
        <v>2146686</v>
      </c>
      <c r="K588" t="s">
        <v>54</v>
      </c>
      <c r="L588">
        <v>10110853</v>
      </c>
      <c r="M588" t="s">
        <v>897</v>
      </c>
      <c r="N588" t="s">
        <v>291</v>
      </c>
      <c r="O588" t="s">
        <v>1962</v>
      </c>
      <c r="P588" t="s">
        <v>2466</v>
      </c>
      <c r="Q588">
        <v>1217</v>
      </c>
      <c r="R588" t="s">
        <v>54</v>
      </c>
      <c r="S588">
        <v>31403557</v>
      </c>
      <c r="T588" t="s">
        <v>2092</v>
      </c>
      <c r="U588" t="s">
        <v>2957</v>
      </c>
      <c r="V588" t="s">
        <v>225</v>
      </c>
      <c r="W588" t="s">
        <v>2958</v>
      </c>
      <c r="X588" t="s">
        <v>277</v>
      </c>
      <c r="Y588" t="s">
        <v>64</v>
      </c>
      <c r="Z588">
        <v>12</v>
      </c>
      <c r="AA588" t="s">
        <v>65</v>
      </c>
      <c r="AB588" t="s">
        <v>56</v>
      </c>
      <c r="AC588" t="s">
        <v>56</v>
      </c>
      <c r="AD588">
        <v>0</v>
      </c>
      <c r="AE588" t="s">
        <v>66</v>
      </c>
      <c r="AF588" t="s">
        <v>56</v>
      </c>
      <c r="AG588" t="s">
        <v>56</v>
      </c>
      <c r="AH588" t="s">
        <v>56</v>
      </c>
      <c r="AI588" t="s">
        <v>56</v>
      </c>
      <c r="AJ588" t="s">
        <v>536</v>
      </c>
      <c r="AK588" t="s">
        <v>537</v>
      </c>
      <c r="AL588" t="s">
        <v>56</v>
      </c>
      <c r="AM588" t="s">
        <v>56</v>
      </c>
      <c r="AN588" t="s">
        <v>56</v>
      </c>
      <c r="AO588" t="s">
        <v>56</v>
      </c>
      <c r="AP588" t="s">
        <v>56</v>
      </c>
      <c r="AQ588" t="s">
        <v>71</v>
      </c>
      <c r="AR588" t="s">
        <v>56</v>
      </c>
      <c r="AS588" t="s">
        <v>56</v>
      </c>
      <c r="AT588" t="s">
        <v>56</v>
      </c>
      <c r="AU588" t="s">
        <v>56</v>
      </c>
      <c r="AV588" t="s">
        <v>56</v>
      </c>
      <c r="AW588" t="s">
        <v>56</v>
      </c>
      <c r="AX588">
        <v>4</v>
      </c>
    </row>
    <row r="589" spans="1:50" x14ac:dyDescent="0.25">
      <c r="A589" t="str">
        <f>"20200127164017046965"</f>
        <v>20200127164017046965</v>
      </c>
      <c r="B589" t="s">
        <v>190</v>
      </c>
      <c r="C589" t="s">
        <v>190</v>
      </c>
      <c r="D589" t="s">
        <v>2959</v>
      </c>
      <c r="E589" t="str">
        <f>"761470851601"</f>
        <v>761470851601</v>
      </c>
      <c r="F589" t="s">
        <v>52</v>
      </c>
      <c r="G589">
        <v>900472731</v>
      </c>
      <c r="H589">
        <v>76147</v>
      </c>
      <c r="I589" t="s">
        <v>53</v>
      </c>
      <c r="J589">
        <v>2146686</v>
      </c>
      <c r="K589" t="s">
        <v>54</v>
      </c>
      <c r="L589">
        <v>10110853</v>
      </c>
      <c r="M589" t="s">
        <v>897</v>
      </c>
      <c r="N589" t="s">
        <v>291</v>
      </c>
      <c r="O589" t="s">
        <v>1962</v>
      </c>
      <c r="P589" t="s">
        <v>2466</v>
      </c>
      <c r="Q589">
        <v>1217</v>
      </c>
      <c r="R589" t="s">
        <v>54</v>
      </c>
      <c r="S589">
        <v>31403557</v>
      </c>
      <c r="T589" t="s">
        <v>2092</v>
      </c>
      <c r="U589" t="s">
        <v>2957</v>
      </c>
      <c r="V589" t="s">
        <v>225</v>
      </c>
      <c r="W589" t="s">
        <v>2958</v>
      </c>
      <c r="X589" t="s">
        <v>277</v>
      </c>
      <c r="Y589" t="s">
        <v>64</v>
      </c>
      <c r="Z589">
        <v>12</v>
      </c>
      <c r="AA589" t="s">
        <v>65</v>
      </c>
      <c r="AB589" t="s">
        <v>56</v>
      </c>
      <c r="AC589" t="s">
        <v>56</v>
      </c>
      <c r="AD589">
        <v>0</v>
      </c>
      <c r="AE589" t="s">
        <v>66</v>
      </c>
      <c r="AF589" t="s">
        <v>56</v>
      </c>
      <c r="AG589" t="s">
        <v>56</v>
      </c>
      <c r="AH589" t="s">
        <v>56</v>
      </c>
      <c r="AI589" t="s">
        <v>56</v>
      </c>
      <c r="AJ589" t="s">
        <v>536</v>
      </c>
      <c r="AK589" t="s">
        <v>537</v>
      </c>
      <c r="AL589" t="s">
        <v>56</v>
      </c>
      <c r="AM589" t="s">
        <v>56</v>
      </c>
      <c r="AN589" t="s">
        <v>56</v>
      </c>
      <c r="AO589" t="s">
        <v>56</v>
      </c>
      <c r="AP589" t="s">
        <v>56</v>
      </c>
      <c r="AQ589" t="s">
        <v>71</v>
      </c>
      <c r="AR589" t="s">
        <v>56</v>
      </c>
      <c r="AS589" t="s">
        <v>56</v>
      </c>
      <c r="AT589" t="s">
        <v>56</v>
      </c>
      <c r="AU589" t="s">
        <v>56</v>
      </c>
      <c r="AV589" t="s">
        <v>56</v>
      </c>
      <c r="AW589" t="s">
        <v>56</v>
      </c>
      <c r="AX589">
        <v>4</v>
      </c>
    </row>
    <row r="590" spans="1:50" x14ac:dyDescent="0.25">
      <c r="A590" t="str">
        <f>"20200127170017045630"</f>
        <v>20200127170017045630</v>
      </c>
      <c r="B590" t="s">
        <v>190</v>
      </c>
      <c r="C590" t="s">
        <v>190</v>
      </c>
      <c r="D590" t="s">
        <v>2960</v>
      </c>
      <c r="E590" t="str">
        <f>"470580002301"</f>
        <v>470580002301</v>
      </c>
      <c r="F590" t="s">
        <v>52</v>
      </c>
      <c r="G590">
        <v>819001107</v>
      </c>
      <c r="H590">
        <v>47058</v>
      </c>
      <c r="I590" t="s">
        <v>626</v>
      </c>
      <c r="J590">
        <v>4258152</v>
      </c>
      <c r="K590" t="s">
        <v>54</v>
      </c>
      <c r="L590">
        <v>22585117</v>
      </c>
      <c r="M590" t="s">
        <v>577</v>
      </c>
      <c r="N590" t="s">
        <v>627</v>
      </c>
      <c r="O590" t="s">
        <v>194</v>
      </c>
      <c r="P590" t="s">
        <v>517</v>
      </c>
      <c r="Q590">
        <v>472587</v>
      </c>
      <c r="R590" t="s">
        <v>54</v>
      </c>
      <c r="S590">
        <v>39070511</v>
      </c>
      <c r="T590" t="s">
        <v>117</v>
      </c>
      <c r="U590" t="s">
        <v>1444</v>
      </c>
      <c r="V590" t="s">
        <v>2522</v>
      </c>
      <c r="W590" t="s">
        <v>194</v>
      </c>
      <c r="X590" t="s">
        <v>344</v>
      </c>
      <c r="Y590" t="s">
        <v>345</v>
      </c>
      <c r="Z590">
        <v>11</v>
      </c>
      <c r="AA590" t="s">
        <v>87</v>
      </c>
      <c r="AB590" t="s">
        <v>56</v>
      </c>
      <c r="AC590" t="s">
        <v>56</v>
      </c>
      <c r="AD590">
        <v>0</v>
      </c>
      <c r="AE590" t="s">
        <v>66</v>
      </c>
      <c r="AF590" t="s">
        <v>56</v>
      </c>
      <c r="AG590" t="s">
        <v>56</v>
      </c>
      <c r="AH590" t="s">
        <v>56</v>
      </c>
      <c r="AI590" t="s">
        <v>56</v>
      </c>
      <c r="AJ590" t="s">
        <v>1080</v>
      </c>
      <c r="AK590" t="s">
        <v>1081</v>
      </c>
      <c r="AL590" t="s">
        <v>56</v>
      </c>
      <c r="AM590" t="s">
        <v>56</v>
      </c>
      <c r="AN590" t="s">
        <v>56</v>
      </c>
      <c r="AO590" t="s">
        <v>56</v>
      </c>
      <c r="AP590" t="s">
        <v>56</v>
      </c>
      <c r="AQ590" t="s">
        <v>71</v>
      </c>
      <c r="AR590" t="s">
        <v>56</v>
      </c>
      <c r="AS590" t="s">
        <v>56</v>
      </c>
      <c r="AT590" t="s">
        <v>56</v>
      </c>
      <c r="AU590" t="s">
        <v>56</v>
      </c>
      <c r="AV590" t="s">
        <v>56</v>
      </c>
      <c r="AW590" t="s">
        <v>56</v>
      </c>
      <c r="AX590">
        <v>4</v>
      </c>
    </row>
    <row r="591" spans="1:50" x14ac:dyDescent="0.25">
      <c r="A591" t="str">
        <f>"20200129121017118827"</f>
        <v>20200129121017118827</v>
      </c>
      <c r="B591" t="s">
        <v>72</v>
      </c>
      <c r="C591" t="s">
        <v>72</v>
      </c>
      <c r="D591" t="s">
        <v>2961</v>
      </c>
      <c r="E591" t="str">
        <f>"700010096901"</f>
        <v>700010096901</v>
      </c>
      <c r="F591" t="s">
        <v>52</v>
      </c>
      <c r="G591">
        <v>900118990</v>
      </c>
      <c r="H591">
        <v>70001</v>
      </c>
      <c r="I591" t="s">
        <v>869</v>
      </c>
      <c r="J591">
        <v>2761605</v>
      </c>
      <c r="K591" t="s">
        <v>54</v>
      </c>
      <c r="L591">
        <v>1104864752</v>
      </c>
      <c r="M591" t="s">
        <v>897</v>
      </c>
      <c r="N591" t="s">
        <v>1463</v>
      </c>
      <c r="O591" t="s">
        <v>1464</v>
      </c>
      <c r="P591" t="s">
        <v>1465</v>
      </c>
      <c r="Q591" t="s">
        <v>56</v>
      </c>
      <c r="R591" t="s">
        <v>54</v>
      </c>
      <c r="S591">
        <v>18879992</v>
      </c>
      <c r="T591" t="s">
        <v>854</v>
      </c>
      <c r="U591" t="s">
        <v>86</v>
      </c>
      <c r="V591" t="s">
        <v>2361</v>
      </c>
      <c r="W591" t="s">
        <v>2729</v>
      </c>
      <c r="X591" t="s">
        <v>394</v>
      </c>
      <c r="Y591" t="s">
        <v>330</v>
      </c>
      <c r="Z591">
        <v>12</v>
      </c>
      <c r="AA591" t="s">
        <v>65</v>
      </c>
      <c r="AB591" t="s">
        <v>56</v>
      </c>
      <c r="AC591" t="s">
        <v>56</v>
      </c>
      <c r="AD591">
        <v>0</v>
      </c>
      <c r="AE591" t="s">
        <v>66</v>
      </c>
      <c r="AF591" t="s">
        <v>56</v>
      </c>
      <c r="AG591" t="s">
        <v>56</v>
      </c>
      <c r="AH591" t="s">
        <v>56</v>
      </c>
      <c r="AI591" t="s">
        <v>56</v>
      </c>
      <c r="AJ591" t="s">
        <v>2121</v>
      </c>
      <c r="AK591" t="s">
        <v>2122</v>
      </c>
      <c r="AL591" t="s">
        <v>56</v>
      </c>
      <c r="AM591" t="s">
        <v>56</v>
      </c>
      <c r="AN591" t="s">
        <v>56</v>
      </c>
      <c r="AO591" t="s">
        <v>56</v>
      </c>
      <c r="AP591" t="s">
        <v>56</v>
      </c>
      <c r="AQ591" t="s">
        <v>71</v>
      </c>
      <c r="AR591" t="s">
        <v>56</v>
      </c>
      <c r="AS591" t="s">
        <v>56</v>
      </c>
      <c r="AT591" t="s">
        <v>56</v>
      </c>
      <c r="AU591" t="s">
        <v>56</v>
      </c>
      <c r="AV591" t="s">
        <v>56</v>
      </c>
      <c r="AW591" t="s">
        <v>56</v>
      </c>
      <c r="AX591">
        <v>4</v>
      </c>
    </row>
    <row r="592" spans="1:50" x14ac:dyDescent="0.25">
      <c r="A592" t="str">
        <f>"20200130147017141714"</f>
        <v>20200130147017141714</v>
      </c>
      <c r="B592" t="s">
        <v>124</v>
      </c>
      <c r="C592" t="s">
        <v>124</v>
      </c>
      <c r="D592" t="s">
        <v>2962</v>
      </c>
      <c r="E592" t="str">
        <f>"080010380001"</f>
        <v>080010380001</v>
      </c>
      <c r="F592" t="s">
        <v>52</v>
      </c>
      <c r="G592">
        <v>900665930</v>
      </c>
      <c r="H592" t="s">
        <v>112</v>
      </c>
      <c r="I592" t="s">
        <v>113</v>
      </c>
      <c r="J592">
        <v>3175759202</v>
      </c>
      <c r="K592" t="s">
        <v>54</v>
      </c>
      <c r="L592">
        <v>1129501755</v>
      </c>
      <c r="M592" t="s">
        <v>672</v>
      </c>
      <c r="N592" t="s">
        <v>638</v>
      </c>
      <c r="O592" t="s">
        <v>673</v>
      </c>
      <c r="P592" t="s">
        <v>629</v>
      </c>
      <c r="Q592">
        <v>1326505</v>
      </c>
      <c r="R592" t="s">
        <v>54</v>
      </c>
      <c r="S592">
        <v>22369615</v>
      </c>
      <c r="T592" t="s">
        <v>504</v>
      </c>
      <c r="U592" t="s">
        <v>1723</v>
      </c>
      <c r="V592" t="s">
        <v>355</v>
      </c>
      <c r="W592" t="s">
        <v>2963</v>
      </c>
      <c r="X592" t="s">
        <v>120</v>
      </c>
      <c r="Y592" t="s">
        <v>121</v>
      </c>
      <c r="Z592">
        <v>12</v>
      </c>
      <c r="AA592" t="s">
        <v>65</v>
      </c>
      <c r="AB592" t="s">
        <v>56</v>
      </c>
      <c r="AC592" t="s">
        <v>56</v>
      </c>
      <c r="AD592">
        <v>0</v>
      </c>
      <c r="AE592" t="s">
        <v>66</v>
      </c>
      <c r="AF592" t="s">
        <v>56</v>
      </c>
      <c r="AG592" t="s">
        <v>56</v>
      </c>
      <c r="AH592" t="s">
        <v>56</v>
      </c>
      <c r="AI592" t="s">
        <v>56</v>
      </c>
      <c r="AJ592" t="s">
        <v>255</v>
      </c>
      <c r="AK592" t="s">
        <v>256</v>
      </c>
      <c r="AL592" t="s">
        <v>356</v>
      </c>
      <c r="AM592" t="s">
        <v>357</v>
      </c>
      <c r="AN592" t="s">
        <v>2964</v>
      </c>
      <c r="AO592" t="s">
        <v>2965</v>
      </c>
      <c r="AP592" t="s">
        <v>56</v>
      </c>
      <c r="AQ592" t="s">
        <v>71</v>
      </c>
      <c r="AR592" t="s">
        <v>56</v>
      </c>
      <c r="AS592" t="s">
        <v>56</v>
      </c>
      <c r="AT592" t="s">
        <v>56</v>
      </c>
      <c r="AU592" t="s">
        <v>56</v>
      </c>
      <c r="AV592" t="s">
        <v>56</v>
      </c>
      <c r="AW592" t="s">
        <v>56</v>
      </c>
      <c r="AX592">
        <v>4</v>
      </c>
    </row>
    <row r="593" spans="1:50" x14ac:dyDescent="0.25">
      <c r="A593" t="str">
        <f>"20200129154017107792"</f>
        <v>20200129154017107792</v>
      </c>
      <c r="B593" t="s">
        <v>72</v>
      </c>
      <c r="C593" t="s">
        <v>72</v>
      </c>
      <c r="D593" t="s">
        <v>2966</v>
      </c>
      <c r="E593" t="str">
        <f>"130010240901"</f>
        <v>130010240901</v>
      </c>
      <c r="F593" t="s">
        <v>52</v>
      </c>
      <c r="G593">
        <v>900514515</v>
      </c>
      <c r="H593">
        <v>13001</v>
      </c>
      <c r="I593" t="s">
        <v>2967</v>
      </c>
      <c r="J593">
        <v>6534647</v>
      </c>
      <c r="K593" t="s">
        <v>54</v>
      </c>
      <c r="L593">
        <v>73122729</v>
      </c>
      <c r="M593" t="s">
        <v>2171</v>
      </c>
      <c r="N593" t="s">
        <v>94</v>
      </c>
      <c r="O593" t="s">
        <v>2968</v>
      </c>
      <c r="P593" t="s">
        <v>2969</v>
      </c>
      <c r="Q593">
        <v>3041</v>
      </c>
      <c r="R593" t="s">
        <v>54</v>
      </c>
      <c r="S593">
        <v>8696836</v>
      </c>
      <c r="T593" t="s">
        <v>1492</v>
      </c>
      <c r="U593" t="s">
        <v>424</v>
      </c>
      <c r="V593" t="s">
        <v>2970</v>
      </c>
      <c r="W593" t="s">
        <v>2971</v>
      </c>
      <c r="X593" t="s">
        <v>427</v>
      </c>
      <c r="Y593" t="s">
        <v>101</v>
      </c>
      <c r="Z593">
        <v>11</v>
      </c>
      <c r="AA593" t="s">
        <v>87</v>
      </c>
      <c r="AB593" t="s">
        <v>56</v>
      </c>
      <c r="AC593" t="s">
        <v>56</v>
      </c>
      <c r="AD593">
        <v>0</v>
      </c>
      <c r="AE593" t="s">
        <v>66</v>
      </c>
      <c r="AF593" t="s">
        <v>56</v>
      </c>
      <c r="AG593" t="s">
        <v>56</v>
      </c>
      <c r="AH593" t="s">
        <v>56</v>
      </c>
      <c r="AI593" t="s">
        <v>56</v>
      </c>
      <c r="AJ593" t="s">
        <v>745</v>
      </c>
      <c r="AK593" t="s">
        <v>746</v>
      </c>
      <c r="AL593" t="s">
        <v>56</v>
      </c>
      <c r="AM593" t="s">
        <v>56</v>
      </c>
      <c r="AN593" t="s">
        <v>56</v>
      </c>
      <c r="AO593" t="s">
        <v>56</v>
      </c>
      <c r="AP593" t="s">
        <v>56</v>
      </c>
      <c r="AQ593" t="s">
        <v>71</v>
      </c>
      <c r="AR593" t="s">
        <v>56</v>
      </c>
      <c r="AS593" t="s">
        <v>56</v>
      </c>
      <c r="AT593" t="s">
        <v>56</v>
      </c>
      <c r="AU593" t="s">
        <v>56</v>
      </c>
      <c r="AV593" t="s">
        <v>56</v>
      </c>
      <c r="AW593" t="s">
        <v>56</v>
      </c>
      <c r="AX593">
        <v>4</v>
      </c>
    </row>
    <row r="594" spans="1:50" x14ac:dyDescent="0.25">
      <c r="A594" t="str">
        <f>"20200124157017008006"</f>
        <v>20200124157017008006</v>
      </c>
      <c r="B594" t="s">
        <v>201</v>
      </c>
      <c r="C594" t="s">
        <v>201</v>
      </c>
      <c r="D594" t="s">
        <v>2972</v>
      </c>
      <c r="E594" t="str">
        <f>"700010018501"</f>
        <v>700010018501</v>
      </c>
      <c r="F594" t="s">
        <v>52</v>
      </c>
      <c r="G594">
        <v>823002342</v>
      </c>
      <c r="H594">
        <v>70001</v>
      </c>
      <c r="I594" t="s">
        <v>1932</v>
      </c>
      <c r="J594">
        <v>2820285</v>
      </c>
      <c r="K594" t="s">
        <v>54</v>
      </c>
      <c r="L594">
        <v>92527998</v>
      </c>
      <c r="M594" t="s">
        <v>291</v>
      </c>
      <c r="N594" t="s">
        <v>757</v>
      </c>
      <c r="O594" t="s">
        <v>324</v>
      </c>
      <c r="P594" t="s">
        <v>376</v>
      </c>
      <c r="Q594" t="s">
        <v>2973</v>
      </c>
      <c r="R594" t="s">
        <v>54</v>
      </c>
      <c r="S594">
        <v>3975338</v>
      </c>
      <c r="T594" t="s">
        <v>2242</v>
      </c>
      <c r="U594" t="s">
        <v>192</v>
      </c>
      <c r="V594" t="s">
        <v>2974</v>
      </c>
      <c r="W594" t="s">
        <v>775</v>
      </c>
      <c r="X594" t="s">
        <v>1708</v>
      </c>
      <c r="Y594" t="s">
        <v>330</v>
      </c>
      <c r="Z594">
        <v>12</v>
      </c>
      <c r="AA594" t="s">
        <v>65</v>
      </c>
      <c r="AB594" t="s">
        <v>56</v>
      </c>
      <c r="AC594" t="s">
        <v>56</v>
      </c>
      <c r="AD594">
        <v>0</v>
      </c>
      <c r="AE594" t="s">
        <v>66</v>
      </c>
      <c r="AF594" t="s">
        <v>56</v>
      </c>
      <c r="AG594" t="s">
        <v>56</v>
      </c>
      <c r="AH594" t="s">
        <v>56</v>
      </c>
      <c r="AI594" t="s">
        <v>56</v>
      </c>
      <c r="AJ594" t="s">
        <v>1851</v>
      </c>
      <c r="AK594" t="s">
        <v>1852</v>
      </c>
      <c r="AL594" t="s">
        <v>56</v>
      </c>
      <c r="AM594" t="s">
        <v>56</v>
      </c>
      <c r="AN594" t="s">
        <v>56</v>
      </c>
      <c r="AO594" t="s">
        <v>56</v>
      </c>
      <c r="AP594" t="s">
        <v>56</v>
      </c>
      <c r="AQ594" t="s">
        <v>71</v>
      </c>
      <c r="AR594" t="s">
        <v>56</v>
      </c>
      <c r="AS594" t="s">
        <v>56</v>
      </c>
      <c r="AT594" t="s">
        <v>56</v>
      </c>
      <c r="AU594" t="s">
        <v>56</v>
      </c>
      <c r="AV594" t="s">
        <v>56</v>
      </c>
      <c r="AW594" t="s">
        <v>56</v>
      </c>
      <c r="AX594">
        <v>4</v>
      </c>
    </row>
    <row r="595" spans="1:50" x14ac:dyDescent="0.25">
      <c r="A595" t="str">
        <f>"20200126146017037286"</f>
        <v>20200126146017037286</v>
      </c>
      <c r="B595" t="s">
        <v>244</v>
      </c>
      <c r="C595" t="s">
        <v>244</v>
      </c>
      <c r="D595" t="s">
        <v>2975</v>
      </c>
      <c r="E595" t="str">
        <f>"080010349401"</f>
        <v>080010349401</v>
      </c>
      <c r="F595" t="s">
        <v>52</v>
      </c>
      <c r="G595">
        <v>900458308</v>
      </c>
      <c r="H595" t="s">
        <v>112</v>
      </c>
      <c r="I595" t="s">
        <v>370</v>
      </c>
      <c r="J595" t="s">
        <v>371</v>
      </c>
      <c r="K595" t="s">
        <v>54</v>
      </c>
      <c r="L595">
        <v>1143378811</v>
      </c>
      <c r="M595" t="s">
        <v>372</v>
      </c>
      <c r="N595" t="s">
        <v>373</v>
      </c>
      <c r="O595" t="s">
        <v>109</v>
      </c>
      <c r="P595" t="s">
        <v>374</v>
      </c>
      <c r="Q595">
        <v>1143378811</v>
      </c>
      <c r="R595" t="s">
        <v>54</v>
      </c>
      <c r="S595">
        <v>22336574</v>
      </c>
      <c r="T595" t="s">
        <v>1766</v>
      </c>
      <c r="U595" t="s">
        <v>117</v>
      </c>
      <c r="V595" t="s">
        <v>1328</v>
      </c>
      <c r="W595" t="s">
        <v>2976</v>
      </c>
      <c r="X595" t="s">
        <v>120</v>
      </c>
      <c r="Y595" t="s">
        <v>121</v>
      </c>
      <c r="Z595">
        <v>12</v>
      </c>
      <c r="AA595" t="s">
        <v>65</v>
      </c>
      <c r="AB595" t="s">
        <v>56</v>
      </c>
      <c r="AC595" t="s">
        <v>56</v>
      </c>
      <c r="AD595">
        <v>0</v>
      </c>
      <c r="AE595" t="s">
        <v>66</v>
      </c>
      <c r="AF595" t="s">
        <v>56</v>
      </c>
      <c r="AG595" t="s">
        <v>56</v>
      </c>
      <c r="AH595" t="s">
        <v>56</v>
      </c>
      <c r="AI595" t="s">
        <v>56</v>
      </c>
      <c r="AJ595" t="s">
        <v>356</v>
      </c>
      <c r="AK595" t="s">
        <v>357</v>
      </c>
      <c r="AL595" t="s">
        <v>255</v>
      </c>
      <c r="AM595" t="s">
        <v>256</v>
      </c>
      <c r="AN595" t="s">
        <v>56</v>
      </c>
      <c r="AO595" t="s">
        <v>56</v>
      </c>
      <c r="AP595" t="s">
        <v>56</v>
      </c>
      <c r="AQ595" t="s">
        <v>71</v>
      </c>
      <c r="AR595" t="s">
        <v>56</v>
      </c>
      <c r="AS595" t="s">
        <v>56</v>
      </c>
      <c r="AT595" t="s">
        <v>56</v>
      </c>
      <c r="AU595" t="s">
        <v>56</v>
      </c>
      <c r="AV595" t="s">
        <v>56</v>
      </c>
      <c r="AW595" t="s">
        <v>56</v>
      </c>
      <c r="AX595">
        <v>4</v>
      </c>
    </row>
    <row r="596" spans="1:50" x14ac:dyDescent="0.25">
      <c r="A596" t="str">
        <f>"20200201124017183479"</f>
        <v>20200201124017183479</v>
      </c>
      <c r="B596" t="s">
        <v>50</v>
      </c>
      <c r="C596" t="s">
        <v>50</v>
      </c>
      <c r="D596" t="s">
        <v>2977</v>
      </c>
      <c r="E596" t="str">
        <f>"080010003601"</f>
        <v>080010003601</v>
      </c>
      <c r="F596" t="s">
        <v>52</v>
      </c>
      <c r="G596">
        <v>802000955</v>
      </c>
      <c r="H596" t="s">
        <v>112</v>
      </c>
      <c r="I596" t="s">
        <v>218</v>
      </c>
      <c r="J596" t="s">
        <v>56</v>
      </c>
      <c r="K596" t="s">
        <v>54</v>
      </c>
      <c r="L596">
        <v>22673633</v>
      </c>
      <c r="M596" t="s">
        <v>2211</v>
      </c>
      <c r="N596" t="s">
        <v>59</v>
      </c>
      <c r="O596" t="s">
        <v>1025</v>
      </c>
      <c r="P596" t="s">
        <v>1015</v>
      </c>
      <c r="Q596" t="s">
        <v>2978</v>
      </c>
      <c r="R596" t="s">
        <v>54</v>
      </c>
      <c r="S596">
        <v>22417376</v>
      </c>
      <c r="T596" t="s">
        <v>1477</v>
      </c>
      <c r="U596" t="s">
        <v>424</v>
      </c>
      <c r="V596" t="s">
        <v>95</v>
      </c>
      <c r="W596" t="s">
        <v>2979</v>
      </c>
      <c r="X596" t="s">
        <v>120</v>
      </c>
      <c r="Y596" t="s">
        <v>121</v>
      </c>
      <c r="Z596">
        <v>12</v>
      </c>
      <c r="AA596" t="s">
        <v>65</v>
      </c>
      <c r="AB596" t="s">
        <v>56</v>
      </c>
      <c r="AC596" t="s">
        <v>56</v>
      </c>
      <c r="AD596">
        <v>0</v>
      </c>
      <c r="AE596" t="s">
        <v>66</v>
      </c>
      <c r="AF596" t="s">
        <v>56</v>
      </c>
      <c r="AG596" t="s">
        <v>56</v>
      </c>
      <c r="AH596" t="s">
        <v>56</v>
      </c>
      <c r="AI596" t="s">
        <v>56</v>
      </c>
      <c r="AJ596" t="s">
        <v>613</v>
      </c>
      <c r="AK596" t="s">
        <v>614</v>
      </c>
      <c r="AL596" t="s">
        <v>56</v>
      </c>
      <c r="AM596" t="s">
        <v>56</v>
      </c>
      <c r="AN596" t="s">
        <v>56</v>
      </c>
      <c r="AO596" t="s">
        <v>56</v>
      </c>
      <c r="AP596" t="s">
        <v>56</v>
      </c>
      <c r="AQ596" t="s">
        <v>71</v>
      </c>
      <c r="AR596" t="s">
        <v>56</v>
      </c>
      <c r="AS596" t="s">
        <v>56</v>
      </c>
      <c r="AT596" t="s">
        <v>56</v>
      </c>
      <c r="AU596" t="s">
        <v>56</v>
      </c>
      <c r="AV596" t="s">
        <v>56</v>
      </c>
      <c r="AW596" t="s">
        <v>56</v>
      </c>
      <c r="AX596">
        <v>4</v>
      </c>
    </row>
    <row r="597" spans="1:50" x14ac:dyDescent="0.25">
      <c r="A597" t="str">
        <f>"20200127165017063264"</f>
        <v>20200127165017063264</v>
      </c>
      <c r="B597" t="s">
        <v>190</v>
      </c>
      <c r="C597" t="s">
        <v>190</v>
      </c>
      <c r="D597" t="s">
        <v>2980</v>
      </c>
      <c r="E597" t="str">
        <f>"080010409201"</f>
        <v>080010409201</v>
      </c>
      <c r="F597" t="s">
        <v>52</v>
      </c>
      <c r="G597">
        <v>900448414</v>
      </c>
      <c r="H597" t="s">
        <v>112</v>
      </c>
      <c r="I597" t="s">
        <v>785</v>
      </c>
      <c r="J597">
        <v>3545674</v>
      </c>
      <c r="K597" t="s">
        <v>54</v>
      </c>
      <c r="L597">
        <v>8736587</v>
      </c>
      <c r="M597" t="s">
        <v>164</v>
      </c>
      <c r="N597" t="s">
        <v>281</v>
      </c>
      <c r="O597" t="s">
        <v>1101</v>
      </c>
      <c r="P597" t="s">
        <v>309</v>
      </c>
      <c r="Q597" t="s">
        <v>1412</v>
      </c>
      <c r="R597" t="s">
        <v>54</v>
      </c>
      <c r="S597">
        <v>22288395</v>
      </c>
      <c r="T597" t="s">
        <v>470</v>
      </c>
      <c r="U597" t="s">
        <v>62</v>
      </c>
      <c r="V597" t="s">
        <v>833</v>
      </c>
      <c r="W597" t="s">
        <v>2981</v>
      </c>
      <c r="X597" t="s">
        <v>120</v>
      </c>
      <c r="Y597" t="s">
        <v>121</v>
      </c>
      <c r="Z597">
        <v>12</v>
      </c>
      <c r="AA597" t="s">
        <v>65</v>
      </c>
      <c r="AB597" t="s">
        <v>56</v>
      </c>
      <c r="AC597" t="s">
        <v>56</v>
      </c>
      <c r="AD597">
        <v>0</v>
      </c>
      <c r="AE597" t="s">
        <v>66</v>
      </c>
      <c r="AF597" t="s">
        <v>56</v>
      </c>
      <c r="AG597" t="s">
        <v>56</v>
      </c>
      <c r="AH597" t="s">
        <v>56</v>
      </c>
      <c r="AI597" t="s">
        <v>56</v>
      </c>
      <c r="AJ597" t="s">
        <v>1503</v>
      </c>
      <c r="AK597" t="s">
        <v>1504</v>
      </c>
      <c r="AL597" t="s">
        <v>56</v>
      </c>
      <c r="AM597" t="s">
        <v>56</v>
      </c>
      <c r="AN597" t="s">
        <v>56</v>
      </c>
      <c r="AO597" t="s">
        <v>56</v>
      </c>
      <c r="AP597" t="s">
        <v>56</v>
      </c>
      <c r="AQ597" t="s">
        <v>71</v>
      </c>
      <c r="AR597" t="s">
        <v>56</v>
      </c>
      <c r="AS597" t="s">
        <v>56</v>
      </c>
      <c r="AT597" t="s">
        <v>56</v>
      </c>
      <c r="AU597" t="s">
        <v>56</v>
      </c>
      <c r="AV597" t="s">
        <v>56</v>
      </c>
      <c r="AW597" t="s">
        <v>56</v>
      </c>
      <c r="AX597">
        <v>4</v>
      </c>
    </row>
    <row r="598" spans="1:50" x14ac:dyDescent="0.25">
      <c r="A598" t="str">
        <f>"20200129168017123473"</f>
        <v>20200129168017123473</v>
      </c>
      <c r="B598" t="s">
        <v>72</v>
      </c>
      <c r="C598" t="s">
        <v>72</v>
      </c>
      <c r="D598" t="s">
        <v>2982</v>
      </c>
      <c r="E598" t="str">
        <f>"087580016101"</f>
        <v>087580016101</v>
      </c>
      <c r="F598" t="s">
        <v>52</v>
      </c>
      <c r="G598">
        <v>802013023</v>
      </c>
      <c r="H598" t="s">
        <v>74</v>
      </c>
      <c r="I598" t="s">
        <v>953</v>
      </c>
      <c r="J598">
        <v>3759400</v>
      </c>
      <c r="K598" t="s">
        <v>54</v>
      </c>
      <c r="L598">
        <v>1042442558</v>
      </c>
      <c r="M598" t="s">
        <v>1904</v>
      </c>
      <c r="N598" t="s">
        <v>519</v>
      </c>
      <c r="O598" t="s">
        <v>194</v>
      </c>
      <c r="P598" t="s">
        <v>1905</v>
      </c>
      <c r="Q598" t="s">
        <v>1906</v>
      </c>
      <c r="R598" t="s">
        <v>237</v>
      </c>
      <c r="S598">
        <v>1043132472</v>
      </c>
      <c r="T598" t="s">
        <v>2983</v>
      </c>
      <c r="U598" t="s">
        <v>2984</v>
      </c>
      <c r="V598" t="s">
        <v>403</v>
      </c>
      <c r="W598" t="s">
        <v>560</v>
      </c>
      <c r="X598" t="s">
        <v>299</v>
      </c>
      <c r="Y598" t="s">
        <v>121</v>
      </c>
      <c r="Z598">
        <v>11</v>
      </c>
      <c r="AA598" t="s">
        <v>87</v>
      </c>
      <c r="AB598" t="s">
        <v>56</v>
      </c>
      <c r="AC598" t="s">
        <v>56</v>
      </c>
      <c r="AD598">
        <v>0</v>
      </c>
      <c r="AE598" t="s">
        <v>66</v>
      </c>
      <c r="AF598" t="s">
        <v>56</v>
      </c>
      <c r="AG598" t="s">
        <v>56</v>
      </c>
      <c r="AH598" t="s">
        <v>56</v>
      </c>
      <c r="AI598" t="s">
        <v>56</v>
      </c>
      <c r="AJ598" t="s">
        <v>122</v>
      </c>
      <c r="AK598" t="s">
        <v>123</v>
      </c>
      <c r="AL598" t="s">
        <v>56</v>
      </c>
      <c r="AM598" t="s">
        <v>56</v>
      </c>
      <c r="AN598" t="s">
        <v>56</v>
      </c>
      <c r="AO598" t="s">
        <v>56</v>
      </c>
      <c r="AP598" t="s">
        <v>56</v>
      </c>
      <c r="AQ598" t="s">
        <v>71</v>
      </c>
      <c r="AR598" t="s">
        <v>56</v>
      </c>
      <c r="AS598" t="s">
        <v>56</v>
      </c>
      <c r="AT598" t="s">
        <v>56</v>
      </c>
      <c r="AU598" t="s">
        <v>56</v>
      </c>
      <c r="AV598" t="s">
        <v>56</v>
      </c>
      <c r="AW598" t="s">
        <v>56</v>
      </c>
      <c r="AX598">
        <v>4</v>
      </c>
    </row>
    <row r="599" spans="1:50" x14ac:dyDescent="0.25">
      <c r="A599" t="str">
        <f>"20200128169017097014"</f>
        <v>20200128169017097014</v>
      </c>
      <c r="B599" t="s">
        <v>151</v>
      </c>
      <c r="C599" t="s">
        <v>151</v>
      </c>
      <c r="D599" t="s">
        <v>2985</v>
      </c>
      <c r="E599" t="str">
        <f>"080010330401"</f>
        <v>080010330401</v>
      </c>
      <c r="F599" t="s">
        <v>52</v>
      </c>
      <c r="G599">
        <v>802014564</v>
      </c>
      <c r="H599" t="s">
        <v>112</v>
      </c>
      <c r="I599" t="s">
        <v>933</v>
      </c>
      <c r="J599">
        <v>3575814</v>
      </c>
      <c r="K599" t="s">
        <v>54</v>
      </c>
      <c r="L599">
        <v>32616516</v>
      </c>
      <c r="M599" t="s">
        <v>934</v>
      </c>
      <c r="N599" t="s">
        <v>768</v>
      </c>
      <c r="O599" t="s">
        <v>935</v>
      </c>
      <c r="P599" t="s">
        <v>936</v>
      </c>
      <c r="Q599">
        <v>5069</v>
      </c>
      <c r="R599" t="s">
        <v>54</v>
      </c>
      <c r="S599">
        <v>64893559</v>
      </c>
      <c r="T599" t="s">
        <v>307</v>
      </c>
      <c r="U599" t="s">
        <v>205</v>
      </c>
      <c r="V599" t="s">
        <v>197</v>
      </c>
      <c r="W599" t="s">
        <v>1294</v>
      </c>
      <c r="X599" t="s">
        <v>394</v>
      </c>
      <c r="Y599" t="s">
        <v>330</v>
      </c>
      <c r="Z599">
        <v>12</v>
      </c>
      <c r="AA599" t="s">
        <v>65</v>
      </c>
      <c r="AB599" t="s">
        <v>56</v>
      </c>
      <c r="AC599" t="s">
        <v>56</v>
      </c>
      <c r="AD599">
        <v>0</v>
      </c>
      <c r="AE599" t="s">
        <v>66</v>
      </c>
      <c r="AF599" t="s">
        <v>56</v>
      </c>
      <c r="AG599" t="s">
        <v>56</v>
      </c>
      <c r="AH599" t="s">
        <v>56</v>
      </c>
      <c r="AI599" t="s">
        <v>56</v>
      </c>
      <c r="AJ599" t="s">
        <v>942</v>
      </c>
      <c r="AK599" t="s">
        <v>943</v>
      </c>
      <c r="AL599" t="s">
        <v>940</v>
      </c>
      <c r="AM599" t="s">
        <v>941</v>
      </c>
      <c r="AN599" t="s">
        <v>56</v>
      </c>
      <c r="AO599" t="s">
        <v>56</v>
      </c>
      <c r="AP599" t="s">
        <v>56</v>
      </c>
      <c r="AQ599" t="s">
        <v>71</v>
      </c>
      <c r="AR599" t="s">
        <v>56</v>
      </c>
      <c r="AS599" t="s">
        <v>56</v>
      </c>
      <c r="AT599" t="s">
        <v>56</v>
      </c>
      <c r="AU599" t="s">
        <v>56</v>
      </c>
      <c r="AV599" t="s">
        <v>56</v>
      </c>
      <c r="AW599" t="s">
        <v>56</v>
      </c>
      <c r="AX599">
        <v>4</v>
      </c>
    </row>
    <row r="600" spans="1:50" x14ac:dyDescent="0.25">
      <c r="A600" t="str">
        <f>"20200129139017121926"</f>
        <v>20200129139017121926</v>
      </c>
      <c r="B600" t="s">
        <v>72</v>
      </c>
      <c r="C600" t="s">
        <v>72</v>
      </c>
      <c r="D600" t="s">
        <v>2986</v>
      </c>
      <c r="E600" t="str">
        <f>"270010077002"</f>
        <v>270010077002</v>
      </c>
      <c r="F600" t="s">
        <v>52</v>
      </c>
      <c r="G600">
        <v>900520293</v>
      </c>
      <c r="H600">
        <v>27001</v>
      </c>
      <c r="I600" t="s">
        <v>2987</v>
      </c>
      <c r="J600" t="s">
        <v>2988</v>
      </c>
      <c r="K600" t="s">
        <v>54</v>
      </c>
      <c r="L600">
        <v>4803351</v>
      </c>
      <c r="M600" t="s">
        <v>2989</v>
      </c>
      <c r="N600" t="s">
        <v>56</v>
      </c>
      <c r="O600" t="s">
        <v>2990</v>
      </c>
      <c r="P600" t="s">
        <v>1072</v>
      </c>
      <c r="Q600">
        <v>270309</v>
      </c>
      <c r="R600" t="s">
        <v>237</v>
      </c>
      <c r="S600">
        <v>1078916723</v>
      </c>
      <c r="T600" t="s">
        <v>2205</v>
      </c>
      <c r="U600" t="s">
        <v>2991</v>
      </c>
      <c r="V600" t="s">
        <v>263</v>
      </c>
      <c r="W600" t="s">
        <v>392</v>
      </c>
      <c r="X600" t="s">
        <v>2992</v>
      </c>
      <c r="Y600" t="s">
        <v>717</v>
      </c>
      <c r="Z600">
        <v>12</v>
      </c>
      <c r="AA600" t="s">
        <v>65</v>
      </c>
      <c r="AB600" t="s">
        <v>56</v>
      </c>
      <c r="AC600" t="s">
        <v>56</v>
      </c>
      <c r="AD600">
        <v>0</v>
      </c>
      <c r="AE600" t="s">
        <v>66</v>
      </c>
      <c r="AF600" t="s">
        <v>56</v>
      </c>
      <c r="AG600" t="s">
        <v>56</v>
      </c>
      <c r="AH600" t="s">
        <v>56</v>
      </c>
      <c r="AI600" t="s">
        <v>56</v>
      </c>
      <c r="AJ600" t="s">
        <v>2993</v>
      </c>
      <c r="AK600" t="s">
        <v>2994</v>
      </c>
      <c r="AL600" t="s">
        <v>2995</v>
      </c>
      <c r="AM600" t="s">
        <v>2996</v>
      </c>
      <c r="AN600" t="s">
        <v>56</v>
      </c>
      <c r="AO600" t="s">
        <v>56</v>
      </c>
      <c r="AP600" t="s">
        <v>56</v>
      </c>
      <c r="AQ600" t="s">
        <v>71</v>
      </c>
      <c r="AR600" t="s">
        <v>56</v>
      </c>
      <c r="AS600" t="s">
        <v>56</v>
      </c>
      <c r="AT600" t="s">
        <v>56</v>
      </c>
      <c r="AU600" t="s">
        <v>56</v>
      </c>
      <c r="AV600" t="s">
        <v>56</v>
      </c>
      <c r="AW600" t="s">
        <v>56</v>
      </c>
      <c r="AX600">
        <v>4</v>
      </c>
    </row>
    <row r="601" spans="1:50" x14ac:dyDescent="0.25">
      <c r="A601" t="str">
        <f>"20200129130017113579"</f>
        <v>20200129130017113579</v>
      </c>
      <c r="B601" t="s">
        <v>72</v>
      </c>
      <c r="C601" t="s">
        <v>72</v>
      </c>
      <c r="D601" t="s">
        <v>2997</v>
      </c>
      <c r="E601" t="str">
        <f>"080010380001"</f>
        <v>080010380001</v>
      </c>
      <c r="F601" t="s">
        <v>52</v>
      </c>
      <c r="G601">
        <v>900665930</v>
      </c>
      <c r="H601" t="s">
        <v>112</v>
      </c>
      <c r="I601" t="s">
        <v>113</v>
      </c>
      <c r="J601">
        <v>3175759202</v>
      </c>
      <c r="K601" t="s">
        <v>54</v>
      </c>
      <c r="L601">
        <v>1045724464</v>
      </c>
      <c r="M601" t="s">
        <v>59</v>
      </c>
      <c r="N601" t="s">
        <v>114</v>
      </c>
      <c r="O601" t="s">
        <v>115</v>
      </c>
      <c r="P601" t="s">
        <v>116</v>
      </c>
      <c r="Q601">
        <v>1045724464</v>
      </c>
      <c r="R601" t="s">
        <v>237</v>
      </c>
      <c r="S601">
        <v>1042850637</v>
      </c>
      <c r="T601" t="s">
        <v>2998</v>
      </c>
      <c r="U601" t="s">
        <v>2999</v>
      </c>
      <c r="V601" t="s">
        <v>406</v>
      </c>
      <c r="W601" t="s">
        <v>1574</v>
      </c>
      <c r="X601" t="s">
        <v>120</v>
      </c>
      <c r="Y601" t="s">
        <v>121</v>
      </c>
      <c r="Z601">
        <v>12</v>
      </c>
      <c r="AA601" t="s">
        <v>65</v>
      </c>
      <c r="AB601" t="s">
        <v>56</v>
      </c>
      <c r="AC601" t="s">
        <v>56</v>
      </c>
      <c r="AD601">
        <v>0</v>
      </c>
      <c r="AE601" t="s">
        <v>66</v>
      </c>
      <c r="AF601" t="s">
        <v>56</v>
      </c>
      <c r="AG601" t="s">
        <v>56</v>
      </c>
      <c r="AH601" t="s">
        <v>56</v>
      </c>
      <c r="AI601" t="s">
        <v>56</v>
      </c>
      <c r="AJ601" t="s">
        <v>828</v>
      </c>
      <c r="AK601" t="s">
        <v>829</v>
      </c>
      <c r="AL601" t="s">
        <v>56</v>
      </c>
      <c r="AM601" t="s">
        <v>56</v>
      </c>
      <c r="AN601" t="s">
        <v>56</v>
      </c>
      <c r="AO601" t="s">
        <v>56</v>
      </c>
      <c r="AP601" t="s">
        <v>56</v>
      </c>
      <c r="AQ601" t="s">
        <v>71</v>
      </c>
      <c r="AR601" t="s">
        <v>56</v>
      </c>
      <c r="AS601" t="s">
        <v>56</v>
      </c>
      <c r="AT601" t="s">
        <v>56</v>
      </c>
      <c r="AU601" t="s">
        <v>56</v>
      </c>
      <c r="AV601" t="s">
        <v>56</v>
      </c>
      <c r="AW601" t="s">
        <v>56</v>
      </c>
      <c r="AX601">
        <v>4</v>
      </c>
    </row>
    <row r="602" spans="1:50" x14ac:dyDescent="0.25">
      <c r="A602" t="str">
        <f>"20200130129017151523"</f>
        <v>20200130129017151523</v>
      </c>
      <c r="B602" t="s">
        <v>124</v>
      </c>
      <c r="C602" t="s">
        <v>124</v>
      </c>
      <c r="D602" t="s">
        <v>3000</v>
      </c>
      <c r="E602" t="str">
        <f>"200010222801"</f>
        <v>200010222801</v>
      </c>
      <c r="F602" t="s">
        <v>52</v>
      </c>
      <c r="G602">
        <v>901243826</v>
      </c>
      <c r="H602">
        <v>20001</v>
      </c>
      <c r="I602" t="s">
        <v>2719</v>
      </c>
      <c r="J602" t="s">
        <v>2720</v>
      </c>
      <c r="K602" t="s">
        <v>54</v>
      </c>
      <c r="L602">
        <v>8703687</v>
      </c>
      <c r="M602" t="s">
        <v>76</v>
      </c>
      <c r="N602" t="s">
        <v>424</v>
      </c>
      <c r="O602" t="s">
        <v>376</v>
      </c>
      <c r="P602" t="s">
        <v>675</v>
      </c>
      <c r="Q602">
        <v>2582</v>
      </c>
      <c r="R602" t="s">
        <v>54</v>
      </c>
      <c r="S602">
        <v>42488325</v>
      </c>
      <c r="T602" t="s">
        <v>3001</v>
      </c>
      <c r="U602" t="s">
        <v>117</v>
      </c>
      <c r="V602" t="s">
        <v>864</v>
      </c>
      <c r="W602" t="s">
        <v>691</v>
      </c>
      <c r="X602" t="s">
        <v>462</v>
      </c>
      <c r="Y602" t="s">
        <v>86</v>
      </c>
      <c r="Z602">
        <v>12</v>
      </c>
      <c r="AA602" t="s">
        <v>65</v>
      </c>
      <c r="AB602" t="s">
        <v>56</v>
      </c>
      <c r="AC602" t="s">
        <v>56</v>
      </c>
      <c r="AD602">
        <v>0</v>
      </c>
      <c r="AE602" t="s">
        <v>66</v>
      </c>
      <c r="AF602" t="s">
        <v>56</v>
      </c>
      <c r="AG602" t="s">
        <v>56</v>
      </c>
      <c r="AH602" t="s">
        <v>56</v>
      </c>
      <c r="AI602" t="s">
        <v>56</v>
      </c>
      <c r="AJ602" t="s">
        <v>395</v>
      </c>
      <c r="AK602" t="s">
        <v>396</v>
      </c>
      <c r="AL602" t="s">
        <v>56</v>
      </c>
      <c r="AM602" t="s">
        <v>56</v>
      </c>
      <c r="AN602" t="s">
        <v>56</v>
      </c>
      <c r="AO602" t="s">
        <v>56</v>
      </c>
      <c r="AP602" t="s">
        <v>56</v>
      </c>
      <c r="AQ602" t="s">
        <v>71</v>
      </c>
      <c r="AR602" t="s">
        <v>56</v>
      </c>
      <c r="AS602" t="s">
        <v>56</v>
      </c>
      <c r="AT602" t="s">
        <v>56</v>
      </c>
      <c r="AU602" t="s">
        <v>56</v>
      </c>
      <c r="AV602" t="s">
        <v>56</v>
      </c>
      <c r="AW602" t="s">
        <v>56</v>
      </c>
      <c r="AX602">
        <v>4</v>
      </c>
    </row>
    <row r="603" spans="1:50" x14ac:dyDescent="0.25">
      <c r="A603" t="str">
        <f>"20200130133017149435"</f>
        <v>20200130133017149435</v>
      </c>
      <c r="B603" t="s">
        <v>124</v>
      </c>
      <c r="C603" t="s">
        <v>124</v>
      </c>
      <c r="D603" t="s">
        <v>3002</v>
      </c>
      <c r="E603" t="str">
        <f>"761470851601"</f>
        <v>761470851601</v>
      </c>
      <c r="F603" t="s">
        <v>52</v>
      </c>
      <c r="G603">
        <v>900472731</v>
      </c>
      <c r="H603">
        <v>76147</v>
      </c>
      <c r="I603" t="s">
        <v>53</v>
      </c>
      <c r="J603">
        <v>2146686</v>
      </c>
      <c r="K603" t="s">
        <v>54</v>
      </c>
      <c r="L603">
        <v>1140888144</v>
      </c>
      <c r="M603" t="s">
        <v>1100</v>
      </c>
      <c r="N603" t="s">
        <v>1006</v>
      </c>
      <c r="O603" t="s">
        <v>364</v>
      </c>
      <c r="P603" t="s">
        <v>1101</v>
      </c>
      <c r="Q603">
        <v>1140888144</v>
      </c>
      <c r="R603" t="s">
        <v>54</v>
      </c>
      <c r="S603">
        <v>1112618240</v>
      </c>
      <c r="T603" t="s">
        <v>117</v>
      </c>
      <c r="U603" t="s">
        <v>1176</v>
      </c>
      <c r="V603" t="s">
        <v>3003</v>
      </c>
      <c r="W603" t="s">
        <v>560</v>
      </c>
      <c r="X603" t="s">
        <v>1337</v>
      </c>
      <c r="Y603" t="s">
        <v>64</v>
      </c>
      <c r="Z603">
        <v>21</v>
      </c>
      <c r="AA603" t="s">
        <v>1103</v>
      </c>
      <c r="AB603" t="s">
        <v>56</v>
      </c>
      <c r="AC603" t="s">
        <v>56</v>
      </c>
      <c r="AD603">
        <v>0</v>
      </c>
      <c r="AE603" t="s">
        <v>66</v>
      </c>
      <c r="AF603" t="s">
        <v>56</v>
      </c>
      <c r="AG603" t="s">
        <v>56</v>
      </c>
      <c r="AH603" t="s">
        <v>56</v>
      </c>
      <c r="AI603" t="s">
        <v>56</v>
      </c>
      <c r="AJ603" t="s">
        <v>3004</v>
      </c>
      <c r="AK603" t="s">
        <v>3005</v>
      </c>
      <c r="AL603" t="s">
        <v>122</v>
      </c>
      <c r="AM603" t="s">
        <v>123</v>
      </c>
      <c r="AN603" t="s">
        <v>56</v>
      </c>
      <c r="AO603" t="s">
        <v>56</v>
      </c>
      <c r="AP603" t="s">
        <v>56</v>
      </c>
      <c r="AQ603" t="s">
        <v>71</v>
      </c>
      <c r="AR603" t="s">
        <v>56</v>
      </c>
      <c r="AS603" t="s">
        <v>56</v>
      </c>
      <c r="AT603" t="s">
        <v>56</v>
      </c>
      <c r="AU603" t="s">
        <v>56</v>
      </c>
      <c r="AV603" t="s">
        <v>56</v>
      </c>
      <c r="AW603" t="s">
        <v>56</v>
      </c>
      <c r="AX603">
        <v>4</v>
      </c>
    </row>
    <row r="604" spans="1:50" x14ac:dyDescent="0.25">
      <c r="A604" t="str">
        <f>"20200130136017136037"</f>
        <v>20200130136017136037</v>
      </c>
      <c r="B604" t="s">
        <v>124</v>
      </c>
      <c r="C604" t="s">
        <v>124</v>
      </c>
      <c r="D604" t="s">
        <v>3006</v>
      </c>
      <c r="E604" t="str">
        <f>"761470851601"</f>
        <v>761470851601</v>
      </c>
      <c r="F604" t="s">
        <v>52</v>
      </c>
      <c r="G604">
        <v>900472731</v>
      </c>
      <c r="H604">
        <v>76147</v>
      </c>
      <c r="I604" t="s">
        <v>53</v>
      </c>
      <c r="J604">
        <v>2146686</v>
      </c>
      <c r="K604" t="s">
        <v>54</v>
      </c>
      <c r="L604">
        <v>1129567120</v>
      </c>
      <c r="M604" t="s">
        <v>678</v>
      </c>
      <c r="N604" t="s">
        <v>56</v>
      </c>
      <c r="O604" t="s">
        <v>679</v>
      </c>
      <c r="P604" t="s">
        <v>680</v>
      </c>
      <c r="Q604">
        <v>1129567120</v>
      </c>
      <c r="R604" t="s">
        <v>54</v>
      </c>
      <c r="S604">
        <v>16220483</v>
      </c>
      <c r="T604" t="s">
        <v>375</v>
      </c>
      <c r="U604" t="s">
        <v>62</v>
      </c>
      <c r="V604" t="s">
        <v>3007</v>
      </c>
      <c r="W604" t="s">
        <v>1461</v>
      </c>
      <c r="X604" t="s">
        <v>277</v>
      </c>
      <c r="Y604" t="s">
        <v>64</v>
      </c>
      <c r="Z604">
        <v>11</v>
      </c>
      <c r="AA604" t="s">
        <v>87</v>
      </c>
      <c r="AB604" t="s">
        <v>56</v>
      </c>
      <c r="AC604" t="s">
        <v>56</v>
      </c>
      <c r="AD604">
        <v>0</v>
      </c>
      <c r="AE604" t="s">
        <v>66</v>
      </c>
      <c r="AF604" t="s">
        <v>56</v>
      </c>
      <c r="AG604" t="s">
        <v>56</v>
      </c>
      <c r="AH604" t="s">
        <v>56</v>
      </c>
      <c r="AI604" t="s">
        <v>56</v>
      </c>
      <c r="AJ604" t="s">
        <v>2675</v>
      </c>
      <c r="AK604" t="s">
        <v>2676</v>
      </c>
      <c r="AL604" t="s">
        <v>56</v>
      </c>
      <c r="AM604" t="s">
        <v>56</v>
      </c>
      <c r="AN604" t="s">
        <v>56</v>
      </c>
      <c r="AO604" t="s">
        <v>56</v>
      </c>
      <c r="AP604" t="s">
        <v>56</v>
      </c>
      <c r="AQ604" t="s">
        <v>71</v>
      </c>
      <c r="AR604" t="s">
        <v>56</v>
      </c>
      <c r="AS604" t="s">
        <v>56</v>
      </c>
      <c r="AT604" t="s">
        <v>56</v>
      </c>
      <c r="AU604" t="s">
        <v>56</v>
      </c>
      <c r="AV604" t="s">
        <v>56</v>
      </c>
      <c r="AW604" t="s">
        <v>56</v>
      </c>
      <c r="AX604">
        <v>4</v>
      </c>
    </row>
    <row r="605" spans="1:50" x14ac:dyDescent="0.25">
      <c r="A605" t="str">
        <f>"20200130187017140753"</f>
        <v>20200130187017140753</v>
      </c>
      <c r="B605" t="s">
        <v>124</v>
      </c>
      <c r="C605" t="s">
        <v>124</v>
      </c>
      <c r="D605" t="s">
        <v>3008</v>
      </c>
      <c r="E605" t="str">
        <f>"080010409201"</f>
        <v>080010409201</v>
      </c>
      <c r="F605" t="s">
        <v>52</v>
      </c>
      <c r="G605">
        <v>900448414</v>
      </c>
      <c r="H605" t="s">
        <v>112</v>
      </c>
      <c r="I605" t="s">
        <v>785</v>
      </c>
      <c r="J605">
        <v>3545674</v>
      </c>
      <c r="K605" t="s">
        <v>54</v>
      </c>
      <c r="L605">
        <v>8736587</v>
      </c>
      <c r="M605" t="s">
        <v>164</v>
      </c>
      <c r="N605" t="s">
        <v>281</v>
      </c>
      <c r="O605" t="s">
        <v>1101</v>
      </c>
      <c r="P605" t="s">
        <v>309</v>
      </c>
      <c r="Q605" t="s">
        <v>1412</v>
      </c>
      <c r="R605" t="s">
        <v>54</v>
      </c>
      <c r="S605">
        <v>8686386</v>
      </c>
      <c r="T605" t="s">
        <v>81</v>
      </c>
      <c r="U605" t="s">
        <v>261</v>
      </c>
      <c r="V605" t="s">
        <v>61</v>
      </c>
      <c r="W605" t="s">
        <v>2035</v>
      </c>
      <c r="X605" t="s">
        <v>120</v>
      </c>
      <c r="Y605" t="s">
        <v>121</v>
      </c>
      <c r="Z605">
        <v>12</v>
      </c>
      <c r="AA605" t="s">
        <v>65</v>
      </c>
      <c r="AB605" t="s">
        <v>56</v>
      </c>
      <c r="AC605" t="s">
        <v>56</v>
      </c>
      <c r="AD605">
        <v>0</v>
      </c>
      <c r="AE605" t="s">
        <v>66</v>
      </c>
      <c r="AF605" t="s">
        <v>56</v>
      </c>
      <c r="AG605" t="s">
        <v>56</v>
      </c>
      <c r="AH605" t="s">
        <v>56</v>
      </c>
      <c r="AI605" t="s">
        <v>56</v>
      </c>
      <c r="AJ605" t="s">
        <v>215</v>
      </c>
      <c r="AK605" t="s">
        <v>216</v>
      </c>
      <c r="AL605" t="s">
        <v>56</v>
      </c>
      <c r="AM605" t="s">
        <v>56</v>
      </c>
      <c r="AN605" t="s">
        <v>56</v>
      </c>
      <c r="AO605" t="s">
        <v>56</v>
      </c>
      <c r="AP605" t="s">
        <v>56</v>
      </c>
      <c r="AQ605" t="s">
        <v>71</v>
      </c>
      <c r="AR605" t="s">
        <v>56</v>
      </c>
      <c r="AS605" t="s">
        <v>56</v>
      </c>
      <c r="AT605" t="s">
        <v>56</v>
      </c>
      <c r="AU605" t="s">
        <v>56</v>
      </c>
      <c r="AV605" t="s">
        <v>56</v>
      </c>
      <c r="AW605" t="s">
        <v>56</v>
      </c>
      <c r="AX605">
        <v>4</v>
      </c>
    </row>
    <row r="606" spans="1:50" x14ac:dyDescent="0.25">
      <c r="A606" t="str">
        <f>"20200128115017086172"</f>
        <v>20200128115017086172</v>
      </c>
      <c r="B606" t="s">
        <v>151</v>
      </c>
      <c r="C606" t="s">
        <v>151</v>
      </c>
      <c r="D606" t="s">
        <v>1580</v>
      </c>
      <c r="E606" t="str">
        <f>"130010178101"</f>
        <v>130010178101</v>
      </c>
      <c r="F606" t="s">
        <v>52</v>
      </c>
      <c r="G606">
        <v>900042103</v>
      </c>
      <c r="H606">
        <v>13001</v>
      </c>
      <c r="I606" t="s">
        <v>92</v>
      </c>
      <c r="J606">
        <v>6726017</v>
      </c>
      <c r="K606" t="s">
        <v>54</v>
      </c>
      <c r="L606">
        <v>33153671</v>
      </c>
      <c r="M606" t="s">
        <v>2323</v>
      </c>
      <c r="N606" t="s">
        <v>117</v>
      </c>
      <c r="O606" t="s">
        <v>1400</v>
      </c>
      <c r="P606" t="s">
        <v>560</v>
      </c>
      <c r="Q606" t="s">
        <v>2324</v>
      </c>
      <c r="R606" t="s">
        <v>54</v>
      </c>
      <c r="S606">
        <v>25957681</v>
      </c>
      <c r="T606" t="s">
        <v>117</v>
      </c>
      <c r="U606" t="s">
        <v>3009</v>
      </c>
      <c r="V606" t="s">
        <v>3010</v>
      </c>
      <c r="W606" t="s">
        <v>3011</v>
      </c>
      <c r="X606" t="s">
        <v>427</v>
      </c>
      <c r="Y606" t="s">
        <v>101</v>
      </c>
      <c r="Z606">
        <v>11</v>
      </c>
      <c r="AA606" t="s">
        <v>87</v>
      </c>
      <c r="AB606" t="s">
        <v>56</v>
      </c>
      <c r="AC606" t="s">
        <v>56</v>
      </c>
      <c r="AD606">
        <v>0</v>
      </c>
      <c r="AE606" t="s">
        <v>66</v>
      </c>
      <c r="AF606" t="s">
        <v>56</v>
      </c>
      <c r="AG606" t="s">
        <v>56</v>
      </c>
      <c r="AH606" t="s">
        <v>56</v>
      </c>
      <c r="AI606" t="s">
        <v>56</v>
      </c>
      <c r="AJ606" t="s">
        <v>828</v>
      </c>
      <c r="AK606" t="s">
        <v>829</v>
      </c>
      <c r="AL606" t="s">
        <v>1119</v>
      </c>
      <c r="AM606" t="s">
        <v>1120</v>
      </c>
      <c r="AN606" t="s">
        <v>1086</v>
      </c>
      <c r="AO606" t="s">
        <v>1087</v>
      </c>
      <c r="AP606" t="s">
        <v>56</v>
      </c>
      <c r="AQ606" t="s">
        <v>71</v>
      </c>
      <c r="AR606" t="s">
        <v>56</v>
      </c>
      <c r="AS606" t="s">
        <v>56</v>
      </c>
      <c r="AT606" t="s">
        <v>56</v>
      </c>
      <c r="AU606" t="s">
        <v>56</v>
      </c>
      <c r="AV606" t="s">
        <v>56</v>
      </c>
      <c r="AW606" t="s">
        <v>56</v>
      </c>
      <c r="AX606">
        <v>4</v>
      </c>
    </row>
    <row r="607" spans="1:50" x14ac:dyDescent="0.25">
      <c r="A607" t="str">
        <f>"20200125166017033673"</f>
        <v>20200125166017033673</v>
      </c>
      <c r="B607" t="s">
        <v>752</v>
      </c>
      <c r="C607" t="s">
        <v>752</v>
      </c>
      <c r="D607" t="s">
        <v>3012</v>
      </c>
      <c r="E607" t="str">
        <f>"761470371502"</f>
        <v>761470371502</v>
      </c>
      <c r="F607" t="s">
        <v>52</v>
      </c>
      <c r="G607">
        <v>890303841</v>
      </c>
      <c r="H607">
        <v>76147</v>
      </c>
      <c r="I607" t="s">
        <v>359</v>
      </c>
      <c r="J607">
        <v>2132425</v>
      </c>
      <c r="K607" t="s">
        <v>54</v>
      </c>
      <c r="L607">
        <v>1112784795</v>
      </c>
      <c r="M607" t="s">
        <v>897</v>
      </c>
      <c r="N607" t="s">
        <v>589</v>
      </c>
      <c r="O607" t="s">
        <v>3013</v>
      </c>
      <c r="P607" t="s">
        <v>405</v>
      </c>
      <c r="Q607">
        <v>1112784795</v>
      </c>
      <c r="R607" t="s">
        <v>54</v>
      </c>
      <c r="S607">
        <v>24965005</v>
      </c>
      <c r="T607" t="s">
        <v>3014</v>
      </c>
      <c r="U607" t="s">
        <v>62</v>
      </c>
      <c r="V607" t="s">
        <v>3015</v>
      </c>
      <c r="W607" t="s">
        <v>62</v>
      </c>
      <c r="X607" t="s">
        <v>277</v>
      </c>
      <c r="Y607" t="s">
        <v>64</v>
      </c>
      <c r="Z607">
        <v>22</v>
      </c>
      <c r="AA607" t="s">
        <v>102</v>
      </c>
      <c r="AB607">
        <v>0</v>
      </c>
      <c r="AC607" t="s">
        <v>66</v>
      </c>
      <c r="AD607">
        <v>0</v>
      </c>
      <c r="AE607" t="s">
        <v>66</v>
      </c>
      <c r="AF607" t="s">
        <v>56</v>
      </c>
      <c r="AG607" t="s">
        <v>56</v>
      </c>
      <c r="AH607" t="s">
        <v>56</v>
      </c>
      <c r="AI607" t="s">
        <v>56</v>
      </c>
      <c r="AJ607" t="s">
        <v>3016</v>
      </c>
      <c r="AK607" t="s">
        <v>3017</v>
      </c>
      <c r="AL607" t="s">
        <v>56</v>
      </c>
      <c r="AM607" t="s">
        <v>56</v>
      </c>
      <c r="AN607" t="s">
        <v>56</v>
      </c>
      <c r="AO607" t="s">
        <v>56</v>
      </c>
      <c r="AP607" t="s">
        <v>56</v>
      </c>
      <c r="AQ607" t="s">
        <v>71</v>
      </c>
      <c r="AR607" t="s">
        <v>56</v>
      </c>
      <c r="AS607" t="s">
        <v>56</v>
      </c>
      <c r="AT607" t="s">
        <v>56</v>
      </c>
      <c r="AU607" t="s">
        <v>56</v>
      </c>
      <c r="AV607" t="s">
        <v>56</v>
      </c>
      <c r="AW607" t="s">
        <v>56</v>
      </c>
      <c r="AX607">
        <v>4</v>
      </c>
    </row>
    <row r="608" spans="1:50" x14ac:dyDescent="0.25">
      <c r="A608" t="str">
        <f>"20200127137017046678"</f>
        <v>20200127137017046678</v>
      </c>
      <c r="B608" t="s">
        <v>190</v>
      </c>
      <c r="C608" t="s">
        <v>190</v>
      </c>
      <c r="D608" t="s">
        <v>3018</v>
      </c>
      <c r="E608" t="str">
        <f>"761470371502"</f>
        <v>761470371502</v>
      </c>
      <c r="F608" t="s">
        <v>52</v>
      </c>
      <c r="G608">
        <v>890303841</v>
      </c>
      <c r="H608">
        <v>76147</v>
      </c>
      <c r="I608" t="s">
        <v>359</v>
      </c>
      <c r="J608">
        <v>2132425</v>
      </c>
      <c r="K608" t="s">
        <v>54</v>
      </c>
      <c r="L608">
        <v>1088012559</v>
      </c>
      <c r="M608" t="s">
        <v>3019</v>
      </c>
      <c r="N608" t="s">
        <v>233</v>
      </c>
      <c r="O608" t="s">
        <v>622</v>
      </c>
      <c r="P608" t="s">
        <v>1301</v>
      </c>
      <c r="Q608">
        <v>1088012559</v>
      </c>
      <c r="R608" t="s">
        <v>54</v>
      </c>
      <c r="S608">
        <v>24965005</v>
      </c>
      <c r="T608" t="s">
        <v>3014</v>
      </c>
      <c r="U608" t="s">
        <v>62</v>
      </c>
      <c r="V608" t="s">
        <v>3015</v>
      </c>
      <c r="W608" t="s">
        <v>62</v>
      </c>
      <c r="X608" t="s">
        <v>277</v>
      </c>
      <c r="Y608" t="s">
        <v>64</v>
      </c>
      <c r="Z608">
        <v>22</v>
      </c>
      <c r="AA608" t="s">
        <v>102</v>
      </c>
      <c r="AB608">
        <v>0</v>
      </c>
      <c r="AC608" t="s">
        <v>66</v>
      </c>
      <c r="AD608">
        <v>0</v>
      </c>
      <c r="AE608" t="s">
        <v>66</v>
      </c>
      <c r="AF608" t="s">
        <v>56</v>
      </c>
      <c r="AG608" t="s">
        <v>56</v>
      </c>
      <c r="AH608" t="s">
        <v>56</v>
      </c>
      <c r="AI608" t="s">
        <v>56</v>
      </c>
      <c r="AJ608" t="s">
        <v>3020</v>
      </c>
      <c r="AK608" t="s">
        <v>3021</v>
      </c>
      <c r="AL608" t="s">
        <v>56</v>
      </c>
      <c r="AM608" t="s">
        <v>56</v>
      </c>
      <c r="AN608" t="s">
        <v>56</v>
      </c>
      <c r="AO608" t="s">
        <v>56</v>
      </c>
      <c r="AP608" t="s">
        <v>56</v>
      </c>
      <c r="AQ608" t="s">
        <v>71</v>
      </c>
      <c r="AR608" t="s">
        <v>56</v>
      </c>
      <c r="AS608" t="s">
        <v>56</v>
      </c>
      <c r="AT608" t="s">
        <v>56</v>
      </c>
      <c r="AU608" t="s">
        <v>56</v>
      </c>
      <c r="AV608" t="s">
        <v>56</v>
      </c>
      <c r="AW608" t="s">
        <v>56</v>
      </c>
      <c r="AX608">
        <v>4</v>
      </c>
    </row>
    <row r="609" spans="1:50" x14ac:dyDescent="0.25">
      <c r="A609" t="str">
        <f>"20200124115016997663"</f>
        <v>20200124115016997663</v>
      </c>
      <c r="B609" t="s">
        <v>201</v>
      </c>
      <c r="C609" t="s">
        <v>201</v>
      </c>
      <c r="D609" t="s">
        <v>3022</v>
      </c>
      <c r="E609" t="str">
        <f>"080010349401"</f>
        <v>080010349401</v>
      </c>
      <c r="F609" t="s">
        <v>52</v>
      </c>
      <c r="G609">
        <v>900458308</v>
      </c>
      <c r="H609" t="s">
        <v>112</v>
      </c>
      <c r="I609" t="s">
        <v>370</v>
      </c>
      <c r="J609" t="s">
        <v>371</v>
      </c>
      <c r="K609" t="s">
        <v>54</v>
      </c>
      <c r="L609">
        <v>1143378811</v>
      </c>
      <c r="M609" t="s">
        <v>372</v>
      </c>
      <c r="N609" t="s">
        <v>373</v>
      </c>
      <c r="O609" t="s">
        <v>109</v>
      </c>
      <c r="P609" t="s">
        <v>374</v>
      </c>
      <c r="Q609">
        <v>1143378811</v>
      </c>
      <c r="R609" t="s">
        <v>54</v>
      </c>
      <c r="S609">
        <v>32617036</v>
      </c>
      <c r="T609" t="s">
        <v>2159</v>
      </c>
      <c r="U609" t="s">
        <v>2698</v>
      </c>
      <c r="V609" t="s">
        <v>179</v>
      </c>
      <c r="W609" t="s">
        <v>3023</v>
      </c>
      <c r="X609" t="s">
        <v>120</v>
      </c>
      <c r="Y609" t="s">
        <v>121</v>
      </c>
      <c r="Z609">
        <v>12</v>
      </c>
      <c r="AA609" t="s">
        <v>65</v>
      </c>
      <c r="AB609" t="s">
        <v>56</v>
      </c>
      <c r="AC609" t="s">
        <v>56</v>
      </c>
      <c r="AD609">
        <v>0</v>
      </c>
      <c r="AE609" t="s">
        <v>66</v>
      </c>
      <c r="AF609" t="s">
        <v>56</v>
      </c>
      <c r="AG609" t="s">
        <v>56</v>
      </c>
      <c r="AH609" t="s">
        <v>56</v>
      </c>
      <c r="AI609" t="s">
        <v>56</v>
      </c>
      <c r="AJ609" t="s">
        <v>356</v>
      </c>
      <c r="AK609" t="s">
        <v>357</v>
      </c>
      <c r="AL609" t="s">
        <v>255</v>
      </c>
      <c r="AM609" t="s">
        <v>256</v>
      </c>
      <c r="AN609" t="s">
        <v>56</v>
      </c>
      <c r="AO609" t="s">
        <v>56</v>
      </c>
      <c r="AP609" t="s">
        <v>56</v>
      </c>
      <c r="AQ609" t="s">
        <v>71</v>
      </c>
      <c r="AR609" t="s">
        <v>56</v>
      </c>
      <c r="AS609" t="s">
        <v>56</v>
      </c>
      <c r="AT609" t="s">
        <v>56</v>
      </c>
      <c r="AU609" t="s">
        <v>56</v>
      </c>
      <c r="AV609" t="s">
        <v>56</v>
      </c>
      <c r="AW609" t="s">
        <v>56</v>
      </c>
      <c r="AX609">
        <v>4</v>
      </c>
    </row>
    <row r="610" spans="1:50" x14ac:dyDescent="0.25">
      <c r="A610" t="str">
        <f>"20200127192017041836"</f>
        <v>20200127192017041836</v>
      </c>
      <c r="B610" t="s">
        <v>190</v>
      </c>
      <c r="C610" t="s">
        <v>190</v>
      </c>
      <c r="D610" t="s">
        <v>3024</v>
      </c>
      <c r="E610" t="str">
        <f>"761470851601"</f>
        <v>761470851601</v>
      </c>
      <c r="F610" t="s">
        <v>52</v>
      </c>
      <c r="G610">
        <v>900472731</v>
      </c>
      <c r="H610">
        <v>76147</v>
      </c>
      <c r="I610" t="s">
        <v>53</v>
      </c>
      <c r="J610">
        <v>2146686</v>
      </c>
      <c r="K610" t="s">
        <v>54</v>
      </c>
      <c r="L610">
        <v>10110853</v>
      </c>
      <c r="M610" t="s">
        <v>897</v>
      </c>
      <c r="N610" t="s">
        <v>291</v>
      </c>
      <c r="O610" t="s">
        <v>1962</v>
      </c>
      <c r="P610" t="s">
        <v>2466</v>
      </c>
      <c r="Q610">
        <v>1217</v>
      </c>
      <c r="R610" t="s">
        <v>54</v>
      </c>
      <c r="S610">
        <v>21134165</v>
      </c>
      <c r="T610" t="s">
        <v>504</v>
      </c>
      <c r="U610" t="s">
        <v>600</v>
      </c>
      <c r="V610" t="s">
        <v>63</v>
      </c>
      <c r="W610" t="s">
        <v>1922</v>
      </c>
      <c r="X610" t="s">
        <v>277</v>
      </c>
      <c r="Y610" t="s">
        <v>64</v>
      </c>
      <c r="Z610">
        <v>12</v>
      </c>
      <c r="AA610" t="s">
        <v>65</v>
      </c>
      <c r="AB610" t="s">
        <v>56</v>
      </c>
      <c r="AC610" t="s">
        <v>56</v>
      </c>
      <c r="AD610">
        <v>0</v>
      </c>
      <c r="AE610" t="s">
        <v>66</v>
      </c>
      <c r="AF610" t="s">
        <v>56</v>
      </c>
      <c r="AG610" t="s">
        <v>56</v>
      </c>
      <c r="AH610" t="s">
        <v>56</v>
      </c>
      <c r="AI610" t="s">
        <v>56</v>
      </c>
      <c r="AJ610" t="s">
        <v>509</v>
      </c>
      <c r="AK610" t="s">
        <v>510</v>
      </c>
      <c r="AL610" t="s">
        <v>3025</v>
      </c>
      <c r="AM610" t="s">
        <v>3026</v>
      </c>
      <c r="AN610" t="s">
        <v>56</v>
      </c>
      <c r="AO610" t="s">
        <v>56</v>
      </c>
      <c r="AP610" t="s">
        <v>56</v>
      </c>
      <c r="AQ610" t="s">
        <v>71</v>
      </c>
      <c r="AR610" t="s">
        <v>56</v>
      </c>
      <c r="AS610" t="s">
        <v>56</v>
      </c>
      <c r="AT610" t="s">
        <v>56</v>
      </c>
      <c r="AU610" t="s">
        <v>56</v>
      </c>
      <c r="AV610" t="s">
        <v>56</v>
      </c>
      <c r="AW610" t="s">
        <v>56</v>
      </c>
      <c r="AX610">
        <v>4</v>
      </c>
    </row>
    <row r="611" spans="1:50" x14ac:dyDescent="0.25">
      <c r="A611" t="str">
        <f>"20200127123017042113"</f>
        <v>20200127123017042113</v>
      </c>
      <c r="B611" t="s">
        <v>190</v>
      </c>
      <c r="C611" t="s">
        <v>190</v>
      </c>
      <c r="D611" t="s">
        <v>3027</v>
      </c>
      <c r="E611" t="str">
        <f>"761470851601"</f>
        <v>761470851601</v>
      </c>
      <c r="F611" t="s">
        <v>52</v>
      </c>
      <c r="G611">
        <v>900472731</v>
      </c>
      <c r="H611">
        <v>76147</v>
      </c>
      <c r="I611" t="s">
        <v>53</v>
      </c>
      <c r="J611">
        <v>2146686</v>
      </c>
      <c r="K611" t="s">
        <v>54</v>
      </c>
      <c r="L611">
        <v>10110853</v>
      </c>
      <c r="M611" t="s">
        <v>897</v>
      </c>
      <c r="N611" t="s">
        <v>291</v>
      </c>
      <c r="O611" t="s">
        <v>1962</v>
      </c>
      <c r="P611" t="s">
        <v>2466</v>
      </c>
      <c r="Q611">
        <v>1217</v>
      </c>
      <c r="R611" t="s">
        <v>54</v>
      </c>
      <c r="S611">
        <v>21134165</v>
      </c>
      <c r="T611" t="s">
        <v>504</v>
      </c>
      <c r="U611" t="s">
        <v>600</v>
      </c>
      <c r="V611" t="s">
        <v>63</v>
      </c>
      <c r="W611" t="s">
        <v>1922</v>
      </c>
      <c r="X611" t="s">
        <v>277</v>
      </c>
      <c r="Y611" t="s">
        <v>64</v>
      </c>
      <c r="Z611">
        <v>12</v>
      </c>
      <c r="AA611" t="s">
        <v>65</v>
      </c>
      <c r="AB611" t="s">
        <v>56</v>
      </c>
      <c r="AC611" t="s">
        <v>56</v>
      </c>
      <c r="AD611">
        <v>0</v>
      </c>
      <c r="AE611" t="s">
        <v>66</v>
      </c>
      <c r="AF611" t="s">
        <v>56</v>
      </c>
      <c r="AG611" t="s">
        <v>56</v>
      </c>
      <c r="AH611" t="s">
        <v>56</v>
      </c>
      <c r="AI611" t="s">
        <v>56</v>
      </c>
      <c r="AJ611" t="s">
        <v>3028</v>
      </c>
      <c r="AK611" t="s">
        <v>3029</v>
      </c>
      <c r="AL611" t="s">
        <v>56</v>
      </c>
      <c r="AM611" t="s">
        <v>56</v>
      </c>
      <c r="AN611" t="s">
        <v>56</v>
      </c>
      <c r="AO611" t="s">
        <v>56</v>
      </c>
      <c r="AP611" t="s">
        <v>56</v>
      </c>
      <c r="AQ611" t="s">
        <v>71</v>
      </c>
      <c r="AR611" t="s">
        <v>56</v>
      </c>
      <c r="AS611" t="s">
        <v>56</v>
      </c>
      <c r="AT611" t="s">
        <v>56</v>
      </c>
      <c r="AU611" t="s">
        <v>56</v>
      </c>
      <c r="AV611" t="s">
        <v>56</v>
      </c>
      <c r="AW611" t="s">
        <v>56</v>
      </c>
      <c r="AX611">
        <v>4</v>
      </c>
    </row>
    <row r="612" spans="1:50" x14ac:dyDescent="0.25">
      <c r="A612" t="str">
        <f>"20200130133017139900"</f>
        <v>20200130133017139900</v>
      </c>
      <c r="B612" t="s">
        <v>124</v>
      </c>
      <c r="C612" t="s">
        <v>124</v>
      </c>
      <c r="D612" t="s">
        <v>3030</v>
      </c>
      <c r="E612" t="str">
        <f>"134300049201"</f>
        <v>134300049201</v>
      </c>
      <c r="F612" t="s">
        <v>52</v>
      </c>
      <c r="G612">
        <v>900196347</v>
      </c>
      <c r="H612">
        <v>13430</v>
      </c>
      <c r="I612" t="s">
        <v>174</v>
      </c>
      <c r="J612" t="s">
        <v>175</v>
      </c>
      <c r="K612" t="s">
        <v>54</v>
      </c>
      <c r="L612">
        <v>73578467</v>
      </c>
      <c r="M612" t="s">
        <v>192</v>
      </c>
      <c r="N612" t="s">
        <v>94</v>
      </c>
      <c r="O612" t="s">
        <v>193</v>
      </c>
      <c r="P612" t="s">
        <v>194</v>
      </c>
      <c r="Q612">
        <v>130403</v>
      </c>
      <c r="R612" t="s">
        <v>54</v>
      </c>
      <c r="S612">
        <v>73239047</v>
      </c>
      <c r="T612" t="s">
        <v>596</v>
      </c>
      <c r="U612" t="s">
        <v>62</v>
      </c>
      <c r="V612" t="s">
        <v>1194</v>
      </c>
      <c r="W612" t="s">
        <v>3031</v>
      </c>
      <c r="X612" t="s">
        <v>264</v>
      </c>
      <c r="Y612" t="s">
        <v>101</v>
      </c>
      <c r="Z612">
        <v>22</v>
      </c>
      <c r="AA612" t="s">
        <v>102</v>
      </c>
      <c r="AB612">
        <v>0</v>
      </c>
      <c r="AC612" t="s">
        <v>66</v>
      </c>
      <c r="AD612">
        <v>0</v>
      </c>
      <c r="AE612" t="s">
        <v>66</v>
      </c>
      <c r="AF612" t="s">
        <v>56</v>
      </c>
      <c r="AG612" t="s">
        <v>56</v>
      </c>
      <c r="AH612" t="s">
        <v>56</v>
      </c>
      <c r="AI612" t="s">
        <v>56</v>
      </c>
      <c r="AJ612" t="s">
        <v>3032</v>
      </c>
      <c r="AK612" t="s">
        <v>3033</v>
      </c>
      <c r="AL612" t="s">
        <v>56</v>
      </c>
      <c r="AM612" t="s">
        <v>56</v>
      </c>
      <c r="AN612" t="s">
        <v>56</v>
      </c>
      <c r="AO612" t="s">
        <v>56</v>
      </c>
      <c r="AP612" t="s">
        <v>56</v>
      </c>
      <c r="AQ612" t="s">
        <v>71</v>
      </c>
      <c r="AR612" t="s">
        <v>56</v>
      </c>
      <c r="AS612" t="s">
        <v>56</v>
      </c>
      <c r="AT612" t="s">
        <v>56</v>
      </c>
      <c r="AU612" t="s">
        <v>56</v>
      </c>
      <c r="AV612" t="s">
        <v>56</v>
      </c>
      <c r="AW612" t="s">
        <v>56</v>
      </c>
      <c r="AX612">
        <v>4</v>
      </c>
    </row>
    <row r="613" spans="1:50" x14ac:dyDescent="0.25">
      <c r="A613" t="str">
        <f>"20200127113017062241"</f>
        <v>20200127113017062241</v>
      </c>
      <c r="B613" t="s">
        <v>190</v>
      </c>
      <c r="C613" t="s">
        <v>190</v>
      </c>
      <c r="D613" t="s">
        <v>3034</v>
      </c>
      <c r="E613" t="str">
        <f>"080010003601"</f>
        <v>080010003601</v>
      </c>
      <c r="F613" t="s">
        <v>52</v>
      </c>
      <c r="G613">
        <v>802000955</v>
      </c>
      <c r="H613" t="s">
        <v>112</v>
      </c>
      <c r="I613" t="s">
        <v>218</v>
      </c>
      <c r="J613" t="s">
        <v>56</v>
      </c>
      <c r="K613" t="s">
        <v>54</v>
      </c>
      <c r="L613">
        <v>1045754222</v>
      </c>
      <c r="M613" t="s">
        <v>607</v>
      </c>
      <c r="N613" t="s">
        <v>117</v>
      </c>
      <c r="O613" t="s">
        <v>608</v>
      </c>
      <c r="P613" t="s">
        <v>528</v>
      </c>
      <c r="Q613">
        <v>1045754222</v>
      </c>
      <c r="R613" t="s">
        <v>54</v>
      </c>
      <c r="S613">
        <v>825335</v>
      </c>
      <c r="T613" t="s">
        <v>1117</v>
      </c>
      <c r="U613" t="s">
        <v>251</v>
      </c>
      <c r="V613" t="s">
        <v>3035</v>
      </c>
      <c r="W613" t="s">
        <v>801</v>
      </c>
      <c r="X613" t="s">
        <v>120</v>
      </c>
      <c r="Y613" t="s">
        <v>121</v>
      </c>
      <c r="Z613">
        <v>12</v>
      </c>
      <c r="AA613" t="s">
        <v>65</v>
      </c>
      <c r="AB613" t="s">
        <v>56</v>
      </c>
      <c r="AC613" t="s">
        <v>56</v>
      </c>
      <c r="AD613">
        <v>0</v>
      </c>
      <c r="AE613" t="s">
        <v>66</v>
      </c>
      <c r="AF613" t="s">
        <v>56</v>
      </c>
      <c r="AG613" t="s">
        <v>56</v>
      </c>
      <c r="AH613" t="s">
        <v>56</v>
      </c>
      <c r="AI613" t="s">
        <v>56</v>
      </c>
      <c r="AJ613" t="s">
        <v>536</v>
      </c>
      <c r="AK613" t="s">
        <v>537</v>
      </c>
      <c r="AL613" t="s">
        <v>56</v>
      </c>
      <c r="AM613" t="s">
        <v>56</v>
      </c>
      <c r="AN613" t="s">
        <v>56</v>
      </c>
      <c r="AO613" t="s">
        <v>56</v>
      </c>
      <c r="AP613" t="s">
        <v>56</v>
      </c>
      <c r="AQ613" t="s">
        <v>71</v>
      </c>
      <c r="AR613" t="s">
        <v>56</v>
      </c>
      <c r="AS613" t="s">
        <v>56</v>
      </c>
      <c r="AT613" t="s">
        <v>56</v>
      </c>
      <c r="AU613" t="s">
        <v>56</v>
      </c>
      <c r="AV613" t="s">
        <v>56</v>
      </c>
      <c r="AW613" t="s">
        <v>56</v>
      </c>
      <c r="AX613">
        <v>4</v>
      </c>
    </row>
    <row r="614" spans="1:50" x14ac:dyDescent="0.25">
      <c r="A614" t="str">
        <f>"20200129117017098464"</f>
        <v>20200129117017098464</v>
      </c>
      <c r="B614" t="s">
        <v>72</v>
      </c>
      <c r="C614" t="s">
        <v>72</v>
      </c>
      <c r="D614" t="s">
        <v>3036</v>
      </c>
      <c r="E614" t="str">
        <f>"080010349401"</f>
        <v>080010349401</v>
      </c>
      <c r="F614" t="s">
        <v>52</v>
      </c>
      <c r="G614">
        <v>900458308</v>
      </c>
      <c r="H614" t="s">
        <v>112</v>
      </c>
      <c r="I614" t="s">
        <v>370</v>
      </c>
      <c r="J614" t="s">
        <v>371</v>
      </c>
      <c r="K614" t="s">
        <v>54</v>
      </c>
      <c r="L614">
        <v>1143378811</v>
      </c>
      <c r="M614" t="s">
        <v>372</v>
      </c>
      <c r="N614" t="s">
        <v>373</v>
      </c>
      <c r="O614" t="s">
        <v>109</v>
      </c>
      <c r="P614" t="s">
        <v>374</v>
      </c>
      <c r="Q614">
        <v>1143378811</v>
      </c>
      <c r="R614" t="s">
        <v>54</v>
      </c>
      <c r="S614">
        <v>7431328</v>
      </c>
      <c r="T614" t="s">
        <v>1841</v>
      </c>
      <c r="U614" t="s">
        <v>132</v>
      </c>
      <c r="V614" t="s">
        <v>406</v>
      </c>
      <c r="W614" t="s">
        <v>376</v>
      </c>
      <c r="X614" t="s">
        <v>299</v>
      </c>
      <c r="Y614" t="s">
        <v>121</v>
      </c>
      <c r="Z614">
        <v>12</v>
      </c>
      <c r="AA614" t="s">
        <v>65</v>
      </c>
      <c r="AB614" t="s">
        <v>56</v>
      </c>
      <c r="AC614" t="s">
        <v>56</v>
      </c>
      <c r="AD614">
        <v>0</v>
      </c>
      <c r="AE614" t="s">
        <v>66</v>
      </c>
      <c r="AF614" t="s">
        <v>56</v>
      </c>
      <c r="AG614" t="s">
        <v>56</v>
      </c>
      <c r="AH614" t="s">
        <v>56</v>
      </c>
      <c r="AI614" t="s">
        <v>56</v>
      </c>
      <c r="AJ614" t="s">
        <v>2195</v>
      </c>
      <c r="AK614" t="s">
        <v>2196</v>
      </c>
      <c r="AL614" t="s">
        <v>56</v>
      </c>
      <c r="AM614" t="s">
        <v>56</v>
      </c>
      <c r="AN614" t="s">
        <v>56</v>
      </c>
      <c r="AO614" t="s">
        <v>56</v>
      </c>
      <c r="AP614" t="s">
        <v>56</v>
      </c>
      <c r="AQ614" t="s">
        <v>71</v>
      </c>
      <c r="AR614" t="s">
        <v>56</v>
      </c>
      <c r="AS614" t="s">
        <v>56</v>
      </c>
      <c r="AT614" t="s">
        <v>56</v>
      </c>
      <c r="AU614" t="s">
        <v>56</v>
      </c>
      <c r="AV614" t="s">
        <v>56</v>
      </c>
      <c r="AW614" t="s">
        <v>56</v>
      </c>
      <c r="AX614">
        <v>4</v>
      </c>
    </row>
    <row r="615" spans="1:50" x14ac:dyDescent="0.25">
      <c r="A615" t="str">
        <f>"20200127117017067646"</f>
        <v>20200127117017067646</v>
      </c>
      <c r="B615" t="s">
        <v>190</v>
      </c>
      <c r="C615" t="s">
        <v>190</v>
      </c>
      <c r="D615" t="s">
        <v>3037</v>
      </c>
      <c r="E615" t="str">
        <f>"200010001801"</f>
        <v>200010001801</v>
      </c>
      <c r="F615" t="s">
        <v>52</v>
      </c>
      <c r="G615">
        <v>900008328</v>
      </c>
      <c r="H615">
        <v>20001</v>
      </c>
      <c r="I615" t="s">
        <v>336</v>
      </c>
      <c r="J615" t="s">
        <v>337</v>
      </c>
      <c r="K615" t="s">
        <v>54</v>
      </c>
      <c r="L615">
        <v>5135376</v>
      </c>
      <c r="M615" t="s">
        <v>514</v>
      </c>
      <c r="N615" t="s">
        <v>515</v>
      </c>
      <c r="O615" t="s">
        <v>516</v>
      </c>
      <c r="P615" t="s">
        <v>517</v>
      </c>
      <c r="Q615">
        <v>200461</v>
      </c>
      <c r="R615" t="s">
        <v>440</v>
      </c>
      <c r="S615">
        <v>1137880959</v>
      </c>
      <c r="T615" t="s">
        <v>3038</v>
      </c>
      <c r="U615" t="s">
        <v>3039</v>
      </c>
      <c r="V615" t="s">
        <v>3040</v>
      </c>
      <c r="W615" t="s">
        <v>61</v>
      </c>
      <c r="X615" t="s">
        <v>148</v>
      </c>
      <c r="Y615" t="s">
        <v>86</v>
      </c>
      <c r="Z615">
        <v>12</v>
      </c>
      <c r="AA615" t="s">
        <v>65</v>
      </c>
      <c r="AB615" t="s">
        <v>56</v>
      </c>
      <c r="AC615" t="s">
        <v>56</v>
      </c>
      <c r="AD615">
        <v>0</v>
      </c>
      <c r="AE615" t="s">
        <v>66</v>
      </c>
      <c r="AF615" t="s">
        <v>56</v>
      </c>
      <c r="AG615" t="s">
        <v>56</v>
      </c>
      <c r="AH615" t="s">
        <v>56</v>
      </c>
      <c r="AI615" t="s">
        <v>56</v>
      </c>
      <c r="AJ615" t="s">
        <v>122</v>
      </c>
      <c r="AK615" t="s">
        <v>123</v>
      </c>
      <c r="AL615" t="s">
        <v>56</v>
      </c>
      <c r="AM615" t="s">
        <v>56</v>
      </c>
      <c r="AN615" t="s">
        <v>56</v>
      </c>
      <c r="AO615" t="s">
        <v>56</v>
      </c>
      <c r="AP615" t="s">
        <v>56</v>
      </c>
      <c r="AQ615" t="s">
        <v>71</v>
      </c>
      <c r="AR615" t="s">
        <v>56</v>
      </c>
      <c r="AS615" t="s">
        <v>56</v>
      </c>
      <c r="AT615" t="s">
        <v>56</v>
      </c>
      <c r="AU615" t="s">
        <v>56</v>
      </c>
      <c r="AV615" t="s">
        <v>56</v>
      </c>
      <c r="AW615" t="s">
        <v>56</v>
      </c>
      <c r="AX615">
        <v>4</v>
      </c>
    </row>
    <row r="616" spans="1:50" x14ac:dyDescent="0.25">
      <c r="A616" t="str">
        <f>"20200124183017008445"</f>
        <v>20200124183017008445</v>
      </c>
      <c r="B616" t="s">
        <v>201</v>
      </c>
      <c r="C616" t="s">
        <v>201</v>
      </c>
      <c r="D616" t="s">
        <v>3041</v>
      </c>
      <c r="E616" t="str">
        <f>"080010054401"</f>
        <v>080010054401</v>
      </c>
      <c r="F616" t="s">
        <v>52</v>
      </c>
      <c r="G616">
        <v>800194798</v>
      </c>
      <c r="H616" t="s">
        <v>112</v>
      </c>
      <c r="I616" t="s">
        <v>616</v>
      </c>
      <c r="J616" t="s">
        <v>56</v>
      </c>
      <c r="K616" t="s">
        <v>54</v>
      </c>
      <c r="L616">
        <v>1128127284</v>
      </c>
      <c r="M616" t="s">
        <v>972</v>
      </c>
      <c r="N616" t="s">
        <v>59</v>
      </c>
      <c r="O616" t="s">
        <v>973</v>
      </c>
      <c r="P616" t="s">
        <v>974</v>
      </c>
      <c r="Q616" t="s">
        <v>975</v>
      </c>
      <c r="R616" t="s">
        <v>54</v>
      </c>
      <c r="S616">
        <v>22343476</v>
      </c>
      <c r="T616" t="s">
        <v>934</v>
      </c>
      <c r="U616" t="s">
        <v>296</v>
      </c>
      <c r="V616" t="s">
        <v>1911</v>
      </c>
      <c r="W616" t="s">
        <v>3042</v>
      </c>
      <c r="X616" t="s">
        <v>1563</v>
      </c>
      <c r="Y616" t="s">
        <v>345</v>
      </c>
      <c r="Z616">
        <v>22</v>
      </c>
      <c r="AA616" t="s">
        <v>102</v>
      </c>
      <c r="AB616">
        <v>0</v>
      </c>
      <c r="AC616" t="s">
        <v>66</v>
      </c>
      <c r="AD616">
        <v>0</v>
      </c>
      <c r="AE616" t="s">
        <v>66</v>
      </c>
      <c r="AF616" t="s">
        <v>56</v>
      </c>
      <c r="AG616" t="s">
        <v>56</v>
      </c>
      <c r="AH616" t="s">
        <v>56</v>
      </c>
      <c r="AI616" t="s">
        <v>56</v>
      </c>
      <c r="AJ616" t="s">
        <v>760</v>
      </c>
      <c r="AK616" t="s">
        <v>761</v>
      </c>
      <c r="AL616" t="s">
        <v>333</v>
      </c>
      <c r="AM616" t="s">
        <v>334</v>
      </c>
      <c r="AN616" t="s">
        <v>56</v>
      </c>
      <c r="AO616" t="s">
        <v>56</v>
      </c>
      <c r="AP616" t="s">
        <v>56</v>
      </c>
      <c r="AQ616" t="s">
        <v>71</v>
      </c>
      <c r="AR616" t="s">
        <v>56</v>
      </c>
      <c r="AS616" t="s">
        <v>56</v>
      </c>
      <c r="AT616" t="s">
        <v>56</v>
      </c>
      <c r="AU616" t="s">
        <v>56</v>
      </c>
      <c r="AV616" t="s">
        <v>56</v>
      </c>
      <c r="AW616" t="s">
        <v>56</v>
      </c>
      <c r="AX616">
        <v>4</v>
      </c>
    </row>
    <row r="617" spans="1:50" x14ac:dyDescent="0.25">
      <c r="A617" t="str">
        <f>"20200124113017008891"</f>
        <v>20200124113017008891</v>
      </c>
      <c r="B617" t="s">
        <v>201</v>
      </c>
      <c r="C617" t="s">
        <v>201</v>
      </c>
      <c r="D617" t="s">
        <v>3043</v>
      </c>
      <c r="E617" t="str">
        <f>"130010256801"</f>
        <v>130010256801</v>
      </c>
      <c r="F617" t="s">
        <v>52</v>
      </c>
      <c r="G617">
        <v>900602320</v>
      </c>
      <c r="H617">
        <v>13001</v>
      </c>
      <c r="I617" t="s">
        <v>418</v>
      </c>
      <c r="J617">
        <v>3145960813</v>
      </c>
      <c r="K617" t="s">
        <v>54</v>
      </c>
      <c r="L617">
        <v>57417649</v>
      </c>
      <c r="M617" t="s">
        <v>419</v>
      </c>
      <c r="N617" t="s">
        <v>420</v>
      </c>
      <c r="O617" t="s">
        <v>421</v>
      </c>
      <c r="P617" t="s">
        <v>207</v>
      </c>
      <c r="Q617" t="s">
        <v>422</v>
      </c>
      <c r="R617" t="s">
        <v>237</v>
      </c>
      <c r="S617">
        <v>1143348997</v>
      </c>
      <c r="T617" t="s">
        <v>3044</v>
      </c>
      <c r="U617" t="s">
        <v>205</v>
      </c>
      <c r="V617" t="s">
        <v>99</v>
      </c>
      <c r="W617" t="s">
        <v>3045</v>
      </c>
      <c r="X617" t="s">
        <v>427</v>
      </c>
      <c r="Y617" t="s">
        <v>101</v>
      </c>
      <c r="Z617">
        <v>11</v>
      </c>
      <c r="AA617" t="s">
        <v>87</v>
      </c>
      <c r="AB617" t="s">
        <v>56</v>
      </c>
      <c r="AC617" t="s">
        <v>56</v>
      </c>
      <c r="AD617">
        <v>0</v>
      </c>
      <c r="AE617" t="s">
        <v>66</v>
      </c>
      <c r="AF617" t="s">
        <v>56</v>
      </c>
      <c r="AG617" t="s">
        <v>56</v>
      </c>
      <c r="AH617" t="s">
        <v>56</v>
      </c>
      <c r="AI617" t="s">
        <v>56</v>
      </c>
      <c r="AJ617" t="s">
        <v>1489</v>
      </c>
      <c r="AK617" t="s">
        <v>1490</v>
      </c>
      <c r="AL617" t="s">
        <v>2646</v>
      </c>
      <c r="AM617" t="s">
        <v>2647</v>
      </c>
      <c r="AN617" t="s">
        <v>56</v>
      </c>
      <c r="AO617" t="s">
        <v>56</v>
      </c>
      <c r="AP617" t="s">
        <v>56</v>
      </c>
      <c r="AQ617" t="s">
        <v>71</v>
      </c>
      <c r="AR617" t="s">
        <v>56</v>
      </c>
      <c r="AS617" t="s">
        <v>56</v>
      </c>
      <c r="AT617" t="s">
        <v>56</v>
      </c>
      <c r="AU617" t="s">
        <v>56</v>
      </c>
      <c r="AV617" t="s">
        <v>56</v>
      </c>
      <c r="AW617" t="s">
        <v>56</v>
      </c>
      <c r="AX617">
        <v>4</v>
      </c>
    </row>
    <row r="618" spans="1:50" x14ac:dyDescent="0.25">
      <c r="A618" t="str">
        <f>"20200130130017149429"</f>
        <v>20200130130017149429</v>
      </c>
      <c r="B618" t="s">
        <v>124</v>
      </c>
      <c r="C618" t="s">
        <v>124</v>
      </c>
      <c r="D618" t="s">
        <v>3046</v>
      </c>
      <c r="E618" t="str">
        <f>"761470728201"</f>
        <v>761470728201</v>
      </c>
      <c r="F618" t="s">
        <v>52</v>
      </c>
      <c r="G618">
        <v>900247710</v>
      </c>
      <c r="H618">
        <v>76147</v>
      </c>
      <c r="I618" t="s">
        <v>526</v>
      </c>
      <c r="J618">
        <v>2108988</v>
      </c>
      <c r="K618" t="s">
        <v>54</v>
      </c>
      <c r="L618">
        <v>16684482</v>
      </c>
      <c r="M618" t="s">
        <v>870</v>
      </c>
      <c r="N618" t="s">
        <v>1091</v>
      </c>
      <c r="O618" t="s">
        <v>1092</v>
      </c>
      <c r="P618" t="s">
        <v>1093</v>
      </c>
      <c r="Q618">
        <v>90490</v>
      </c>
      <c r="R618" t="s">
        <v>54</v>
      </c>
      <c r="S618">
        <v>31411572</v>
      </c>
      <c r="T618" t="s">
        <v>3047</v>
      </c>
      <c r="U618" t="s">
        <v>1444</v>
      </c>
      <c r="V618" t="s">
        <v>472</v>
      </c>
      <c r="W618" t="s">
        <v>324</v>
      </c>
      <c r="X618" t="s">
        <v>277</v>
      </c>
      <c r="Y618" t="s">
        <v>64</v>
      </c>
      <c r="Z618">
        <v>12</v>
      </c>
      <c r="AA618" t="s">
        <v>65</v>
      </c>
      <c r="AB618" t="s">
        <v>56</v>
      </c>
      <c r="AC618" t="s">
        <v>56</v>
      </c>
      <c r="AD618">
        <v>0</v>
      </c>
      <c r="AE618" t="s">
        <v>66</v>
      </c>
      <c r="AF618" t="s">
        <v>56</v>
      </c>
      <c r="AG618" t="s">
        <v>56</v>
      </c>
      <c r="AH618" t="s">
        <v>56</v>
      </c>
      <c r="AI618" t="s">
        <v>56</v>
      </c>
      <c r="AJ618" t="s">
        <v>2050</v>
      </c>
      <c r="AK618" t="s">
        <v>2051</v>
      </c>
      <c r="AL618" t="s">
        <v>56</v>
      </c>
      <c r="AM618" t="s">
        <v>56</v>
      </c>
      <c r="AN618" t="s">
        <v>56</v>
      </c>
      <c r="AO618" t="s">
        <v>56</v>
      </c>
      <c r="AP618" t="s">
        <v>56</v>
      </c>
      <c r="AQ618" t="s">
        <v>71</v>
      </c>
      <c r="AR618" t="s">
        <v>56</v>
      </c>
      <c r="AS618" t="s">
        <v>56</v>
      </c>
      <c r="AT618" t="s">
        <v>56</v>
      </c>
      <c r="AU618" t="s">
        <v>56</v>
      </c>
      <c r="AV618" t="s">
        <v>56</v>
      </c>
      <c r="AW618" t="s">
        <v>56</v>
      </c>
      <c r="AX618">
        <v>4</v>
      </c>
    </row>
    <row r="619" spans="1:50" x14ac:dyDescent="0.25">
      <c r="A619" t="str">
        <f>"20200201117017183734"</f>
        <v>20200201117017183734</v>
      </c>
      <c r="B619" t="s">
        <v>50</v>
      </c>
      <c r="C619" t="s">
        <v>50</v>
      </c>
      <c r="D619" t="s">
        <v>3048</v>
      </c>
      <c r="E619" t="str">
        <f>"080010003601"</f>
        <v>080010003601</v>
      </c>
      <c r="F619" t="s">
        <v>52</v>
      </c>
      <c r="G619">
        <v>802000955</v>
      </c>
      <c r="H619" t="s">
        <v>112</v>
      </c>
      <c r="I619" t="s">
        <v>218</v>
      </c>
      <c r="J619" t="s">
        <v>56</v>
      </c>
      <c r="K619" t="s">
        <v>54</v>
      </c>
      <c r="L619">
        <v>85472859</v>
      </c>
      <c r="M619" t="s">
        <v>897</v>
      </c>
      <c r="N619" t="s">
        <v>76</v>
      </c>
      <c r="O619" t="s">
        <v>1735</v>
      </c>
      <c r="P619" t="s">
        <v>1736</v>
      </c>
      <c r="Q619" t="s">
        <v>1737</v>
      </c>
      <c r="R619" t="s">
        <v>54</v>
      </c>
      <c r="S619">
        <v>22493749</v>
      </c>
      <c r="T619" t="s">
        <v>3049</v>
      </c>
      <c r="U619" t="s">
        <v>1307</v>
      </c>
      <c r="V619" t="s">
        <v>2522</v>
      </c>
      <c r="W619" t="s">
        <v>2221</v>
      </c>
      <c r="X619" t="s">
        <v>120</v>
      </c>
      <c r="Y619" t="s">
        <v>121</v>
      </c>
      <c r="Z619">
        <v>12</v>
      </c>
      <c r="AA619" t="s">
        <v>65</v>
      </c>
      <c r="AB619" t="s">
        <v>56</v>
      </c>
      <c r="AC619" t="s">
        <v>56</v>
      </c>
      <c r="AD619">
        <v>0</v>
      </c>
      <c r="AE619" t="s">
        <v>66</v>
      </c>
      <c r="AF619" t="s">
        <v>56</v>
      </c>
      <c r="AG619" t="s">
        <v>56</v>
      </c>
      <c r="AH619" t="s">
        <v>56</v>
      </c>
      <c r="AI619" t="s">
        <v>56</v>
      </c>
      <c r="AJ619" t="s">
        <v>536</v>
      </c>
      <c r="AK619" t="s">
        <v>537</v>
      </c>
      <c r="AL619" t="s">
        <v>745</v>
      </c>
      <c r="AM619" t="s">
        <v>746</v>
      </c>
      <c r="AN619" t="s">
        <v>56</v>
      </c>
      <c r="AO619" t="s">
        <v>56</v>
      </c>
      <c r="AP619" t="s">
        <v>56</v>
      </c>
      <c r="AQ619" t="s">
        <v>71</v>
      </c>
      <c r="AR619" t="s">
        <v>56</v>
      </c>
      <c r="AS619" t="s">
        <v>56</v>
      </c>
      <c r="AT619" t="s">
        <v>56</v>
      </c>
      <c r="AU619" t="s">
        <v>56</v>
      </c>
      <c r="AV619" t="s">
        <v>56</v>
      </c>
      <c r="AW619" t="s">
        <v>56</v>
      </c>
      <c r="AX619">
        <v>4</v>
      </c>
    </row>
    <row r="620" spans="1:50" x14ac:dyDescent="0.25">
      <c r="A620" t="str">
        <f>"20200129174017111565"</f>
        <v>20200129174017111565</v>
      </c>
      <c r="B620" t="s">
        <v>72</v>
      </c>
      <c r="C620" t="s">
        <v>72</v>
      </c>
      <c r="D620" t="s">
        <v>2494</v>
      </c>
      <c r="E620" t="str">
        <f>"110010606501"</f>
        <v>110010606501</v>
      </c>
      <c r="F620" t="s">
        <v>52</v>
      </c>
      <c r="G620">
        <v>899999092</v>
      </c>
      <c r="H620">
        <v>11001</v>
      </c>
      <c r="I620" t="s">
        <v>3050</v>
      </c>
      <c r="J620" t="s">
        <v>3051</v>
      </c>
      <c r="K620" t="s">
        <v>54</v>
      </c>
      <c r="L620">
        <v>79938250</v>
      </c>
      <c r="M620" t="s">
        <v>1492</v>
      </c>
      <c r="N620" t="s">
        <v>107</v>
      </c>
      <c r="O620" t="s">
        <v>3052</v>
      </c>
      <c r="P620" t="s">
        <v>327</v>
      </c>
      <c r="Q620">
        <v>1110100</v>
      </c>
      <c r="R620" t="s">
        <v>54</v>
      </c>
      <c r="S620">
        <v>42403452</v>
      </c>
      <c r="T620" t="s">
        <v>1617</v>
      </c>
      <c r="U620" t="s">
        <v>275</v>
      </c>
      <c r="V620" t="s">
        <v>3053</v>
      </c>
      <c r="W620" t="s">
        <v>472</v>
      </c>
      <c r="X620" t="s">
        <v>148</v>
      </c>
      <c r="Y620" t="s">
        <v>86</v>
      </c>
      <c r="Z620">
        <v>11</v>
      </c>
      <c r="AA620" t="s">
        <v>87</v>
      </c>
      <c r="AB620" t="s">
        <v>56</v>
      </c>
      <c r="AC620" t="s">
        <v>56</v>
      </c>
      <c r="AD620">
        <v>0</v>
      </c>
      <c r="AE620" t="s">
        <v>66</v>
      </c>
      <c r="AF620" t="s">
        <v>56</v>
      </c>
      <c r="AG620" t="s">
        <v>56</v>
      </c>
      <c r="AH620" t="s">
        <v>56</v>
      </c>
      <c r="AI620" t="s">
        <v>56</v>
      </c>
      <c r="AJ620" t="s">
        <v>3054</v>
      </c>
      <c r="AK620" t="s">
        <v>3055</v>
      </c>
      <c r="AL620" t="s">
        <v>56</v>
      </c>
      <c r="AM620" t="s">
        <v>56</v>
      </c>
      <c r="AN620" t="s">
        <v>56</v>
      </c>
      <c r="AO620" t="s">
        <v>56</v>
      </c>
      <c r="AP620" t="s">
        <v>56</v>
      </c>
      <c r="AQ620" t="s">
        <v>71</v>
      </c>
      <c r="AR620" t="s">
        <v>56</v>
      </c>
      <c r="AS620" t="s">
        <v>56</v>
      </c>
      <c r="AT620" t="s">
        <v>56</v>
      </c>
      <c r="AU620" t="s">
        <v>56</v>
      </c>
      <c r="AV620" t="s">
        <v>56</v>
      </c>
      <c r="AW620" t="s">
        <v>56</v>
      </c>
      <c r="AX620">
        <v>4</v>
      </c>
    </row>
    <row r="621" spans="1:50" x14ac:dyDescent="0.25">
      <c r="A621" t="str">
        <f>"20200128137017074973"</f>
        <v>20200128137017074973</v>
      </c>
      <c r="B621" t="s">
        <v>151</v>
      </c>
      <c r="C621" t="s">
        <v>151</v>
      </c>
      <c r="D621" t="s">
        <v>3056</v>
      </c>
      <c r="E621" t="str">
        <f>"764970165001"</f>
        <v>764970165001</v>
      </c>
      <c r="F621" t="s">
        <v>52</v>
      </c>
      <c r="G621">
        <v>891901041</v>
      </c>
      <c r="H621">
        <v>76497</v>
      </c>
      <c r="I621" t="s">
        <v>163</v>
      </c>
      <c r="J621">
        <v>2053111</v>
      </c>
      <c r="K621" t="s">
        <v>54</v>
      </c>
      <c r="L621">
        <v>1088338846</v>
      </c>
      <c r="M621" t="s">
        <v>117</v>
      </c>
      <c r="N621" t="s">
        <v>448</v>
      </c>
      <c r="O621" t="s">
        <v>1092</v>
      </c>
      <c r="P621" t="s">
        <v>392</v>
      </c>
      <c r="Q621">
        <v>1088338846</v>
      </c>
      <c r="R621" t="s">
        <v>54</v>
      </c>
      <c r="S621">
        <v>2587290</v>
      </c>
      <c r="T621" t="s">
        <v>164</v>
      </c>
      <c r="U621" t="s">
        <v>94</v>
      </c>
      <c r="V621" t="s">
        <v>3057</v>
      </c>
      <c r="W621" t="s">
        <v>3058</v>
      </c>
      <c r="X621" t="s">
        <v>63</v>
      </c>
      <c r="Y621" t="s">
        <v>64</v>
      </c>
      <c r="Z621">
        <v>11</v>
      </c>
      <c r="AA621" t="s">
        <v>87</v>
      </c>
      <c r="AB621" t="s">
        <v>56</v>
      </c>
      <c r="AC621" t="s">
        <v>56</v>
      </c>
      <c r="AD621">
        <v>0</v>
      </c>
      <c r="AE621" t="s">
        <v>66</v>
      </c>
      <c r="AF621" t="s">
        <v>56</v>
      </c>
      <c r="AG621" t="s">
        <v>56</v>
      </c>
      <c r="AH621" t="s">
        <v>56</v>
      </c>
      <c r="AI621" t="s">
        <v>56</v>
      </c>
      <c r="AJ621" t="s">
        <v>255</v>
      </c>
      <c r="AK621" t="s">
        <v>256</v>
      </c>
      <c r="AL621" t="s">
        <v>56</v>
      </c>
      <c r="AM621" t="s">
        <v>56</v>
      </c>
      <c r="AN621" t="s">
        <v>56</v>
      </c>
      <c r="AO621" t="s">
        <v>56</v>
      </c>
      <c r="AP621" t="s">
        <v>56</v>
      </c>
      <c r="AQ621" t="s">
        <v>71</v>
      </c>
      <c r="AR621" t="s">
        <v>56</v>
      </c>
      <c r="AS621" t="s">
        <v>56</v>
      </c>
      <c r="AT621" t="s">
        <v>56</v>
      </c>
      <c r="AU621" t="s">
        <v>56</v>
      </c>
      <c r="AV621" t="s">
        <v>56</v>
      </c>
      <c r="AW621" t="s">
        <v>56</v>
      </c>
      <c r="AX621">
        <v>4</v>
      </c>
    </row>
    <row r="622" spans="1:50" x14ac:dyDescent="0.25">
      <c r="A622" t="str">
        <f>"20200128118017090667"</f>
        <v>20200128118017090667</v>
      </c>
      <c r="B622" t="s">
        <v>151</v>
      </c>
      <c r="C622" t="s">
        <v>151</v>
      </c>
      <c r="D622" t="s">
        <v>3059</v>
      </c>
      <c r="E622" t="str">
        <f>"080010330401"</f>
        <v>080010330401</v>
      </c>
      <c r="F622" t="s">
        <v>52</v>
      </c>
      <c r="G622">
        <v>802014564</v>
      </c>
      <c r="H622" t="s">
        <v>112</v>
      </c>
      <c r="I622" t="s">
        <v>933</v>
      </c>
      <c r="J622">
        <v>3575814</v>
      </c>
      <c r="K622" t="s">
        <v>54</v>
      </c>
      <c r="L622">
        <v>7461593</v>
      </c>
      <c r="M622" t="s">
        <v>165</v>
      </c>
      <c r="N622" t="s">
        <v>261</v>
      </c>
      <c r="O622" t="s">
        <v>2695</v>
      </c>
      <c r="P622" t="s">
        <v>2696</v>
      </c>
      <c r="Q622" t="s">
        <v>56</v>
      </c>
      <c r="R622" t="s">
        <v>54</v>
      </c>
      <c r="S622">
        <v>7961252</v>
      </c>
      <c r="T622" t="s">
        <v>1384</v>
      </c>
      <c r="U622" t="s">
        <v>62</v>
      </c>
      <c r="V622" t="s">
        <v>3060</v>
      </c>
      <c r="W622" t="s">
        <v>2507</v>
      </c>
      <c r="X622" t="s">
        <v>1448</v>
      </c>
      <c r="Y622" t="s">
        <v>101</v>
      </c>
      <c r="Z622">
        <v>12</v>
      </c>
      <c r="AA622" t="s">
        <v>65</v>
      </c>
      <c r="AB622" t="s">
        <v>56</v>
      </c>
      <c r="AC622" t="s">
        <v>56</v>
      </c>
      <c r="AD622">
        <v>0</v>
      </c>
      <c r="AE622" t="s">
        <v>66</v>
      </c>
      <c r="AF622" t="s">
        <v>56</v>
      </c>
      <c r="AG622" t="s">
        <v>56</v>
      </c>
      <c r="AH622" t="s">
        <v>56</v>
      </c>
      <c r="AI622" t="s">
        <v>56</v>
      </c>
      <c r="AJ622" t="s">
        <v>942</v>
      </c>
      <c r="AK622" t="s">
        <v>943</v>
      </c>
      <c r="AL622" t="s">
        <v>940</v>
      </c>
      <c r="AM622" t="s">
        <v>941</v>
      </c>
      <c r="AN622" t="s">
        <v>56</v>
      </c>
      <c r="AO622" t="s">
        <v>56</v>
      </c>
      <c r="AP622" t="s">
        <v>56</v>
      </c>
      <c r="AQ622" t="s">
        <v>71</v>
      </c>
      <c r="AR622" t="s">
        <v>56</v>
      </c>
      <c r="AS622" t="s">
        <v>56</v>
      </c>
      <c r="AT622" t="s">
        <v>56</v>
      </c>
      <c r="AU622" t="s">
        <v>56</v>
      </c>
      <c r="AV622" t="s">
        <v>56</v>
      </c>
      <c r="AW622" t="s">
        <v>56</v>
      </c>
      <c r="AX622">
        <v>4</v>
      </c>
    </row>
    <row r="623" spans="1:50" x14ac:dyDescent="0.25">
      <c r="A623" t="str">
        <f>"20200131116017172548"</f>
        <v>20200131116017172548</v>
      </c>
      <c r="B623" t="s">
        <v>110</v>
      </c>
      <c r="C623" t="s">
        <v>110</v>
      </c>
      <c r="D623" t="s">
        <v>3061</v>
      </c>
      <c r="E623" t="str">
        <f>"761470067210"</f>
        <v>761470067210</v>
      </c>
      <c r="F623" t="s">
        <v>52</v>
      </c>
      <c r="G623">
        <v>836000386</v>
      </c>
      <c r="H623">
        <v>76147</v>
      </c>
      <c r="I623" t="s">
        <v>1142</v>
      </c>
      <c r="J623" t="s">
        <v>1143</v>
      </c>
      <c r="K623" t="s">
        <v>54</v>
      </c>
      <c r="L623">
        <v>4564906</v>
      </c>
      <c r="M623" t="s">
        <v>2218</v>
      </c>
      <c r="N623" t="s">
        <v>56</v>
      </c>
      <c r="O623" t="s">
        <v>452</v>
      </c>
      <c r="P623" t="s">
        <v>425</v>
      </c>
      <c r="Q623">
        <v>761805</v>
      </c>
      <c r="R623" t="s">
        <v>54</v>
      </c>
      <c r="S623">
        <v>6234841</v>
      </c>
      <c r="T623" t="s">
        <v>76</v>
      </c>
      <c r="U623" t="s">
        <v>380</v>
      </c>
      <c r="V623" t="s">
        <v>3062</v>
      </c>
      <c r="W623" t="s">
        <v>260</v>
      </c>
      <c r="X623" t="s">
        <v>277</v>
      </c>
      <c r="Y623" t="s">
        <v>64</v>
      </c>
      <c r="Z623">
        <v>12</v>
      </c>
      <c r="AA623" t="s">
        <v>65</v>
      </c>
      <c r="AB623" t="s">
        <v>56</v>
      </c>
      <c r="AC623" t="s">
        <v>56</v>
      </c>
      <c r="AD623">
        <v>0</v>
      </c>
      <c r="AE623" t="s">
        <v>66</v>
      </c>
      <c r="AF623" t="s">
        <v>56</v>
      </c>
      <c r="AG623" t="s">
        <v>56</v>
      </c>
      <c r="AH623" t="s">
        <v>56</v>
      </c>
      <c r="AI623" t="s">
        <v>56</v>
      </c>
      <c r="AJ623" t="s">
        <v>630</v>
      </c>
      <c r="AK623" t="s">
        <v>631</v>
      </c>
      <c r="AL623" t="s">
        <v>56</v>
      </c>
      <c r="AM623" t="s">
        <v>56</v>
      </c>
      <c r="AN623" t="s">
        <v>56</v>
      </c>
      <c r="AO623" t="s">
        <v>56</v>
      </c>
      <c r="AP623" t="s">
        <v>56</v>
      </c>
      <c r="AQ623" t="s">
        <v>71</v>
      </c>
      <c r="AR623" t="s">
        <v>56</v>
      </c>
      <c r="AS623" t="s">
        <v>56</v>
      </c>
      <c r="AT623" t="s">
        <v>56</v>
      </c>
      <c r="AU623" t="s">
        <v>56</v>
      </c>
      <c r="AV623" t="s">
        <v>56</v>
      </c>
      <c r="AW623" t="s">
        <v>56</v>
      </c>
      <c r="AX623">
        <v>4</v>
      </c>
    </row>
    <row r="624" spans="1:50" x14ac:dyDescent="0.25">
      <c r="A624" t="str">
        <f>"20200201157017183331"</f>
        <v>20200201157017183331</v>
      </c>
      <c r="B624" t="s">
        <v>50</v>
      </c>
      <c r="C624" t="s">
        <v>50</v>
      </c>
      <c r="D624" t="s">
        <v>3063</v>
      </c>
      <c r="E624" t="str">
        <f>"080010445438"</f>
        <v>080010445438</v>
      </c>
      <c r="F624" t="s">
        <v>52</v>
      </c>
      <c r="G624">
        <v>901139193</v>
      </c>
      <c r="H624" t="s">
        <v>112</v>
      </c>
      <c r="I624" t="s">
        <v>1771</v>
      </c>
      <c r="J624">
        <v>3781483</v>
      </c>
      <c r="K624" t="s">
        <v>54</v>
      </c>
      <c r="L624">
        <v>1064979833</v>
      </c>
      <c r="M624" t="s">
        <v>1766</v>
      </c>
      <c r="N624" t="s">
        <v>2200</v>
      </c>
      <c r="O624" t="s">
        <v>1735</v>
      </c>
      <c r="P624" t="s">
        <v>2925</v>
      </c>
      <c r="Q624" t="s">
        <v>2926</v>
      </c>
      <c r="R624" t="s">
        <v>54</v>
      </c>
      <c r="S624">
        <v>7445784</v>
      </c>
      <c r="T624" t="s">
        <v>81</v>
      </c>
      <c r="U624" t="s">
        <v>325</v>
      </c>
      <c r="V624" t="s">
        <v>403</v>
      </c>
      <c r="W624" t="s">
        <v>99</v>
      </c>
      <c r="X624" t="s">
        <v>120</v>
      </c>
      <c r="Y624" t="s">
        <v>121</v>
      </c>
      <c r="Z624">
        <v>22</v>
      </c>
      <c r="AA624" t="s">
        <v>102</v>
      </c>
      <c r="AB624">
        <v>0</v>
      </c>
      <c r="AC624" t="s">
        <v>66</v>
      </c>
      <c r="AD624">
        <v>0</v>
      </c>
      <c r="AE624" t="s">
        <v>66</v>
      </c>
      <c r="AF624" t="s">
        <v>56</v>
      </c>
      <c r="AG624" t="s">
        <v>56</v>
      </c>
      <c r="AH624" t="s">
        <v>56</v>
      </c>
      <c r="AI624" t="s">
        <v>56</v>
      </c>
      <c r="AJ624" t="s">
        <v>3064</v>
      </c>
      <c r="AK624" t="s">
        <v>3065</v>
      </c>
      <c r="AL624" t="s">
        <v>56</v>
      </c>
      <c r="AM624" t="s">
        <v>56</v>
      </c>
      <c r="AN624" t="s">
        <v>56</v>
      </c>
      <c r="AO624" t="s">
        <v>56</v>
      </c>
      <c r="AP624" t="s">
        <v>56</v>
      </c>
      <c r="AQ624" t="s">
        <v>71</v>
      </c>
      <c r="AR624" t="s">
        <v>56</v>
      </c>
      <c r="AS624" t="s">
        <v>56</v>
      </c>
      <c r="AT624" t="s">
        <v>56</v>
      </c>
      <c r="AU624" t="s">
        <v>56</v>
      </c>
      <c r="AV624" t="s">
        <v>56</v>
      </c>
      <c r="AW624" t="s">
        <v>56</v>
      </c>
      <c r="AX624">
        <v>4</v>
      </c>
    </row>
    <row r="625" spans="1:50" x14ac:dyDescent="0.25">
      <c r="A625" t="str">
        <f>"20200201133017185967"</f>
        <v>20200201133017185967</v>
      </c>
      <c r="B625" t="s">
        <v>50</v>
      </c>
      <c r="C625" t="s">
        <v>50</v>
      </c>
      <c r="D625" t="s">
        <v>3066</v>
      </c>
      <c r="E625" t="str">
        <f>"080010003601"</f>
        <v>080010003601</v>
      </c>
      <c r="F625" t="s">
        <v>52</v>
      </c>
      <c r="G625">
        <v>802000955</v>
      </c>
      <c r="H625" t="s">
        <v>112</v>
      </c>
      <c r="I625" t="s">
        <v>218</v>
      </c>
      <c r="J625" t="s">
        <v>56</v>
      </c>
      <c r="K625" t="s">
        <v>54</v>
      </c>
      <c r="L625">
        <v>8722369</v>
      </c>
      <c r="M625" t="s">
        <v>1492</v>
      </c>
      <c r="N625" t="s">
        <v>3067</v>
      </c>
      <c r="O625" t="s">
        <v>3068</v>
      </c>
      <c r="P625" t="s">
        <v>3069</v>
      </c>
      <c r="Q625" t="s">
        <v>3070</v>
      </c>
      <c r="R625" t="s">
        <v>54</v>
      </c>
      <c r="S625">
        <v>22552820</v>
      </c>
      <c r="T625" t="s">
        <v>2235</v>
      </c>
      <c r="U625" t="s">
        <v>62</v>
      </c>
      <c r="V625" t="s">
        <v>3071</v>
      </c>
      <c r="W625" t="s">
        <v>1574</v>
      </c>
      <c r="X625" t="s">
        <v>1593</v>
      </c>
      <c r="Y625" t="s">
        <v>121</v>
      </c>
      <c r="Z625">
        <v>12</v>
      </c>
      <c r="AA625" t="s">
        <v>65</v>
      </c>
      <c r="AB625" t="s">
        <v>56</v>
      </c>
      <c r="AC625" t="s">
        <v>56</v>
      </c>
      <c r="AD625">
        <v>0</v>
      </c>
      <c r="AE625" t="s">
        <v>66</v>
      </c>
      <c r="AF625" t="s">
        <v>56</v>
      </c>
      <c r="AG625" t="s">
        <v>56</v>
      </c>
      <c r="AH625" t="s">
        <v>56</v>
      </c>
      <c r="AI625" t="s">
        <v>56</v>
      </c>
      <c r="AJ625" t="s">
        <v>228</v>
      </c>
      <c r="AK625" t="s">
        <v>229</v>
      </c>
      <c r="AL625" t="s">
        <v>56</v>
      </c>
      <c r="AM625" t="s">
        <v>56</v>
      </c>
      <c r="AN625" t="s">
        <v>56</v>
      </c>
      <c r="AO625" t="s">
        <v>56</v>
      </c>
      <c r="AP625" t="s">
        <v>56</v>
      </c>
      <c r="AQ625" t="s">
        <v>71</v>
      </c>
      <c r="AR625" t="s">
        <v>56</v>
      </c>
      <c r="AS625" t="s">
        <v>56</v>
      </c>
      <c r="AT625" t="s">
        <v>56</v>
      </c>
      <c r="AU625" t="s">
        <v>56</v>
      </c>
      <c r="AV625" t="s">
        <v>56</v>
      </c>
      <c r="AW625" t="s">
        <v>56</v>
      </c>
      <c r="AX625">
        <v>4</v>
      </c>
    </row>
    <row r="626" spans="1:50" x14ac:dyDescent="0.25">
      <c r="A626" t="str">
        <f>"20200127148017041573"</f>
        <v>20200127148017041573</v>
      </c>
      <c r="B626" t="s">
        <v>190</v>
      </c>
      <c r="C626" t="s">
        <v>190</v>
      </c>
      <c r="D626" t="s">
        <v>3072</v>
      </c>
      <c r="E626" t="str">
        <f>"134300034901"</f>
        <v>134300034901</v>
      </c>
      <c r="F626" t="s">
        <v>52</v>
      </c>
      <c r="G626">
        <v>806015513</v>
      </c>
      <c r="H626">
        <v>13430</v>
      </c>
      <c r="I626" t="s">
        <v>3073</v>
      </c>
      <c r="J626">
        <v>6878220</v>
      </c>
      <c r="K626" t="s">
        <v>54</v>
      </c>
      <c r="L626">
        <v>1018410375</v>
      </c>
      <c r="M626" t="s">
        <v>3074</v>
      </c>
      <c r="N626" t="s">
        <v>962</v>
      </c>
      <c r="O626" t="s">
        <v>3075</v>
      </c>
      <c r="P626" t="s">
        <v>328</v>
      </c>
      <c r="Q626">
        <v>1716542</v>
      </c>
      <c r="R626" t="s">
        <v>440</v>
      </c>
      <c r="S626">
        <v>1201253733</v>
      </c>
      <c r="T626" t="s">
        <v>3076</v>
      </c>
      <c r="U626" t="s">
        <v>76</v>
      </c>
      <c r="V626" t="s">
        <v>57</v>
      </c>
      <c r="W626" t="s">
        <v>3077</v>
      </c>
      <c r="X626" t="s">
        <v>183</v>
      </c>
      <c r="Y626" t="s">
        <v>101</v>
      </c>
      <c r="Z626">
        <v>12</v>
      </c>
      <c r="AA626" t="s">
        <v>65</v>
      </c>
      <c r="AB626" t="s">
        <v>56</v>
      </c>
      <c r="AC626" t="s">
        <v>56</v>
      </c>
      <c r="AD626">
        <v>0</v>
      </c>
      <c r="AE626" t="s">
        <v>66</v>
      </c>
      <c r="AF626" t="s">
        <v>56</v>
      </c>
      <c r="AG626" t="s">
        <v>56</v>
      </c>
      <c r="AH626" t="s">
        <v>56</v>
      </c>
      <c r="AI626" t="s">
        <v>56</v>
      </c>
      <c r="AJ626" t="s">
        <v>3078</v>
      </c>
      <c r="AK626" t="s">
        <v>3079</v>
      </c>
      <c r="AL626" t="s">
        <v>56</v>
      </c>
      <c r="AM626" t="s">
        <v>56</v>
      </c>
      <c r="AN626" t="s">
        <v>56</v>
      </c>
      <c r="AO626" t="s">
        <v>56</v>
      </c>
      <c r="AP626" t="s">
        <v>56</v>
      </c>
      <c r="AQ626" t="s">
        <v>71</v>
      </c>
      <c r="AR626" t="s">
        <v>56</v>
      </c>
      <c r="AS626" t="s">
        <v>56</v>
      </c>
      <c r="AT626" t="s">
        <v>56</v>
      </c>
      <c r="AU626" t="s">
        <v>56</v>
      </c>
      <c r="AV626" t="s">
        <v>56</v>
      </c>
      <c r="AW626" t="s">
        <v>56</v>
      </c>
      <c r="AX626">
        <v>4</v>
      </c>
    </row>
    <row r="627" spans="1:50" x14ac:dyDescent="0.25">
      <c r="A627" t="str">
        <f>"20200130186017129262"</f>
        <v>20200130186017129262</v>
      </c>
      <c r="B627" t="s">
        <v>124</v>
      </c>
      <c r="C627" t="s">
        <v>124</v>
      </c>
      <c r="D627" t="s">
        <v>3080</v>
      </c>
      <c r="E627" t="str">
        <f>"270010036201"</f>
        <v>270010036201</v>
      </c>
      <c r="F627" t="s">
        <v>52</v>
      </c>
      <c r="G627">
        <v>900210883</v>
      </c>
      <c r="H627">
        <v>27001</v>
      </c>
      <c r="I627" t="s">
        <v>2057</v>
      </c>
      <c r="J627">
        <v>6724232</v>
      </c>
      <c r="K627" t="s">
        <v>54</v>
      </c>
      <c r="L627">
        <v>72218482</v>
      </c>
      <c r="M627" t="s">
        <v>291</v>
      </c>
      <c r="N627" t="s">
        <v>261</v>
      </c>
      <c r="O627" t="s">
        <v>1146</v>
      </c>
      <c r="P627" t="s">
        <v>1076</v>
      </c>
      <c r="Q627">
        <v>27405</v>
      </c>
      <c r="R627" t="s">
        <v>54</v>
      </c>
      <c r="S627">
        <v>26345283</v>
      </c>
      <c r="T627" t="s">
        <v>504</v>
      </c>
      <c r="U627" t="s">
        <v>1679</v>
      </c>
      <c r="V627" t="s">
        <v>3081</v>
      </c>
      <c r="W627" t="s">
        <v>3082</v>
      </c>
      <c r="X627" t="s">
        <v>860</v>
      </c>
      <c r="Y627" t="s">
        <v>717</v>
      </c>
      <c r="Z627">
        <v>11</v>
      </c>
      <c r="AA627" t="s">
        <v>87</v>
      </c>
      <c r="AB627" t="s">
        <v>56</v>
      </c>
      <c r="AC627" t="s">
        <v>56</v>
      </c>
      <c r="AD627">
        <v>0</v>
      </c>
      <c r="AE627" t="s">
        <v>66</v>
      </c>
      <c r="AF627" t="s">
        <v>56</v>
      </c>
      <c r="AG627" t="s">
        <v>56</v>
      </c>
      <c r="AH627" t="s">
        <v>56</v>
      </c>
      <c r="AI627" t="s">
        <v>56</v>
      </c>
      <c r="AJ627" t="s">
        <v>414</v>
      </c>
      <c r="AK627" t="s">
        <v>415</v>
      </c>
      <c r="AL627" t="s">
        <v>56</v>
      </c>
      <c r="AM627" t="s">
        <v>56</v>
      </c>
      <c r="AN627" t="s">
        <v>56</v>
      </c>
      <c r="AO627" t="s">
        <v>56</v>
      </c>
      <c r="AP627" t="s">
        <v>56</v>
      </c>
      <c r="AQ627" t="s">
        <v>71</v>
      </c>
      <c r="AR627" t="s">
        <v>56</v>
      </c>
      <c r="AS627" t="s">
        <v>56</v>
      </c>
      <c r="AT627" t="s">
        <v>56</v>
      </c>
      <c r="AU627" t="s">
        <v>56</v>
      </c>
      <c r="AV627" t="s">
        <v>56</v>
      </c>
      <c r="AW627" t="s">
        <v>56</v>
      </c>
      <c r="AX627">
        <v>4</v>
      </c>
    </row>
    <row r="628" spans="1:50" x14ac:dyDescent="0.25">
      <c r="A628" t="str">
        <f>"20200125187017029448"</f>
        <v>20200125187017029448</v>
      </c>
      <c r="B628" t="s">
        <v>752</v>
      </c>
      <c r="C628" t="s">
        <v>752</v>
      </c>
      <c r="D628" t="s">
        <v>3083</v>
      </c>
      <c r="E628" t="str">
        <f>"080010003601"</f>
        <v>080010003601</v>
      </c>
      <c r="F628" t="s">
        <v>52</v>
      </c>
      <c r="G628">
        <v>802000955</v>
      </c>
      <c r="H628" t="s">
        <v>112</v>
      </c>
      <c r="I628" t="s">
        <v>218</v>
      </c>
      <c r="J628" t="s">
        <v>56</v>
      </c>
      <c r="K628" t="s">
        <v>54</v>
      </c>
      <c r="L628">
        <v>8703386</v>
      </c>
      <c r="M628" t="s">
        <v>219</v>
      </c>
      <c r="N628" t="s">
        <v>56</v>
      </c>
      <c r="O628" t="s">
        <v>220</v>
      </c>
      <c r="P628" t="s">
        <v>221</v>
      </c>
      <c r="Q628" t="s">
        <v>222</v>
      </c>
      <c r="R628" t="s">
        <v>54</v>
      </c>
      <c r="S628">
        <v>26960579</v>
      </c>
      <c r="T628" t="s">
        <v>3084</v>
      </c>
      <c r="U628" t="s">
        <v>62</v>
      </c>
      <c r="V628" t="s">
        <v>3085</v>
      </c>
      <c r="W628" t="s">
        <v>57</v>
      </c>
      <c r="X628" t="s">
        <v>299</v>
      </c>
      <c r="Y628" t="s">
        <v>121</v>
      </c>
      <c r="Z628">
        <v>12</v>
      </c>
      <c r="AA628" t="s">
        <v>65</v>
      </c>
      <c r="AB628" t="s">
        <v>56</v>
      </c>
      <c r="AC628" t="s">
        <v>56</v>
      </c>
      <c r="AD628">
        <v>0</v>
      </c>
      <c r="AE628" t="s">
        <v>66</v>
      </c>
      <c r="AF628" t="s">
        <v>56</v>
      </c>
      <c r="AG628" t="s">
        <v>56</v>
      </c>
      <c r="AH628" t="s">
        <v>56</v>
      </c>
      <c r="AI628" t="s">
        <v>56</v>
      </c>
      <c r="AJ628" t="s">
        <v>545</v>
      </c>
      <c r="AK628" t="s">
        <v>546</v>
      </c>
      <c r="AL628" t="s">
        <v>1744</v>
      </c>
      <c r="AM628" t="s">
        <v>1745</v>
      </c>
      <c r="AN628" t="s">
        <v>56</v>
      </c>
      <c r="AO628" t="s">
        <v>56</v>
      </c>
      <c r="AP628" t="s">
        <v>56</v>
      </c>
      <c r="AQ628" t="s">
        <v>71</v>
      </c>
      <c r="AR628" t="s">
        <v>56</v>
      </c>
      <c r="AS628" t="s">
        <v>56</v>
      </c>
      <c r="AT628" t="s">
        <v>56</v>
      </c>
      <c r="AU628" t="s">
        <v>56</v>
      </c>
      <c r="AV628" t="s">
        <v>56</v>
      </c>
      <c r="AW628" t="s">
        <v>56</v>
      </c>
      <c r="AX628">
        <v>4</v>
      </c>
    </row>
    <row r="629" spans="1:50" x14ac:dyDescent="0.25">
      <c r="A629" t="str">
        <f>"20200127128017063049"</f>
        <v>20200127128017063049</v>
      </c>
      <c r="B629" t="s">
        <v>190</v>
      </c>
      <c r="C629" t="s">
        <v>190</v>
      </c>
      <c r="D629" t="s">
        <v>3086</v>
      </c>
      <c r="E629" t="str">
        <f>"080010003601"</f>
        <v>080010003601</v>
      </c>
      <c r="F629" t="s">
        <v>52</v>
      </c>
      <c r="G629">
        <v>802000955</v>
      </c>
      <c r="H629" t="s">
        <v>112</v>
      </c>
      <c r="I629" t="s">
        <v>218</v>
      </c>
      <c r="J629" t="s">
        <v>56</v>
      </c>
      <c r="K629" t="s">
        <v>54</v>
      </c>
      <c r="L629">
        <v>1045754222</v>
      </c>
      <c r="M629" t="s">
        <v>607</v>
      </c>
      <c r="N629" t="s">
        <v>117</v>
      </c>
      <c r="O629" t="s">
        <v>608</v>
      </c>
      <c r="P629" t="s">
        <v>528</v>
      </c>
      <c r="Q629">
        <v>1045754222</v>
      </c>
      <c r="R629" t="s">
        <v>54</v>
      </c>
      <c r="S629">
        <v>3694620</v>
      </c>
      <c r="T629" t="s">
        <v>165</v>
      </c>
      <c r="U629" t="s">
        <v>62</v>
      </c>
      <c r="V629" t="s">
        <v>3087</v>
      </c>
      <c r="W629" t="s">
        <v>3088</v>
      </c>
      <c r="X629" t="s">
        <v>120</v>
      </c>
      <c r="Y629" t="s">
        <v>121</v>
      </c>
      <c r="Z629">
        <v>12</v>
      </c>
      <c r="AA629" t="s">
        <v>65</v>
      </c>
      <c r="AB629" t="s">
        <v>56</v>
      </c>
      <c r="AC629" t="s">
        <v>56</v>
      </c>
      <c r="AD629">
        <v>0</v>
      </c>
      <c r="AE629" t="s">
        <v>66</v>
      </c>
      <c r="AF629" t="s">
        <v>56</v>
      </c>
      <c r="AG629" t="s">
        <v>56</v>
      </c>
      <c r="AH629" t="s">
        <v>56</v>
      </c>
      <c r="AI629" t="s">
        <v>56</v>
      </c>
      <c r="AJ629" t="s">
        <v>228</v>
      </c>
      <c r="AK629" t="s">
        <v>229</v>
      </c>
      <c r="AL629" t="s">
        <v>56</v>
      </c>
      <c r="AM629" t="s">
        <v>56</v>
      </c>
      <c r="AN629" t="s">
        <v>56</v>
      </c>
      <c r="AO629" t="s">
        <v>56</v>
      </c>
      <c r="AP629" t="s">
        <v>56</v>
      </c>
      <c r="AQ629" t="s">
        <v>71</v>
      </c>
      <c r="AR629" t="s">
        <v>56</v>
      </c>
      <c r="AS629" t="s">
        <v>56</v>
      </c>
      <c r="AT629" t="s">
        <v>56</v>
      </c>
      <c r="AU629" t="s">
        <v>56</v>
      </c>
      <c r="AV629" t="s">
        <v>56</v>
      </c>
      <c r="AW629" t="s">
        <v>56</v>
      </c>
      <c r="AX629">
        <v>4</v>
      </c>
    </row>
    <row r="630" spans="1:50" x14ac:dyDescent="0.25">
      <c r="A630" t="str">
        <f>"20200127195017050363"</f>
        <v>20200127195017050363</v>
      </c>
      <c r="B630" t="s">
        <v>190</v>
      </c>
      <c r="C630" t="s">
        <v>190</v>
      </c>
      <c r="D630" t="s">
        <v>3089</v>
      </c>
      <c r="E630" t="str">
        <f>"080010003716"</f>
        <v>080010003716</v>
      </c>
      <c r="F630" t="s">
        <v>52</v>
      </c>
      <c r="G630">
        <v>890102768</v>
      </c>
      <c r="H630" t="s">
        <v>112</v>
      </c>
      <c r="I630" t="s">
        <v>2176</v>
      </c>
      <c r="J630">
        <v>3165362310</v>
      </c>
      <c r="K630" t="s">
        <v>54</v>
      </c>
      <c r="L630">
        <v>8689608</v>
      </c>
      <c r="M630" t="s">
        <v>164</v>
      </c>
      <c r="N630" t="s">
        <v>423</v>
      </c>
      <c r="O630" t="s">
        <v>3090</v>
      </c>
      <c r="P630" t="s">
        <v>2844</v>
      </c>
      <c r="Q630">
        <v>6272</v>
      </c>
      <c r="R630" t="s">
        <v>54</v>
      </c>
      <c r="S630">
        <v>863333</v>
      </c>
      <c r="T630" t="s">
        <v>3091</v>
      </c>
      <c r="U630" t="s">
        <v>424</v>
      </c>
      <c r="V630" t="s">
        <v>309</v>
      </c>
      <c r="W630" t="s">
        <v>568</v>
      </c>
      <c r="X630" t="s">
        <v>590</v>
      </c>
      <c r="Y630" t="s">
        <v>121</v>
      </c>
      <c r="Z630">
        <v>11</v>
      </c>
      <c r="AA630" t="s">
        <v>87</v>
      </c>
      <c r="AB630" t="s">
        <v>56</v>
      </c>
      <c r="AC630" t="s">
        <v>56</v>
      </c>
      <c r="AD630">
        <v>0</v>
      </c>
      <c r="AE630" t="s">
        <v>66</v>
      </c>
      <c r="AF630" t="s">
        <v>56</v>
      </c>
      <c r="AG630" t="s">
        <v>56</v>
      </c>
      <c r="AH630" t="s">
        <v>56</v>
      </c>
      <c r="AI630" t="s">
        <v>56</v>
      </c>
      <c r="AJ630" t="s">
        <v>1851</v>
      </c>
      <c r="AK630" t="s">
        <v>1852</v>
      </c>
      <c r="AL630" t="s">
        <v>56</v>
      </c>
      <c r="AM630" t="s">
        <v>56</v>
      </c>
      <c r="AN630" t="s">
        <v>56</v>
      </c>
      <c r="AO630" t="s">
        <v>56</v>
      </c>
      <c r="AP630" t="s">
        <v>56</v>
      </c>
      <c r="AQ630" t="s">
        <v>71</v>
      </c>
      <c r="AR630" t="s">
        <v>56</v>
      </c>
      <c r="AS630" t="s">
        <v>56</v>
      </c>
      <c r="AT630" t="s">
        <v>56</v>
      </c>
      <c r="AU630" t="s">
        <v>56</v>
      </c>
      <c r="AV630" t="s">
        <v>56</v>
      </c>
      <c r="AW630" t="s">
        <v>56</v>
      </c>
      <c r="AX630">
        <v>4</v>
      </c>
    </row>
    <row r="631" spans="1:50" x14ac:dyDescent="0.25">
      <c r="A631" t="str">
        <f>"20200130133017130301"</f>
        <v>20200130133017130301</v>
      </c>
      <c r="B631" t="s">
        <v>124</v>
      </c>
      <c r="C631" t="s">
        <v>124</v>
      </c>
      <c r="D631" t="s">
        <v>3092</v>
      </c>
      <c r="E631" t="str">
        <f>"050010217501"</f>
        <v>050010217501</v>
      </c>
      <c r="F631" t="s">
        <v>52</v>
      </c>
      <c r="G631">
        <v>890900518</v>
      </c>
      <c r="H631" t="s">
        <v>1652</v>
      </c>
      <c r="I631" t="s">
        <v>1653</v>
      </c>
      <c r="J631">
        <v>4441333</v>
      </c>
      <c r="K631" t="s">
        <v>54</v>
      </c>
      <c r="L631">
        <v>71798330</v>
      </c>
      <c r="M631" t="s">
        <v>274</v>
      </c>
      <c r="N631" t="s">
        <v>56</v>
      </c>
      <c r="O631" t="s">
        <v>61</v>
      </c>
      <c r="P631" t="s">
        <v>833</v>
      </c>
      <c r="Q631">
        <v>5154204</v>
      </c>
      <c r="R631" t="s">
        <v>440</v>
      </c>
      <c r="S631">
        <v>1013365763</v>
      </c>
      <c r="T631" t="s">
        <v>164</v>
      </c>
      <c r="U631" t="s">
        <v>1012</v>
      </c>
      <c r="V631" t="s">
        <v>3093</v>
      </c>
      <c r="W631" t="s">
        <v>3094</v>
      </c>
      <c r="X631" t="s">
        <v>3095</v>
      </c>
      <c r="Y631" t="s">
        <v>717</v>
      </c>
      <c r="Z631">
        <v>11</v>
      </c>
      <c r="AA631" t="s">
        <v>87</v>
      </c>
      <c r="AB631" t="s">
        <v>56</v>
      </c>
      <c r="AC631" t="s">
        <v>56</v>
      </c>
      <c r="AD631">
        <v>0</v>
      </c>
      <c r="AE631" t="s">
        <v>66</v>
      </c>
      <c r="AF631" t="s">
        <v>56</v>
      </c>
      <c r="AG631" t="s">
        <v>56</v>
      </c>
      <c r="AH631" t="s">
        <v>56</v>
      </c>
      <c r="AI631" t="s">
        <v>56</v>
      </c>
      <c r="AJ631" t="s">
        <v>3096</v>
      </c>
      <c r="AK631" t="s">
        <v>3097</v>
      </c>
      <c r="AL631" t="s">
        <v>56</v>
      </c>
      <c r="AM631" t="s">
        <v>56</v>
      </c>
      <c r="AN631" t="s">
        <v>56</v>
      </c>
      <c r="AO631" t="s">
        <v>56</v>
      </c>
      <c r="AP631" t="s">
        <v>56</v>
      </c>
      <c r="AQ631" t="s">
        <v>71</v>
      </c>
      <c r="AR631" t="s">
        <v>56</v>
      </c>
      <c r="AS631" t="s">
        <v>56</v>
      </c>
      <c r="AT631" t="s">
        <v>56</v>
      </c>
      <c r="AU631" t="s">
        <v>56</v>
      </c>
      <c r="AV631" t="s">
        <v>56</v>
      </c>
      <c r="AW631" t="s">
        <v>56</v>
      </c>
      <c r="AX631">
        <v>4</v>
      </c>
    </row>
    <row r="632" spans="1:50" x14ac:dyDescent="0.25">
      <c r="A632" t="str">
        <f>"20200128159017079830"</f>
        <v>20200128159017079830</v>
      </c>
      <c r="B632" t="s">
        <v>151</v>
      </c>
      <c r="C632" t="s">
        <v>151</v>
      </c>
      <c r="D632" t="s">
        <v>3098</v>
      </c>
      <c r="E632" t="str">
        <f>"477450025301"</f>
        <v>477450025301</v>
      </c>
      <c r="F632" t="s">
        <v>52</v>
      </c>
      <c r="G632">
        <v>819001363</v>
      </c>
      <c r="H632">
        <v>47745</v>
      </c>
      <c r="I632" t="s">
        <v>3099</v>
      </c>
      <c r="J632">
        <v>4146151</v>
      </c>
      <c r="K632" t="s">
        <v>54</v>
      </c>
      <c r="L632">
        <v>1080012069</v>
      </c>
      <c r="M632" t="s">
        <v>164</v>
      </c>
      <c r="N632" t="s">
        <v>128</v>
      </c>
      <c r="O632" t="s">
        <v>3100</v>
      </c>
      <c r="P632" t="s">
        <v>99</v>
      </c>
      <c r="Q632" t="s">
        <v>3101</v>
      </c>
      <c r="R632" t="s">
        <v>54</v>
      </c>
      <c r="S632">
        <v>5113761</v>
      </c>
      <c r="T632" t="s">
        <v>3102</v>
      </c>
      <c r="U632" t="s">
        <v>3103</v>
      </c>
      <c r="V632" t="s">
        <v>240</v>
      </c>
      <c r="W632" t="s">
        <v>194</v>
      </c>
      <c r="X632" t="s">
        <v>1563</v>
      </c>
      <c r="Y632" t="s">
        <v>345</v>
      </c>
      <c r="Z632">
        <v>11</v>
      </c>
      <c r="AA632" t="s">
        <v>87</v>
      </c>
      <c r="AB632" t="s">
        <v>56</v>
      </c>
      <c r="AC632" t="s">
        <v>56</v>
      </c>
      <c r="AD632">
        <v>0</v>
      </c>
      <c r="AE632" t="s">
        <v>66</v>
      </c>
      <c r="AF632" t="s">
        <v>56</v>
      </c>
      <c r="AG632" t="s">
        <v>56</v>
      </c>
      <c r="AH632" t="s">
        <v>56</v>
      </c>
      <c r="AI632" t="s">
        <v>56</v>
      </c>
      <c r="AJ632" t="s">
        <v>3104</v>
      </c>
      <c r="AK632" t="s">
        <v>3105</v>
      </c>
      <c r="AL632" t="s">
        <v>556</v>
      </c>
      <c r="AM632" t="s">
        <v>557</v>
      </c>
      <c r="AN632" t="s">
        <v>56</v>
      </c>
      <c r="AO632" t="s">
        <v>56</v>
      </c>
      <c r="AP632" t="s">
        <v>56</v>
      </c>
      <c r="AQ632" t="s">
        <v>71</v>
      </c>
      <c r="AR632" t="s">
        <v>56</v>
      </c>
      <c r="AS632" t="s">
        <v>56</v>
      </c>
      <c r="AT632" t="s">
        <v>56</v>
      </c>
      <c r="AU632" t="s">
        <v>56</v>
      </c>
      <c r="AV632" t="s">
        <v>56</v>
      </c>
      <c r="AW632" t="s">
        <v>56</v>
      </c>
      <c r="AX632">
        <v>4</v>
      </c>
    </row>
    <row r="633" spans="1:50" x14ac:dyDescent="0.25">
      <c r="A633" t="str">
        <f>"20200129163017108575"</f>
        <v>20200129163017108575</v>
      </c>
      <c r="B633" t="s">
        <v>72</v>
      </c>
      <c r="C633" t="s">
        <v>72</v>
      </c>
      <c r="D633" t="s">
        <v>3106</v>
      </c>
      <c r="E633" t="str">
        <f>"050010217501"</f>
        <v>050010217501</v>
      </c>
      <c r="F633" t="s">
        <v>52</v>
      </c>
      <c r="G633">
        <v>890900518</v>
      </c>
      <c r="H633" t="s">
        <v>1652</v>
      </c>
      <c r="I633" t="s">
        <v>1653</v>
      </c>
      <c r="J633">
        <v>4441333</v>
      </c>
      <c r="K633" t="s">
        <v>54</v>
      </c>
      <c r="L633">
        <v>80030912</v>
      </c>
      <c r="M633" t="s">
        <v>2171</v>
      </c>
      <c r="N633" t="s">
        <v>485</v>
      </c>
      <c r="O633" t="s">
        <v>376</v>
      </c>
      <c r="P633" t="s">
        <v>805</v>
      </c>
      <c r="Q633">
        <v>25313004</v>
      </c>
      <c r="R633" t="s">
        <v>54</v>
      </c>
      <c r="S633">
        <v>42758934</v>
      </c>
      <c r="T633" t="s">
        <v>3107</v>
      </c>
      <c r="U633" t="s">
        <v>2698</v>
      </c>
      <c r="V633" t="s">
        <v>1962</v>
      </c>
      <c r="W633" t="s">
        <v>169</v>
      </c>
      <c r="X633" t="s">
        <v>860</v>
      </c>
      <c r="Y633" t="s">
        <v>717</v>
      </c>
      <c r="Z633">
        <v>11</v>
      </c>
      <c r="AA633" t="s">
        <v>87</v>
      </c>
      <c r="AB633" t="s">
        <v>56</v>
      </c>
      <c r="AC633" t="s">
        <v>56</v>
      </c>
      <c r="AD633">
        <v>0</v>
      </c>
      <c r="AE633" t="s">
        <v>66</v>
      </c>
      <c r="AF633" t="s">
        <v>56</v>
      </c>
      <c r="AG633" t="s">
        <v>56</v>
      </c>
      <c r="AH633" t="s">
        <v>56</v>
      </c>
      <c r="AI633" t="s">
        <v>56</v>
      </c>
      <c r="AJ633" t="s">
        <v>2452</v>
      </c>
      <c r="AK633" t="s">
        <v>2453</v>
      </c>
      <c r="AL633" t="s">
        <v>56</v>
      </c>
      <c r="AM633" t="s">
        <v>56</v>
      </c>
      <c r="AN633" t="s">
        <v>56</v>
      </c>
      <c r="AO633" t="s">
        <v>56</v>
      </c>
      <c r="AP633" t="s">
        <v>56</v>
      </c>
      <c r="AQ633" t="s">
        <v>71</v>
      </c>
      <c r="AR633" t="s">
        <v>56</v>
      </c>
      <c r="AS633" t="s">
        <v>56</v>
      </c>
      <c r="AT633" t="s">
        <v>56</v>
      </c>
      <c r="AU633" t="s">
        <v>56</v>
      </c>
      <c r="AV633" t="s">
        <v>56</v>
      </c>
      <c r="AW633" t="s">
        <v>56</v>
      </c>
      <c r="AX633">
        <v>4</v>
      </c>
    </row>
    <row r="634" spans="1:50" x14ac:dyDescent="0.25">
      <c r="A634" t="str">
        <f>"20200130113017151231"</f>
        <v>20200130113017151231</v>
      </c>
      <c r="B634" t="s">
        <v>124</v>
      </c>
      <c r="C634" t="s">
        <v>124</v>
      </c>
      <c r="D634" t="s">
        <v>3108</v>
      </c>
      <c r="E634" t="str">
        <f>"080010025301"</f>
        <v>080010025301</v>
      </c>
      <c r="F634" t="s">
        <v>52</v>
      </c>
      <c r="G634">
        <v>800033723</v>
      </c>
      <c r="H634" t="s">
        <v>112</v>
      </c>
      <c r="I634" t="s">
        <v>763</v>
      </c>
      <c r="J634">
        <v>3681522</v>
      </c>
      <c r="K634" t="s">
        <v>54</v>
      </c>
      <c r="L634">
        <v>72005091</v>
      </c>
      <c r="M634" t="s">
        <v>764</v>
      </c>
      <c r="N634" t="s">
        <v>132</v>
      </c>
      <c r="O634" t="s">
        <v>528</v>
      </c>
      <c r="P634" t="s">
        <v>765</v>
      </c>
      <c r="Q634" t="s">
        <v>766</v>
      </c>
      <c r="R634" t="s">
        <v>54</v>
      </c>
      <c r="S634">
        <v>3833221</v>
      </c>
      <c r="T634" t="s">
        <v>351</v>
      </c>
      <c r="U634" t="s">
        <v>1012</v>
      </c>
      <c r="V634" t="s">
        <v>1962</v>
      </c>
      <c r="W634" t="s">
        <v>2736</v>
      </c>
      <c r="X634" t="s">
        <v>120</v>
      </c>
      <c r="Y634" t="s">
        <v>121</v>
      </c>
      <c r="Z634">
        <v>12</v>
      </c>
      <c r="AA634" t="s">
        <v>65</v>
      </c>
      <c r="AB634" t="s">
        <v>56</v>
      </c>
      <c r="AC634" t="s">
        <v>56</v>
      </c>
      <c r="AD634">
        <v>0</v>
      </c>
      <c r="AE634" t="s">
        <v>66</v>
      </c>
      <c r="AF634" t="s">
        <v>56</v>
      </c>
      <c r="AG634" t="s">
        <v>56</v>
      </c>
      <c r="AH634" t="s">
        <v>56</v>
      </c>
      <c r="AI634" t="s">
        <v>56</v>
      </c>
      <c r="AJ634" t="s">
        <v>454</v>
      </c>
      <c r="AK634" t="s">
        <v>455</v>
      </c>
      <c r="AL634" t="s">
        <v>56</v>
      </c>
      <c r="AM634" t="s">
        <v>56</v>
      </c>
      <c r="AN634" t="s">
        <v>56</v>
      </c>
      <c r="AO634" t="s">
        <v>56</v>
      </c>
      <c r="AP634" t="s">
        <v>56</v>
      </c>
      <c r="AQ634" t="s">
        <v>71</v>
      </c>
      <c r="AR634" t="s">
        <v>56</v>
      </c>
      <c r="AS634" t="s">
        <v>56</v>
      </c>
      <c r="AT634" t="s">
        <v>56</v>
      </c>
      <c r="AU634" t="s">
        <v>56</v>
      </c>
      <c r="AV634" t="s">
        <v>56</v>
      </c>
      <c r="AW634" t="s">
        <v>56</v>
      </c>
      <c r="AX634">
        <v>4</v>
      </c>
    </row>
    <row r="635" spans="1:50" x14ac:dyDescent="0.25">
      <c r="A635" t="str">
        <f>"20200131116017178652"</f>
        <v>20200131116017178652</v>
      </c>
      <c r="B635" t="s">
        <v>110</v>
      </c>
      <c r="C635" t="s">
        <v>110</v>
      </c>
      <c r="D635" t="s">
        <v>3109</v>
      </c>
      <c r="E635" t="str">
        <f>"080010003601"</f>
        <v>080010003601</v>
      </c>
      <c r="F635" t="s">
        <v>52</v>
      </c>
      <c r="G635">
        <v>802000955</v>
      </c>
      <c r="H635" t="s">
        <v>112</v>
      </c>
      <c r="I635" t="s">
        <v>218</v>
      </c>
      <c r="J635" t="s">
        <v>56</v>
      </c>
      <c r="K635" t="s">
        <v>54</v>
      </c>
      <c r="L635">
        <v>32689204</v>
      </c>
      <c r="M635" t="s">
        <v>404</v>
      </c>
      <c r="N635" t="s">
        <v>548</v>
      </c>
      <c r="O635" t="s">
        <v>549</v>
      </c>
      <c r="P635" t="s">
        <v>57</v>
      </c>
      <c r="Q635" t="s">
        <v>550</v>
      </c>
      <c r="R635" t="s">
        <v>54</v>
      </c>
      <c r="S635">
        <v>3833221</v>
      </c>
      <c r="T635" t="s">
        <v>351</v>
      </c>
      <c r="U635" t="s">
        <v>1012</v>
      </c>
      <c r="V635" t="s">
        <v>1962</v>
      </c>
      <c r="W635" t="s">
        <v>2736</v>
      </c>
      <c r="X635" t="s">
        <v>120</v>
      </c>
      <c r="Y635" t="s">
        <v>121</v>
      </c>
      <c r="Z635">
        <v>12</v>
      </c>
      <c r="AA635" t="s">
        <v>65</v>
      </c>
      <c r="AB635" t="s">
        <v>56</v>
      </c>
      <c r="AC635" t="s">
        <v>56</v>
      </c>
      <c r="AD635">
        <v>0</v>
      </c>
      <c r="AE635" t="s">
        <v>66</v>
      </c>
      <c r="AF635" t="s">
        <v>56</v>
      </c>
      <c r="AG635" t="s">
        <v>56</v>
      </c>
      <c r="AH635" t="s">
        <v>56</v>
      </c>
      <c r="AI635" t="s">
        <v>56</v>
      </c>
      <c r="AJ635" t="s">
        <v>1740</v>
      </c>
      <c r="AK635" t="s">
        <v>1741</v>
      </c>
      <c r="AL635" t="s">
        <v>56</v>
      </c>
      <c r="AM635" t="s">
        <v>56</v>
      </c>
      <c r="AN635" t="s">
        <v>56</v>
      </c>
      <c r="AO635" t="s">
        <v>56</v>
      </c>
      <c r="AP635" t="s">
        <v>56</v>
      </c>
      <c r="AQ635" t="s">
        <v>71</v>
      </c>
      <c r="AR635" t="s">
        <v>56</v>
      </c>
      <c r="AS635" t="s">
        <v>56</v>
      </c>
      <c r="AT635" t="s">
        <v>56</v>
      </c>
      <c r="AU635" t="s">
        <v>56</v>
      </c>
      <c r="AV635" t="s">
        <v>56</v>
      </c>
      <c r="AW635" t="s">
        <v>56</v>
      </c>
      <c r="AX635">
        <v>4</v>
      </c>
    </row>
    <row r="636" spans="1:50" x14ac:dyDescent="0.25">
      <c r="A636" t="str">
        <f>"20200125176017026542"</f>
        <v>20200125176017026542</v>
      </c>
      <c r="B636" t="s">
        <v>752</v>
      </c>
      <c r="C636" t="s">
        <v>752</v>
      </c>
      <c r="D636" t="s">
        <v>3110</v>
      </c>
      <c r="E636" t="str">
        <f>"086380050301"</f>
        <v>086380050301</v>
      </c>
      <c r="F636" t="s">
        <v>52</v>
      </c>
      <c r="G636">
        <v>900008600</v>
      </c>
      <c r="H636" t="s">
        <v>246</v>
      </c>
      <c r="I636" t="s">
        <v>732</v>
      </c>
      <c r="J636" t="s">
        <v>733</v>
      </c>
      <c r="K636" t="s">
        <v>54</v>
      </c>
      <c r="L636">
        <v>17143468</v>
      </c>
      <c r="M636" t="s">
        <v>233</v>
      </c>
      <c r="N636" t="s">
        <v>2188</v>
      </c>
      <c r="O636" t="s">
        <v>986</v>
      </c>
      <c r="P636" t="s">
        <v>324</v>
      </c>
      <c r="Q636">
        <v>904</v>
      </c>
      <c r="R636" t="s">
        <v>54</v>
      </c>
      <c r="S636">
        <v>22456409</v>
      </c>
      <c r="T636" t="s">
        <v>1983</v>
      </c>
      <c r="U636" t="s">
        <v>600</v>
      </c>
      <c r="V636" t="s">
        <v>1619</v>
      </c>
      <c r="W636" t="s">
        <v>3111</v>
      </c>
      <c r="X636" t="s">
        <v>254</v>
      </c>
      <c r="Y636" t="s">
        <v>121</v>
      </c>
      <c r="Z636">
        <v>12</v>
      </c>
      <c r="AA636" t="s">
        <v>65</v>
      </c>
      <c r="AB636" t="s">
        <v>56</v>
      </c>
      <c r="AC636" t="s">
        <v>56</v>
      </c>
      <c r="AD636">
        <v>0</v>
      </c>
      <c r="AE636" t="s">
        <v>66</v>
      </c>
      <c r="AF636" t="s">
        <v>56</v>
      </c>
      <c r="AG636" t="s">
        <v>56</v>
      </c>
      <c r="AH636" t="s">
        <v>56</v>
      </c>
      <c r="AI636" t="s">
        <v>56</v>
      </c>
      <c r="AJ636" t="s">
        <v>736</v>
      </c>
      <c r="AK636" t="s">
        <v>737</v>
      </c>
      <c r="AL636" t="s">
        <v>56</v>
      </c>
      <c r="AM636" t="s">
        <v>56</v>
      </c>
      <c r="AN636" t="s">
        <v>56</v>
      </c>
      <c r="AO636" t="s">
        <v>56</v>
      </c>
      <c r="AP636" t="s">
        <v>56</v>
      </c>
      <c r="AQ636" t="s">
        <v>71</v>
      </c>
      <c r="AR636" t="s">
        <v>56</v>
      </c>
      <c r="AS636" t="s">
        <v>56</v>
      </c>
      <c r="AT636" t="s">
        <v>56</v>
      </c>
      <c r="AU636" t="s">
        <v>56</v>
      </c>
      <c r="AV636" t="s">
        <v>56</v>
      </c>
      <c r="AW636" t="s">
        <v>56</v>
      </c>
      <c r="AX636">
        <v>4</v>
      </c>
    </row>
    <row r="637" spans="1:50" x14ac:dyDescent="0.25">
      <c r="A637" t="str">
        <f>"20200128190017072087"</f>
        <v>20200128190017072087</v>
      </c>
      <c r="B637" t="s">
        <v>151</v>
      </c>
      <c r="C637" t="s">
        <v>151</v>
      </c>
      <c r="D637" t="s">
        <v>3112</v>
      </c>
      <c r="E637" t="str">
        <f>"080010409201"</f>
        <v>080010409201</v>
      </c>
      <c r="F637" t="s">
        <v>52</v>
      </c>
      <c r="G637">
        <v>900448414</v>
      </c>
      <c r="H637" t="s">
        <v>112</v>
      </c>
      <c r="I637" t="s">
        <v>785</v>
      </c>
      <c r="J637">
        <v>3545674</v>
      </c>
      <c r="K637" t="s">
        <v>54</v>
      </c>
      <c r="L637">
        <v>32776390</v>
      </c>
      <c r="M637" t="s">
        <v>1823</v>
      </c>
      <c r="N637" t="s">
        <v>577</v>
      </c>
      <c r="O637" t="s">
        <v>1986</v>
      </c>
      <c r="P637" t="s">
        <v>95</v>
      </c>
      <c r="Q637">
        <v>13516502</v>
      </c>
      <c r="R637" t="s">
        <v>237</v>
      </c>
      <c r="S637">
        <v>1001854426</v>
      </c>
      <c r="T637" t="s">
        <v>3113</v>
      </c>
      <c r="U637" t="s">
        <v>1798</v>
      </c>
      <c r="V637" t="s">
        <v>392</v>
      </c>
      <c r="W637" t="s">
        <v>194</v>
      </c>
      <c r="X637" t="s">
        <v>120</v>
      </c>
      <c r="Y637" t="s">
        <v>121</v>
      </c>
      <c r="Z637">
        <v>12</v>
      </c>
      <c r="AA637" t="s">
        <v>65</v>
      </c>
      <c r="AB637" t="s">
        <v>56</v>
      </c>
      <c r="AC637" t="s">
        <v>56</v>
      </c>
      <c r="AD637">
        <v>0</v>
      </c>
      <c r="AE637" t="s">
        <v>66</v>
      </c>
      <c r="AF637" t="s">
        <v>56</v>
      </c>
      <c r="AG637" t="s">
        <v>56</v>
      </c>
      <c r="AH637" t="s">
        <v>56</v>
      </c>
      <c r="AI637" t="s">
        <v>56</v>
      </c>
      <c r="AJ637" t="s">
        <v>3114</v>
      </c>
      <c r="AK637" t="s">
        <v>3115</v>
      </c>
      <c r="AL637" t="s">
        <v>56</v>
      </c>
      <c r="AM637" t="s">
        <v>56</v>
      </c>
      <c r="AN637" t="s">
        <v>56</v>
      </c>
      <c r="AO637" t="s">
        <v>56</v>
      </c>
      <c r="AP637" t="s">
        <v>56</v>
      </c>
      <c r="AQ637" t="s">
        <v>71</v>
      </c>
      <c r="AR637" t="s">
        <v>56</v>
      </c>
      <c r="AS637" t="s">
        <v>56</v>
      </c>
      <c r="AT637" t="s">
        <v>56</v>
      </c>
      <c r="AU637" t="s">
        <v>56</v>
      </c>
      <c r="AV637" t="s">
        <v>56</v>
      </c>
      <c r="AW637" t="s">
        <v>56</v>
      </c>
      <c r="AX637">
        <v>4</v>
      </c>
    </row>
    <row r="638" spans="1:50" x14ac:dyDescent="0.25">
      <c r="A638" t="str">
        <f>"20200124120017024389"</f>
        <v>20200124120017024389</v>
      </c>
      <c r="B638" t="s">
        <v>201</v>
      </c>
      <c r="C638" t="s">
        <v>201</v>
      </c>
      <c r="D638" t="s">
        <v>3116</v>
      </c>
      <c r="E638" t="str">
        <f>"200010205401"</f>
        <v>200010205401</v>
      </c>
      <c r="F638" t="s">
        <v>52</v>
      </c>
      <c r="G638">
        <v>901058547</v>
      </c>
      <c r="H638">
        <v>20001</v>
      </c>
      <c r="I638" t="s">
        <v>512</v>
      </c>
      <c r="J638" t="s">
        <v>513</v>
      </c>
      <c r="K638" t="s">
        <v>54</v>
      </c>
      <c r="L638">
        <v>91506875</v>
      </c>
      <c r="M638" t="s">
        <v>76</v>
      </c>
      <c r="N638" t="s">
        <v>424</v>
      </c>
      <c r="O638" t="s">
        <v>1054</v>
      </c>
      <c r="P638" t="s">
        <v>324</v>
      </c>
      <c r="Q638">
        <v>5156</v>
      </c>
      <c r="R638" t="s">
        <v>54</v>
      </c>
      <c r="S638">
        <v>5422876</v>
      </c>
      <c r="T638" t="s">
        <v>1928</v>
      </c>
      <c r="U638" t="s">
        <v>250</v>
      </c>
      <c r="V638" t="s">
        <v>402</v>
      </c>
      <c r="W638" t="s">
        <v>622</v>
      </c>
      <c r="X638" t="s">
        <v>3117</v>
      </c>
      <c r="Y638" t="s">
        <v>86</v>
      </c>
      <c r="Z638">
        <v>12</v>
      </c>
      <c r="AA638" t="s">
        <v>65</v>
      </c>
      <c r="AB638" t="s">
        <v>56</v>
      </c>
      <c r="AC638" t="s">
        <v>56</v>
      </c>
      <c r="AD638">
        <v>0</v>
      </c>
      <c r="AE638" t="s">
        <v>66</v>
      </c>
      <c r="AF638" t="s">
        <v>56</v>
      </c>
      <c r="AG638" t="s">
        <v>56</v>
      </c>
      <c r="AH638" t="s">
        <v>56</v>
      </c>
      <c r="AI638" t="s">
        <v>56</v>
      </c>
      <c r="AJ638" t="s">
        <v>570</v>
      </c>
      <c r="AK638" t="s">
        <v>571</v>
      </c>
      <c r="AL638" t="s">
        <v>56</v>
      </c>
      <c r="AM638" t="s">
        <v>56</v>
      </c>
      <c r="AN638" t="s">
        <v>56</v>
      </c>
      <c r="AO638" t="s">
        <v>56</v>
      </c>
      <c r="AP638" t="s">
        <v>56</v>
      </c>
      <c r="AQ638" t="s">
        <v>71</v>
      </c>
      <c r="AR638" t="s">
        <v>56</v>
      </c>
      <c r="AS638" t="s">
        <v>56</v>
      </c>
      <c r="AT638" t="s">
        <v>56</v>
      </c>
      <c r="AU638" t="s">
        <v>56</v>
      </c>
      <c r="AV638" t="s">
        <v>56</v>
      </c>
      <c r="AW638" t="s">
        <v>56</v>
      </c>
      <c r="AX638">
        <v>4</v>
      </c>
    </row>
    <row r="639" spans="1:50" x14ac:dyDescent="0.25">
      <c r="A639" t="str">
        <f>"20200131122017163568"</f>
        <v>20200131122017163568</v>
      </c>
      <c r="B639" t="s">
        <v>110</v>
      </c>
      <c r="C639" t="s">
        <v>110</v>
      </c>
      <c r="D639" t="s">
        <v>3118</v>
      </c>
      <c r="E639" t="str">
        <f>"700010003801"</f>
        <v>700010003801</v>
      </c>
      <c r="F639" t="s">
        <v>52</v>
      </c>
      <c r="G639">
        <v>823003317</v>
      </c>
      <c r="H639">
        <v>70001</v>
      </c>
      <c r="I639" t="s">
        <v>323</v>
      </c>
      <c r="J639">
        <v>2818471</v>
      </c>
      <c r="K639" t="s">
        <v>54</v>
      </c>
      <c r="L639">
        <v>92502384</v>
      </c>
      <c r="M639" t="s">
        <v>791</v>
      </c>
      <c r="N639" t="s">
        <v>132</v>
      </c>
      <c r="O639" t="s">
        <v>2070</v>
      </c>
      <c r="P639" t="s">
        <v>608</v>
      </c>
      <c r="Q639" t="s">
        <v>2071</v>
      </c>
      <c r="R639" t="s">
        <v>54</v>
      </c>
      <c r="S639">
        <v>3808208</v>
      </c>
      <c r="T639" t="s">
        <v>2898</v>
      </c>
      <c r="U639" t="s">
        <v>424</v>
      </c>
      <c r="V639" t="s">
        <v>225</v>
      </c>
      <c r="W639" t="s">
        <v>83</v>
      </c>
      <c r="X639" t="s">
        <v>100</v>
      </c>
      <c r="Y639" t="s">
        <v>101</v>
      </c>
      <c r="Z639">
        <v>11</v>
      </c>
      <c r="AA639" t="s">
        <v>87</v>
      </c>
      <c r="AB639" t="s">
        <v>56</v>
      </c>
      <c r="AC639" t="s">
        <v>56</v>
      </c>
      <c r="AD639">
        <v>0</v>
      </c>
      <c r="AE639" t="s">
        <v>66</v>
      </c>
      <c r="AF639" t="s">
        <v>56</v>
      </c>
      <c r="AG639" t="s">
        <v>56</v>
      </c>
      <c r="AH639" t="s">
        <v>56</v>
      </c>
      <c r="AI639" t="s">
        <v>56</v>
      </c>
      <c r="AJ639" t="s">
        <v>3119</v>
      </c>
      <c r="AK639" t="s">
        <v>3120</v>
      </c>
      <c r="AL639" t="s">
        <v>56</v>
      </c>
      <c r="AM639" t="s">
        <v>56</v>
      </c>
      <c r="AN639" t="s">
        <v>56</v>
      </c>
      <c r="AO639" t="s">
        <v>56</v>
      </c>
      <c r="AP639" t="s">
        <v>56</v>
      </c>
      <c r="AQ639" t="s">
        <v>71</v>
      </c>
      <c r="AR639" t="s">
        <v>56</v>
      </c>
      <c r="AS639" t="s">
        <v>56</v>
      </c>
      <c r="AT639" t="s">
        <v>56</v>
      </c>
      <c r="AU639" t="s">
        <v>56</v>
      </c>
      <c r="AV639" t="s">
        <v>56</v>
      </c>
      <c r="AW639" t="s">
        <v>56</v>
      </c>
      <c r="AX639">
        <v>4</v>
      </c>
    </row>
    <row r="640" spans="1:50" x14ac:dyDescent="0.25">
      <c r="A640" t="str">
        <f>"20200131128017181435"</f>
        <v>20200131128017181435</v>
      </c>
      <c r="B640" t="s">
        <v>110</v>
      </c>
      <c r="C640" t="s">
        <v>110</v>
      </c>
      <c r="D640" t="s">
        <v>3121</v>
      </c>
      <c r="E640" t="str">
        <f>"270010031301"</f>
        <v>270010031301</v>
      </c>
      <c r="F640" t="s">
        <v>52</v>
      </c>
      <c r="G640">
        <v>900106018</v>
      </c>
      <c r="H640">
        <v>27001</v>
      </c>
      <c r="I640" t="s">
        <v>3122</v>
      </c>
      <c r="J640">
        <v>6719502</v>
      </c>
      <c r="K640" t="s">
        <v>54</v>
      </c>
      <c r="L640">
        <v>6333732</v>
      </c>
      <c r="M640" t="s">
        <v>3123</v>
      </c>
      <c r="N640" t="s">
        <v>424</v>
      </c>
      <c r="O640" t="s">
        <v>425</v>
      </c>
      <c r="P640" t="s">
        <v>207</v>
      </c>
      <c r="Q640">
        <v>6333732</v>
      </c>
      <c r="R640" t="s">
        <v>54</v>
      </c>
      <c r="S640">
        <v>22237959</v>
      </c>
      <c r="T640" t="s">
        <v>2223</v>
      </c>
      <c r="U640" t="s">
        <v>117</v>
      </c>
      <c r="V640" t="s">
        <v>297</v>
      </c>
      <c r="W640" t="s">
        <v>848</v>
      </c>
      <c r="X640" t="s">
        <v>860</v>
      </c>
      <c r="Y640" t="s">
        <v>717</v>
      </c>
      <c r="Z640">
        <v>12</v>
      </c>
      <c r="AA640" t="s">
        <v>65</v>
      </c>
      <c r="AB640" t="s">
        <v>56</v>
      </c>
      <c r="AC640" t="s">
        <v>56</v>
      </c>
      <c r="AD640">
        <v>0</v>
      </c>
      <c r="AE640" t="s">
        <v>66</v>
      </c>
      <c r="AF640" t="s">
        <v>56</v>
      </c>
      <c r="AG640" t="s">
        <v>56</v>
      </c>
      <c r="AH640" t="s">
        <v>56</v>
      </c>
      <c r="AI640" t="s">
        <v>56</v>
      </c>
      <c r="AJ640" t="s">
        <v>736</v>
      </c>
      <c r="AK640" t="s">
        <v>737</v>
      </c>
      <c r="AL640" t="s">
        <v>56</v>
      </c>
      <c r="AM640" t="s">
        <v>56</v>
      </c>
      <c r="AN640" t="s">
        <v>56</v>
      </c>
      <c r="AO640" t="s">
        <v>56</v>
      </c>
      <c r="AP640" t="s">
        <v>56</v>
      </c>
      <c r="AQ640" t="s">
        <v>71</v>
      </c>
      <c r="AR640" t="s">
        <v>56</v>
      </c>
      <c r="AS640" t="s">
        <v>56</v>
      </c>
      <c r="AT640" t="s">
        <v>56</v>
      </c>
      <c r="AU640" t="s">
        <v>56</v>
      </c>
      <c r="AV640" t="s">
        <v>56</v>
      </c>
      <c r="AW640" t="s">
        <v>56</v>
      </c>
      <c r="AX640">
        <v>4</v>
      </c>
    </row>
    <row r="641" spans="1:50" x14ac:dyDescent="0.25">
      <c r="A641" t="str">
        <f>"20200129123017106132"</f>
        <v>20200129123017106132</v>
      </c>
      <c r="B641" t="s">
        <v>72</v>
      </c>
      <c r="C641" t="s">
        <v>72</v>
      </c>
      <c r="D641" t="s">
        <v>3124</v>
      </c>
      <c r="E641" t="str">
        <f>"134300077501"</f>
        <v>134300077501</v>
      </c>
      <c r="F641" t="s">
        <v>52</v>
      </c>
      <c r="G641">
        <v>823002800</v>
      </c>
      <c r="H641">
        <v>13430</v>
      </c>
      <c r="I641" t="s">
        <v>539</v>
      </c>
      <c r="J641">
        <v>3107315890</v>
      </c>
      <c r="K641" t="s">
        <v>54</v>
      </c>
      <c r="L641">
        <v>33205215</v>
      </c>
      <c r="M641" t="s">
        <v>117</v>
      </c>
      <c r="N641" t="s">
        <v>600</v>
      </c>
      <c r="O641" t="s">
        <v>194</v>
      </c>
      <c r="P641" t="s">
        <v>774</v>
      </c>
      <c r="Q641">
        <v>159196</v>
      </c>
      <c r="R641" t="s">
        <v>54</v>
      </c>
      <c r="S641">
        <v>72254667</v>
      </c>
      <c r="T641" t="s">
        <v>127</v>
      </c>
      <c r="U641" t="s">
        <v>132</v>
      </c>
      <c r="V641" t="s">
        <v>225</v>
      </c>
      <c r="W641" t="s">
        <v>179</v>
      </c>
      <c r="X641" t="s">
        <v>100</v>
      </c>
      <c r="Y641" t="s">
        <v>101</v>
      </c>
      <c r="Z641">
        <v>11</v>
      </c>
      <c r="AA641" t="s">
        <v>87</v>
      </c>
      <c r="AB641" t="s">
        <v>56</v>
      </c>
      <c r="AC641" t="s">
        <v>56</v>
      </c>
      <c r="AD641">
        <v>0</v>
      </c>
      <c r="AE641" t="s">
        <v>66</v>
      </c>
      <c r="AF641" t="s">
        <v>56</v>
      </c>
      <c r="AG641" t="s">
        <v>56</v>
      </c>
      <c r="AH641" t="s">
        <v>56</v>
      </c>
      <c r="AI641" t="s">
        <v>56</v>
      </c>
      <c r="AJ641" t="s">
        <v>3125</v>
      </c>
      <c r="AK641" t="s">
        <v>3126</v>
      </c>
      <c r="AL641" t="s">
        <v>56</v>
      </c>
      <c r="AM641" t="s">
        <v>56</v>
      </c>
      <c r="AN641" t="s">
        <v>56</v>
      </c>
      <c r="AO641" t="s">
        <v>56</v>
      </c>
      <c r="AP641" t="s">
        <v>56</v>
      </c>
      <c r="AQ641" t="s">
        <v>71</v>
      </c>
      <c r="AR641" t="s">
        <v>56</v>
      </c>
      <c r="AS641" t="s">
        <v>56</v>
      </c>
      <c r="AT641" t="s">
        <v>56</v>
      </c>
      <c r="AU641" t="s">
        <v>56</v>
      </c>
      <c r="AV641" t="s">
        <v>56</v>
      </c>
      <c r="AW641" t="s">
        <v>56</v>
      </c>
      <c r="AX641">
        <v>4</v>
      </c>
    </row>
    <row r="642" spans="1:50" x14ac:dyDescent="0.25">
      <c r="A642" t="str">
        <f>"20200127136017044203"</f>
        <v>20200127136017044203</v>
      </c>
      <c r="B642" t="s">
        <v>190</v>
      </c>
      <c r="C642" t="s">
        <v>190</v>
      </c>
      <c r="D642" t="s">
        <v>3127</v>
      </c>
      <c r="E642" t="str">
        <f>"086380074501"</f>
        <v>086380074501</v>
      </c>
      <c r="F642" t="s">
        <v>52</v>
      </c>
      <c r="G642">
        <v>900080150</v>
      </c>
      <c r="H642" t="s">
        <v>246</v>
      </c>
      <c r="I642" t="s">
        <v>247</v>
      </c>
      <c r="J642">
        <v>8783805</v>
      </c>
      <c r="K642" t="s">
        <v>54</v>
      </c>
      <c r="L642">
        <v>32833623</v>
      </c>
      <c r="M642" t="s">
        <v>1065</v>
      </c>
      <c r="N642" t="s">
        <v>59</v>
      </c>
      <c r="O642" t="s">
        <v>659</v>
      </c>
      <c r="P642" t="s">
        <v>252</v>
      </c>
      <c r="Q642">
        <v>32833623</v>
      </c>
      <c r="R642" t="s">
        <v>54</v>
      </c>
      <c r="S642">
        <v>26932505</v>
      </c>
      <c r="T642" t="s">
        <v>3128</v>
      </c>
      <c r="U642" t="s">
        <v>62</v>
      </c>
      <c r="V642" t="s">
        <v>2103</v>
      </c>
      <c r="W642" t="s">
        <v>2958</v>
      </c>
      <c r="X642" t="s">
        <v>1731</v>
      </c>
      <c r="Y642" t="s">
        <v>121</v>
      </c>
      <c r="Z642">
        <v>12</v>
      </c>
      <c r="AA642" t="s">
        <v>65</v>
      </c>
      <c r="AB642" t="s">
        <v>56</v>
      </c>
      <c r="AC642" t="s">
        <v>56</v>
      </c>
      <c r="AD642">
        <v>0</v>
      </c>
      <c r="AE642" t="s">
        <v>66</v>
      </c>
      <c r="AF642" t="s">
        <v>56</v>
      </c>
      <c r="AG642" t="s">
        <v>56</v>
      </c>
      <c r="AH642" t="s">
        <v>56</v>
      </c>
      <c r="AI642" t="s">
        <v>56</v>
      </c>
      <c r="AJ642" t="s">
        <v>1061</v>
      </c>
      <c r="AK642" t="s">
        <v>1062</v>
      </c>
      <c r="AL642" t="s">
        <v>122</v>
      </c>
      <c r="AM642" t="s">
        <v>123</v>
      </c>
      <c r="AN642" t="s">
        <v>2539</v>
      </c>
      <c r="AO642" t="s">
        <v>2540</v>
      </c>
      <c r="AP642" t="s">
        <v>56</v>
      </c>
      <c r="AQ642" t="s">
        <v>71</v>
      </c>
      <c r="AR642" t="s">
        <v>56</v>
      </c>
      <c r="AS642" t="s">
        <v>56</v>
      </c>
      <c r="AT642" t="s">
        <v>56</v>
      </c>
      <c r="AU642" t="s">
        <v>56</v>
      </c>
      <c r="AV642" t="s">
        <v>56</v>
      </c>
      <c r="AW642" t="s">
        <v>56</v>
      </c>
      <c r="AX642">
        <v>4</v>
      </c>
    </row>
    <row r="643" spans="1:50" x14ac:dyDescent="0.25">
      <c r="A643" t="str">
        <f>"20200129183017102235"</f>
        <v>20200129183017102235</v>
      </c>
      <c r="B643" t="s">
        <v>72</v>
      </c>
      <c r="C643" t="s">
        <v>72</v>
      </c>
      <c r="D643" t="s">
        <v>3129</v>
      </c>
      <c r="E643" t="str">
        <f>"132440082603"</f>
        <v>132440082603</v>
      </c>
      <c r="F643" t="s">
        <v>52</v>
      </c>
      <c r="G643">
        <v>900793202</v>
      </c>
      <c r="H643">
        <v>13244</v>
      </c>
      <c r="I643" t="s">
        <v>3130</v>
      </c>
      <c r="J643">
        <v>3504223118</v>
      </c>
      <c r="K643" t="s">
        <v>54</v>
      </c>
      <c r="L643">
        <v>1143400169</v>
      </c>
      <c r="M643" t="s">
        <v>962</v>
      </c>
      <c r="N643" t="s">
        <v>519</v>
      </c>
      <c r="O643" t="s">
        <v>3131</v>
      </c>
      <c r="P643" t="s">
        <v>3132</v>
      </c>
      <c r="Q643">
        <v>1143400169</v>
      </c>
      <c r="R643" t="s">
        <v>54</v>
      </c>
      <c r="S643">
        <v>22857213</v>
      </c>
      <c r="T643" t="s">
        <v>1555</v>
      </c>
      <c r="U643" t="s">
        <v>59</v>
      </c>
      <c r="V643" t="s">
        <v>364</v>
      </c>
      <c r="W643" t="s">
        <v>608</v>
      </c>
      <c r="X643" t="s">
        <v>183</v>
      </c>
      <c r="Y643" t="s">
        <v>101</v>
      </c>
      <c r="Z643">
        <v>21</v>
      </c>
      <c r="AA643" t="s">
        <v>1103</v>
      </c>
      <c r="AB643" t="s">
        <v>56</v>
      </c>
      <c r="AC643" t="s">
        <v>56</v>
      </c>
      <c r="AD643">
        <v>0</v>
      </c>
      <c r="AE643" t="s">
        <v>66</v>
      </c>
      <c r="AF643" t="s">
        <v>56</v>
      </c>
      <c r="AG643" t="s">
        <v>56</v>
      </c>
      <c r="AH643" t="s">
        <v>56</v>
      </c>
      <c r="AI643" t="s">
        <v>56</v>
      </c>
      <c r="AJ643" t="s">
        <v>454</v>
      </c>
      <c r="AK643" t="s">
        <v>455</v>
      </c>
      <c r="AL643" t="s">
        <v>1048</v>
      </c>
      <c r="AM643" t="s">
        <v>1049</v>
      </c>
      <c r="AN643" t="s">
        <v>56</v>
      </c>
      <c r="AO643" t="s">
        <v>56</v>
      </c>
      <c r="AP643" t="s">
        <v>56</v>
      </c>
      <c r="AQ643" t="s">
        <v>71</v>
      </c>
      <c r="AR643" t="s">
        <v>56</v>
      </c>
      <c r="AS643" t="s">
        <v>56</v>
      </c>
      <c r="AT643" t="s">
        <v>56</v>
      </c>
      <c r="AU643" t="s">
        <v>56</v>
      </c>
      <c r="AV643" t="s">
        <v>56</v>
      </c>
      <c r="AW643" t="s">
        <v>56</v>
      </c>
      <c r="AX643">
        <v>4</v>
      </c>
    </row>
    <row r="644" spans="1:50" x14ac:dyDescent="0.25">
      <c r="A644" t="str">
        <f>"20200131152017160820"</f>
        <v>20200131152017160820</v>
      </c>
      <c r="B644" t="s">
        <v>110</v>
      </c>
      <c r="C644" t="s">
        <v>110</v>
      </c>
      <c r="D644" t="s">
        <v>3133</v>
      </c>
      <c r="E644" t="str">
        <f>"080010445433"</f>
        <v>080010445433</v>
      </c>
      <c r="F644" t="s">
        <v>52</v>
      </c>
      <c r="G644">
        <v>901139193</v>
      </c>
      <c r="H644" t="s">
        <v>112</v>
      </c>
      <c r="I644" t="s">
        <v>1700</v>
      </c>
      <c r="J644">
        <v>3781483</v>
      </c>
      <c r="K644" t="s">
        <v>54</v>
      </c>
      <c r="L644">
        <v>1042426704</v>
      </c>
      <c r="M644" t="s">
        <v>142</v>
      </c>
      <c r="N644" t="s">
        <v>205</v>
      </c>
      <c r="O644" t="s">
        <v>1385</v>
      </c>
      <c r="P644" t="s">
        <v>1701</v>
      </c>
      <c r="Q644" t="s">
        <v>1702</v>
      </c>
      <c r="R644" t="s">
        <v>54</v>
      </c>
      <c r="S644">
        <v>22332012</v>
      </c>
      <c r="T644" t="s">
        <v>2581</v>
      </c>
      <c r="U644" t="s">
        <v>2298</v>
      </c>
      <c r="V644" t="s">
        <v>3134</v>
      </c>
      <c r="W644" t="s">
        <v>2287</v>
      </c>
      <c r="X644" t="s">
        <v>120</v>
      </c>
      <c r="Y644" t="s">
        <v>121</v>
      </c>
      <c r="Z644">
        <v>12</v>
      </c>
      <c r="AA644" t="s">
        <v>65</v>
      </c>
      <c r="AB644" t="s">
        <v>56</v>
      </c>
      <c r="AC644" t="s">
        <v>56</v>
      </c>
      <c r="AD644">
        <v>0</v>
      </c>
      <c r="AE644" t="s">
        <v>66</v>
      </c>
      <c r="AF644" t="s">
        <v>56</v>
      </c>
      <c r="AG644" t="s">
        <v>56</v>
      </c>
      <c r="AH644" t="s">
        <v>56</v>
      </c>
      <c r="AI644" t="s">
        <v>56</v>
      </c>
      <c r="AJ644" t="s">
        <v>444</v>
      </c>
      <c r="AK644" t="s">
        <v>445</v>
      </c>
      <c r="AL644" t="s">
        <v>56</v>
      </c>
      <c r="AM644" t="s">
        <v>56</v>
      </c>
      <c r="AN644" t="s">
        <v>56</v>
      </c>
      <c r="AO644" t="s">
        <v>56</v>
      </c>
      <c r="AP644" t="s">
        <v>56</v>
      </c>
      <c r="AQ644" t="s">
        <v>71</v>
      </c>
      <c r="AR644" t="s">
        <v>56</v>
      </c>
      <c r="AS644" t="s">
        <v>56</v>
      </c>
      <c r="AT644" t="s">
        <v>56</v>
      </c>
      <c r="AU644" t="s">
        <v>56</v>
      </c>
      <c r="AV644" t="s">
        <v>56</v>
      </c>
      <c r="AW644" t="s">
        <v>56</v>
      </c>
      <c r="AX644">
        <v>4</v>
      </c>
    </row>
    <row r="645" spans="1:50" x14ac:dyDescent="0.25">
      <c r="A645" t="str">
        <f>"20200131145017165172"</f>
        <v>20200131145017165172</v>
      </c>
      <c r="B645" t="s">
        <v>110</v>
      </c>
      <c r="C645" t="s">
        <v>110</v>
      </c>
      <c r="D645" t="s">
        <v>3135</v>
      </c>
      <c r="E645" t="str">
        <f>"134300049201"</f>
        <v>134300049201</v>
      </c>
      <c r="F645" t="s">
        <v>52</v>
      </c>
      <c r="G645">
        <v>900196347</v>
      </c>
      <c r="H645">
        <v>13430</v>
      </c>
      <c r="I645" t="s">
        <v>174</v>
      </c>
      <c r="J645" t="s">
        <v>175</v>
      </c>
      <c r="K645" t="s">
        <v>54</v>
      </c>
      <c r="L645">
        <v>33336940</v>
      </c>
      <c r="M645" t="s">
        <v>1176</v>
      </c>
      <c r="N645" t="s">
        <v>117</v>
      </c>
      <c r="O645" t="s">
        <v>1144</v>
      </c>
      <c r="P645" t="s">
        <v>1177</v>
      </c>
      <c r="Q645">
        <v>10694</v>
      </c>
      <c r="R645" t="s">
        <v>54</v>
      </c>
      <c r="S645">
        <v>33310833</v>
      </c>
      <c r="T645" t="s">
        <v>3136</v>
      </c>
      <c r="U645" t="s">
        <v>296</v>
      </c>
      <c r="V645" t="s">
        <v>1366</v>
      </c>
      <c r="W645" t="s">
        <v>2287</v>
      </c>
      <c r="X645" t="s">
        <v>183</v>
      </c>
      <c r="Y645" t="s">
        <v>101</v>
      </c>
      <c r="Z645">
        <v>12</v>
      </c>
      <c r="AA645" t="s">
        <v>65</v>
      </c>
      <c r="AB645" t="s">
        <v>56</v>
      </c>
      <c r="AC645" t="s">
        <v>56</v>
      </c>
      <c r="AD645">
        <v>0</v>
      </c>
      <c r="AE645" t="s">
        <v>66</v>
      </c>
      <c r="AF645" t="s">
        <v>56</v>
      </c>
      <c r="AG645" t="s">
        <v>56</v>
      </c>
      <c r="AH645" t="s">
        <v>56</v>
      </c>
      <c r="AI645" t="s">
        <v>56</v>
      </c>
      <c r="AJ645" t="s">
        <v>591</v>
      </c>
      <c r="AK645" t="s">
        <v>592</v>
      </c>
      <c r="AL645" t="s">
        <v>56</v>
      </c>
      <c r="AM645" t="s">
        <v>56</v>
      </c>
      <c r="AN645" t="s">
        <v>56</v>
      </c>
      <c r="AO645" t="s">
        <v>56</v>
      </c>
      <c r="AP645" t="s">
        <v>56</v>
      </c>
      <c r="AQ645" t="s">
        <v>71</v>
      </c>
      <c r="AR645" t="s">
        <v>56</v>
      </c>
      <c r="AS645" t="s">
        <v>56</v>
      </c>
      <c r="AT645" t="s">
        <v>56</v>
      </c>
      <c r="AU645" t="s">
        <v>56</v>
      </c>
      <c r="AV645" t="s">
        <v>56</v>
      </c>
      <c r="AW645" t="s">
        <v>56</v>
      </c>
      <c r="AX645">
        <v>4</v>
      </c>
    </row>
    <row r="646" spans="1:50" x14ac:dyDescent="0.25">
      <c r="A646" t="str">
        <f>"20200127127017061544"</f>
        <v>20200127127017061544</v>
      </c>
      <c r="B646" t="s">
        <v>190</v>
      </c>
      <c r="C646" t="s">
        <v>190</v>
      </c>
      <c r="D646" t="s">
        <v>3137</v>
      </c>
      <c r="E646" t="str">
        <f>"230010119101"</f>
        <v>230010119101</v>
      </c>
      <c r="F646" t="s">
        <v>52</v>
      </c>
      <c r="G646">
        <v>900168938</v>
      </c>
      <c r="H646">
        <v>23001</v>
      </c>
      <c r="I646" t="s">
        <v>1999</v>
      </c>
      <c r="J646">
        <v>7817284</v>
      </c>
      <c r="K646" t="s">
        <v>54</v>
      </c>
      <c r="L646">
        <v>35113269</v>
      </c>
      <c r="M646" t="s">
        <v>2636</v>
      </c>
      <c r="N646" t="s">
        <v>3138</v>
      </c>
      <c r="O646" t="s">
        <v>3139</v>
      </c>
      <c r="P646" t="s">
        <v>3140</v>
      </c>
      <c r="Q646">
        <v>2332904</v>
      </c>
      <c r="R646" t="s">
        <v>54</v>
      </c>
      <c r="S646">
        <v>50956841</v>
      </c>
      <c r="T646" t="s">
        <v>59</v>
      </c>
      <c r="U646" t="s">
        <v>965</v>
      </c>
      <c r="V646" t="s">
        <v>1060</v>
      </c>
      <c r="W646" t="s">
        <v>1789</v>
      </c>
      <c r="X646" t="s">
        <v>2002</v>
      </c>
      <c r="Y646" t="s">
        <v>136</v>
      </c>
      <c r="Z646">
        <v>12</v>
      </c>
      <c r="AA646" t="s">
        <v>65</v>
      </c>
      <c r="AB646" t="s">
        <v>56</v>
      </c>
      <c r="AC646" t="s">
        <v>56</v>
      </c>
      <c r="AD646">
        <v>0</v>
      </c>
      <c r="AE646" t="s">
        <v>66</v>
      </c>
      <c r="AF646" t="s">
        <v>56</v>
      </c>
      <c r="AG646" t="s">
        <v>56</v>
      </c>
      <c r="AH646" t="s">
        <v>56</v>
      </c>
      <c r="AI646" t="s">
        <v>56</v>
      </c>
      <c r="AJ646" t="s">
        <v>536</v>
      </c>
      <c r="AK646" t="s">
        <v>537</v>
      </c>
      <c r="AL646" t="s">
        <v>56</v>
      </c>
      <c r="AM646" t="s">
        <v>56</v>
      </c>
      <c r="AN646" t="s">
        <v>56</v>
      </c>
      <c r="AO646" t="s">
        <v>56</v>
      </c>
      <c r="AP646" t="s">
        <v>56</v>
      </c>
      <c r="AQ646" t="s">
        <v>71</v>
      </c>
      <c r="AR646" t="s">
        <v>56</v>
      </c>
      <c r="AS646" t="s">
        <v>56</v>
      </c>
      <c r="AT646" t="s">
        <v>56</v>
      </c>
      <c r="AU646" t="s">
        <v>56</v>
      </c>
      <c r="AV646" t="s">
        <v>56</v>
      </c>
      <c r="AW646" t="s">
        <v>56</v>
      </c>
      <c r="AX646">
        <v>4</v>
      </c>
    </row>
    <row r="647" spans="1:50" x14ac:dyDescent="0.25">
      <c r="A647" t="str">
        <f>"20200129154017102599"</f>
        <v>20200129154017102599</v>
      </c>
      <c r="B647" t="s">
        <v>72</v>
      </c>
      <c r="C647" t="s">
        <v>72</v>
      </c>
      <c r="D647" t="s">
        <v>3141</v>
      </c>
      <c r="E647" t="str">
        <f>"134300290801"</f>
        <v>134300290801</v>
      </c>
      <c r="F647" t="s">
        <v>52</v>
      </c>
      <c r="G647">
        <v>800033723</v>
      </c>
      <c r="H647">
        <v>13430</v>
      </c>
      <c r="I647" t="s">
        <v>1672</v>
      </c>
      <c r="J647">
        <v>3187117423</v>
      </c>
      <c r="K647" t="s">
        <v>54</v>
      </c>
      <c r="L647">
        <v>92499913</v>
      </c>
      <c r="M647" t="s">
        <v>164</v>
      </c>
      <c r="N647" t="s">
        <v>234</v>
      </c>
      <c r="O647" t="s">
        <v>726</v>
      </c>
      <c r="P647" t="s">
        <v>1673</v>
      </c>
      <c r="Q647">
        <v>1337</v>
      </c>
      <c r="R647" t="s">
        <v>54</v>
      </c>
      <c r="S647">
        <v>22439187</v>
      </c>
      <c r="T647" t="s">
        <v>117</v>
      </c>
      <c r="U647" t="s">
        <v>1444</v>
      </c>
      <c r="V647" t="s">
        <v>57</v>
      </c>
      <c r="W647" t="s">
        <v>3142</v>
      </c>
      <c r="X647" t="s">
        <v>183</v>
      </c>
      <c r="Y647" t="s">
        <v>101</v>
      </c>
      <c r="Z647">
        <v>12</v>
      </c>
      <c r="AA647" t="s">
        <v>65</v>
      </c>
      <c r="AB647" t="s">
        <v>56</v>
      </c>
      <c r="AC647" t="s">
        <v>56</v>
      </c>
      <c r="AD647">
        <v>0</v>
      </c>
      <c r="AE647" t="s">
        <v>66</v>
      </c>
      <c r="AF647" t="s">
        <v>56</v>
      </c>
      <c r="AG647" t="s">
        <v>56</v>
      </c>
      <c r="AH647" t="s">
        <v>56</v>
      </c>
      <c r="AI647" t="s">
        <v>56</v>
      </c>
      <c r="AJ647" t="s">
        <v>1676</v>
      </c>
      <c r="AK647" t="s">
        <v>1677</v>
      </c>
      <c r="AL647" t="s">
        <v>56</v>
      </c>
      <c r="AM647" t="s">
        <v>56</v>
      </c>
      <c r="AN647" t="s">
        <v>56</v>
      </c>
      <c r="AO647" t="s">
        <v>56</v>
      </c>
      <c r="AP647" t="s">
        <v>56</v>
      </c>
      <c r="AQ647" t="s">
        <v>71</v>
      </c>
      <c r="AR647" t="s">
        <v>56</v>
      </c>
      <c r="AS647" t="s">
        <v>56</v>
      </c>
      <c r="AT647" t="s">
        <v>56</v>
      </c>
      <c r="AU647" t="s">
        <v>56</v>
      </c>
      <c r="AV647" t="s">
        <v>56</v>
      </c>
      <c r="AW647" t="s">
        <v>56</v>
      </c>
      <c r="AX647">
        <v>4</v>
      </c>
    </row>
    <row r="648" spans="1:50" x14ac:dyDescent="0.25">
      <c r="A648" t="str">
        <f>"20200130117017152046"</f>
        <v>20200130117017152046</v>
      </c>
      <c r="B648" t="s">
        <v>124</v>
      </c>
      <c r="C648" t="s">
        <v>124</v>
      </c>
      <c r="D648" t="s">
        <v>3143</v>
      </c>
      <c r="E648" t="str">
        <f>"700010018501"</f>
        <v>700010018501</v>
      </c>
      <c r="F648" t="s">
        <v>52</v>
      </c>
      <c r="G648">
        <v>823002342</v>
      </c>
      <c r="H648">
        <v>70001</v>
      </c>
      <c r="I648" t="s">
        <v>1932</v>
      </c>
      <c r="J648">
        <v>2820285</v>
      </c>
      <c r="K648" t="s">
        <v>54</v>
      </c>
      <c r="L648">
        <v>17975458</v>
      </c>
      <c r="M648" t="s">
        <v>1400</v>
      </c>
      <c r="N648" t="s">
        <v>132</v>
      </c>
      <c r="O648" t="s">
        <v>3144</v>
      </c>
      <c r="P648" t="s">
        <v>3145</v>
      </c>
      <c r="Q648">
        <v>17975458</v>
      </c>
      <c r="R648" t="s">
        <v>54</v>
      </c>
      <c r="S648">
        <v>23049857</v>
      </c>
      <c r="T648" t="s">
        <v>600</v>
      </c>
      <c r="U648" t="s">
        <v>196</v>
      </c>
      <c r="V648" t="s">
        <v>1060</v>
      </c>
      <c r="W648" t="s">
        <v>374</v>
      </c>
      <c r="X648" t="s">
        <v>605</v>
      </c>
      <c r="Y648" t="s">
        <v>330</v>
      </c>
      <c r="Z648">
        <v>12</v>
      </c>
      <c r="AA648" t="s">
        <v>65</v>
      </c>
      <c r="AB648" t="s">
        <v>56</v>
      </c>
      <c r="AC648" t="s">
        <v>56</v>
      </c>
      <c r="AD648">
        <v>0</v>
      </c>
      <c r="AE648" t="s">
        <v>66</v>
      </c>
      <c r="AF648" t="s">
        <v>56</v>
      </c>
      <c r="AG648" t="s">
        <v>56</v>
      </c>
      <c r="AH648" t="s">
        <v>56</v>
      </c>
      <c r="AI648" t="s">
        <v>56</v>
      </c>
      <c r="AJ648" t="s">
        <v>2173</v>
      </c>
      <c r="AK648" t="s">
        <v>2174</v>
      </c>
      <c r="AL648" t="s">
        <v>56</v>
      </c>
      <c r="AM648" t="s">
        <v>56</v>
      </c>
      <c r="AN648" t="s">
        <v>56</v>
      </c>
      <c r="AO648" t="s">
        <v>56</v>
      </c>
      <c r="AP648" t="s">
        <v>56</v>
      </c>
      <c r="AQ648" t="s">
        <v>71</v>
      </c>
      <c r="AR648" t="s">
        <v>56</v>
      </c>
      <c r="AS648" t="s">
        <v>56</v>
      </c>
      <c r="AT648" t="s">
        <v>56</v>
      </c>
      <c r="AU648" t="s">
        <v>56</v>
      </c>
      <c r="AV648" t="s">
        <v>56</v>
      </c>
      <c r="AW648" t="s">
        <v>56</v>
      </c>
      <c r="AX648">
        <v>4</v>
      </c>
    </row>
    <row r="649" spans="1:50" x14ac:dyDescent="0.25">
      <c r="A649" t="str">
        <f>"20200127178017044872"</f>
        <v>20200127178017044872</v>
      </c>
      <c r="B649" t="s">
        <v>190</v>
      </c>
      <c r="C649" t="s">
        <v>190</v>
      </c>
      <c r="D649" t="s">
        <v>3146</v>
      </c>
      <c r="E649" t="str">
        <f>"134300077501"</f>
        <v>134300077501</v>
      </c>
      <c r="F649" t="s">
        <v>52</v>
      </c>
      <c r="G649">
        <v>823002800</v>
      </c>
      <c r="H649">
        <v>13430</v>
      </c>
      <c r="I649" t="s">
        <v>539</v>
      </c>
      <c r="J649">
        <v>3107315890</v>
      </c>
      <c r="K649" t="s">
        <v>54</v>
      </c>
      <c r="L649">
        <v>55231988</v>
      </c>
      <c r="M649" t="s">
        <v>886</v>
      </c>
      <c r="N649" t="s">
        <v>56</v>
      </c>
      <c r="O649" t="s">
        <v>193</v>
      </c>
      <c r="P649" t="s">
        <v>805</v>
      </c>
      <c r="Q649">
        <v>161322009</v>
      </c>
      <c r="R649" t="s">
        <v>54</v>
      </c>
      <c r="S649">
        <v>33203239</v>
      </c>
      <c r="T649" t="s">
        <v>504</v>
      </c>
      <c r="U649" t="s">
        <v>1164</v>
      </c>
      <c r="V649" t="s">
        <v>1385</v>
      </c>
      <c r="W649" t="s">
        <v>403</v>
      </c>
      <c r="X649" t="s">
        <v>183</v>
      </c>
      <c r="Y649" t="s">
        <v>101</v>
      </c>
      <c r="Z649">
        <v>12</v>
      </c>
      <c r="AA649" t="s">
        <v>65</v>
      </c>
      <c r="AB649" t="s">
        <v>56</v>
      </c>
      <c r="AC649" t="s">
        <v>56</v>
      </c>
      <c r="AD649">
        <v>0</v>
      </c>
      <c r="AE649" t="s">
        <v>66</v>
      </c>
      <c r="AF649" t="s">
        <v>56</v>
      </c>
      <c r="AG649" t="s">
        <v>56</v>
      </c>
      <c r="AH649" t="s">
        <v>56</v>
      </c>
      <c r="AI649" t="s">
        <v>56</v>
      </c>
      <c r="AJ649" t="s">
        <v>1740</v>
      </c>
      <c r="AK649" t="s">
        <v>1741</v>
      </c>
      <c r="AL649" t="s">
        <v>1801</v>
      </c>
      <c r="AM649" t="s">
        <v>1802</v>
      </c>
      <c r="AN649" t="s">
        <v>56</v>
      </c>
      <c r="AO649" t="s">
        <v>56</v>
      </c>
      <c r="AP649" t="s">
        <v>56</v>
      </c>
      <c r="AQ649" t="s">
        <v>71</v>
      </c>
      <c r="AR649" t="s">
        <v>56</v>
      </c>
      <c r="AS649" t="s">
        <v>56</v>
      </c>
      <c r="AT649" t="s">
        <v>56</v>
      </c>
      <c r="AU649" t="s">
        <v>56</v>
      </c>
      <c r="AV649" t="s">
        <v>56</v>
      </c>
      <c r="AW649" t="s">
        <v>56</v>
      </c>
      <c r="AX649">
        <v>4</v>
      </c>
    </row>
    <row r="650" spans="1:50" x14ac:dyDescent="0.25">
      <c r="A650" t="str">
        <f>"20200129157017115063"</f>
        <v>20200129157017115063</v>
      </c>
      <c r="B650" t="s">
        <v>72</v>
      </c>
      <c r="C650" t="s">
        <v>72</v>
      </c>
      <c r="D650" t="s">
        <v>3147</v>
      </c>
      <c r="E650" t="str">
        <f>"087580001301"</f>
        <v>087580001301</v>
      </c>
      <c r="F650" t="s">
        <v>52</v>
      </c>
      <c r="G650">
        <v>890112801</v>
      </c>
      <c r="H650" t="s">
        <v>74</v>
      </c>
      <c r="I650" t="s">
        <v>75</v>
      </c>
      <c r="J650">
        <v>3715562</v>
      </c>
      <c r="K650" t="s">
        <v>54</v>
      </c>
      <c r="L650">
        <v>79966620</v>
      </c>
      <c r="M650" t="s">
        <v>106</v>
      </c>
      <c r="N650" t="s">
        <v>2218</v>
      </c>
      <c r="O650" t="s">
        <v>3148</v>
      </c>
      <c r="P650" t="s">
        <v>99</v>
      </c>
      <c r="Q650" t="s">
        <v>3149</v>
      </c>
      <c r="R650" t="s">
        <v>54</v>
      </c>
      <c r="S650">
        <v>32642025</v>
      </c>
      <c r="T650" t="s">
        <v>3057</v>
      </c>
      <c r="U650" t="s">
        <v>117</v>
      </c>
      <c r="V650" t="s">
        <v>2102</v>
      </c>
      <c r="W650" t="s">
        <v>2371</v>
      </c>
      <c r="X650" t="s">
        <v>299</v>
      </c>
      <c r="Y650" t="s">
        <v>121</v>
      </c>
      <c r="Z650">
        <v>12</v>
      </c>
      <c r="AA650" t="s">
        <v>65</v>
      </c>
      <c r="AB650" t="s">
        <v>56</v>
      </c>
      <c r="AC650" t="s">
        <v>56</v>
      </c>
      <c r="AD650">
        <v>0</v>
      </c>
      <c r="AE650" t="s">
        <v>66</v>
      </c>
      <c r="AF650" t="s">
        <v>56</v>
      </c>
      <c r="AG650" t="s">
        <v>56</v>
      </c>
      <c r="AH650" t="s">
        <v>56</v>
      </c>
      <c r="AI650" t="s">
        <v>56</v>
      </c>
      <c r="AJ650" t="s">
        <v>2062</v>
      </c>
      <c r="AK650" t="s">
        <v>2063</v>
      </c>
      <c r="AL650" t="s">
        <v>56</v>
      </c>
      <c r="AM650" t="s">
        <v>56</v>
      </c>
      <c r="AN650" t="s">
        <v>56</v>
      </c>
      <c r="AO650" t="s">
        <v>56</v>
      </c>
      <c r="AP650" t="s">
        <v>56</v>
      </c>
      <c r="AQ650" t="s">
        <v>71</v>
      </c>
      <c r="AR650" t="s">
        <v>56</v>
      </c>
      <c r="AS650" t="s">
        <v>56</v>
      </c>
      <c r="AT650" t="s">
        <v>56</v>
      </c>
      <c r="AU650" t="s">
        <v>56</v>
      </c>
      <c r="AV650" t="s">
        <v>56</v>
      </c>
      <c r="AW650" t="s">
        <v>56</v>
      </c>
      <c r="AX650">
        <v>4</v>
      </c>
    </row>
    <row r="651" spans="1:50" x14ac:dyDescent="0.25">
      <c r="A651" t="str">
        <f>"20200201177017185591"</f>
        <v>20200201177017185591</v>
      </c>
      <c r="B651" t="s">
        <v>50</v>
      </c>
      <c r="C651" t="s">
        <v>50</v>
      </c>
      <c r="D651" t="s">
        <v>3150</v>
      </c>
      <c r="E651" t="str">
        <f>"080010003601"</f>
        <v>080010003601</v>
      </c>
      <c r="F651" t="s">
        <v>52</v>
      </c>
      <c r="G651">
        <v>802000955</v>
      </c>
      <c r="H651" t="s">
        <v>112</v>
      </c>
      <c r="I651" t="s">
        <v>218</v>
      </c>
      <c r="J651" t="s">
        <v>56</v>
      </c>
      <c r="K651" t="s">
        <v>54</v>
      </c>
      <c r="L651">
        <v>32689204</v>
      </c>
      <c r="M651" t="s">
        <v>404</v>
      </c>
      <c r="N651" t="s">
        <v>548</v>
      </c>
      <c r="O651" t="s">
        <v>549</v>
      </c>
      <c r="P651" t="s">
        <v>57</v>
      </c>
      <c r="Q651" t="s">
        <v>550</v>
      </c>
      <c r="R651" t="s">
        <v>54</v>
      </c>
      <c r="S651">
        <v>32727386</v>
      </c>
      <c r="T651" t="s">
        <v>117</v>
      </c>
      <c r="U651" t="s">
        <v>1176</v>
      </c>
      <c r="V651" t="s">
        <v>956</v>
      </c>
      <c r="W651" t="s">
        <v>263</v>
      </c>
      <c r="X651" t="s">
        <v>120</v>
      </c>
      <c r="Y651" t="s">
        <v>121</v>
      </c>
      <c r="Z651">
        <v>12</v>
      </c>
      <c r="AA651" t="s">
        <v>65</v>
      </c>
      <c r="AB651" t="s">
        <v>56</v>
      </c>
      <c r="AC651" t="s">
        <v>56</v>
      </c>
      <c r="AD651">
        <v>0</v>
      </c>
      <c r="AE651" t="s">
        <v>66</v>
      </c>
      <c r="AF651" t="s">
        <v>56</v>
      </c>
      <c r="AG651" t="s">
        <v>56</v>
      </c>
      <c r="AH651" t="s">
        <v>56</v>
      </c>
      <c r="AI651" t="s">
        <v>56</v>
      </c>
      <c r="AJ651" t="s">
        <v>228</v>
      </c>
      <c r="AK651" t="s">
        <v>229</v>
      </c>
      <c r="AL651" t="s">
        <v>56</v>
      </c>
      <c r="AM651" t="s">
        <v>56</v>
      </c>
      <c r="AN651" t="s">
        <v>56</v>
      </c>
      <c r="AO651" t="s">
        <v>56</v>
      </c>
      <c r="AP651" t="s">
        <v>56</v>
      </c>
      <c r="AQ651" t="s">
        <v>71</v>
      </c>
      <c r="AR651" t="s">
        <v>56</v>
      </c>
      <c r="AS651" t="s">
        <v>56</v>
      </c>
      <c r="AT651" t="s">
        <v>56</v>
      </c>
      <c r="AU651" t="s">
        <v>56</v>
      </c>
      <c r="AV651" t="s">
        <v>56</v>
      </c>
      <c r="AW651" t="s">
        <v>56</v>
      </c>
      <c r="AX651">
        <v>4</v>
      </c>
    </row>
    <row r="652" spans="1:50" x14ac:dyDescent="0.25">
      <c r="A652" t="str">
        <f>"20200129193017117816"</f>
        <v>20200129193017117816</v>
      </c>
      <c r="B652" t="s">
        <v>72</v>
      </c>
      <c r="C652" t="s">
        <v>72</v>
      </c>
      <c r="D652" t="s">
        <v>3151</v>
      </c>
      <c r="E652" t="str">
        <f>"700010016301"</f>
        <v>700010016301</v>
      </c>
      <c r="F652" t="s">
        <v>52</v>
      </c>
      <c r="G652">
        <v>823002800</v>
      </c>
      <c r="H652">
        <v>70001</v>
      </c>
      <c r="I652" t="s">
        <v>603</v>
      </c>
      <c r="J652">
        <v>3126692716</v>
      </c>
      <c r="K652" t="s">
        <v>54</v>
      </c>
      <c r="L652">
        <v>92517620</v>
      </c>
      <c r="M652" t="s">
        <v>233</v>
      </c>
      <c r="N652" t="s">
        <v>86</v>
      </c>
      <c r="O652" t="s">
        <v>3152</v>
      </c>
      <c r="P652" t="s">
        <v>119</v>
      </c>
      <c r="Q652">
        <v>5398</v>
      </c>
      <c r="R652" t="s">
        <v>54</v>
      </c>
      <c r="S652">
        <v>1100401082</v>
      </c>
      <c r="T652" t="s">
        <v>1222</v>
      </c>
      <c r="U652" t="s">
        <v>261</v>
      </c>
      <c r="V652" t="s">
        <v>343</v>
      </c>
      <c r="W652" t="s">
        <v>3062</v>
      </c>
      <c r="X652" t="s">
        <v>1454</v>
      </c>
      <c r="Y652" t="s">
        <v>330</v>
      </c>
      <c r="Z652">
        <v>22</v>
      </c>
      <c r="AA652" t="s">
        <v>102</v>
      </c>
      <c r="AB652">
        <v>0</v>
      </c>
      <c r="AC652" t="s">
        <v>66</v>
      </c>
      <c r="AD652">
        <v>0</v>
      </c>
      <c r="AE652" t="s">
        <v>66</v>
      </c>
      <c r="AF652" t="s">
        <v>56</v>
      </c>
      <c r="AG652" t="s">
        <v>56</v>
      </c>
      <c r="AH652" t="s">
        <v>56</v>
      </c>
      <c r="AI652" t="s">
        <v>56</v>
      </c>
      <c r="AJ652" t="s">
        <v>1173</v>
      </c>
      <c r="AK652" t="s">
        <v>1174</v>
      </c>
      <c r="AL652" t="s">
        <v>1790</v>
      </c>
      <c r="AM652" t="s">
        <v>1791</v>
      </c>
      <c r="AN652" t="s">
        <v>56</v>
      </c>
      <c r="AO652" t="s">
        <v>56</v>
      </c>
      <c r="AP652" t="s">
        <v>56</v>
      </c>
      <c r="AQ652" t="s">
        <v>71</v>
      </c>
      <c r="AR652" t="s">
        <v>56</v>
      </c>
      <c r="AS652" t="s">
        <v>56</v>
      </c>
      <c r="AT652" t="s">
        <v>56</v>
      </c>
      <c r="AU652" t="s">
        <v>56</v>
      </c>
      <c r="AV652" t="s">
        <v>56</v>
      </c>
      <c r="AW652" t="s">
        <v>56</v>
      </c>
      <c r="AX652">
        <v>4</v>
      </c>
    </row>
    <row r="653" spans="1:50" x14ac:dyDescent="0.25">
      <c r="A653" t="str">
        <f>"20200129186017125161"</f>
        <v>20200129186017125161</v>
      </c>
      <c r="B653" t="s">
        <v>72</v>
      </c>
      <c r="C653" t="s">
        <v>72</v>
      </c>
      <c r="D653" t="s">
        <v>3153</v>
      </c>
      <c r="E653" t="str">
        <f>"086380050301"</f>
        <v>086380050301</v>
      </c>
      <c r="F653" t="s">
        <v>52</v>
      </c>
      <c r="G653">
        <v>900008600</v>
      </c>
      <c r="H653" t="s">
        <v>246</v>
      </c>
      <c r="I653" t="s">
        <v>732</v>
      </c>
      <c r="J653" t="s">
        <v>733</v>
      </c>
      <c r="K653" t="s">
        <v>54</v>
      </c>
      <c r="L653">
        <v>79409992</v>
      </c>
      <c r="M653" t="s">
        <v>3154</v>
      </c>
      <c r="N653" t="s">
        <v>56</v>
      </c>
      <c r="O653" t="s">
        <v>119</v>
      </c>
      <c r="P653" t="s">
        <v>3155</v>
      </c>
      <c r="Q653" t="s">
        <v>3156</v>
      </c>
      <c r="R653" t="s">
        <v>54</v>
      </c>
      <c r="S653">
        <v>8791946</v>
      </c>
      <c r="T653" t="s">
        <v>164</v>
      </c>
      <c r="U653" t="s">
        <v>165</v>
      </c>
      <c r="V653" t="s">
        <v>1244</v>
      </c>
      <c r="W653" t="s">
        <v>1922</v>
      </c>
      <c r="X653" t="s">
        <v>383</v>
      </c>
      <c r="Y653" t="s">
        <v>121</v>
      </c>
      <c r="Z653">
        <v>12</v>
      </c>
      <c r="AA653" t="s">
        <v>65</v>
      </c>
      <c r="AB653" t="s">
        <v>56</v>
      </c>
      <c r="AC653" t="s">
        <v>56</v>
      </c>
      <c r="AD653">
        <v>0</v>
      </c>
      <c r="AE653" t="s">
        <v>66</v>
      </c>
      <c r="AF653" t="s">
        <v>56</v>
      </c>
      <c r="AG653" t="s">
        <v>56</v>
      </c>
      <c r="AH653" t="s">
        <v>56</v>
      </c>
      <c r="AI653" t="s">
        <v>56</v>
      </c>
      <c r="AJ653" t="s">
        <v>736</v>
      </c>
      <c r="AK653" t="s">
        <v>737</v>
      </c>
      <c r="AL653" t="s">
        <v>56</v>
      </c>
      <c r="AM653" t="s">
        <v>56</v>
      </c>
      <c r="AN653" t="s">
        <v>56</v>
      </c>
      <c r="AO653" t="s">
        <v>56</v>
      </c>
      <c r="AP653" t="s">
        <v>56</v>
      </c>
      <c r="AQ653" t="s">
        <v>71</v>
      </c>
      <c r="AR653" t="s">
        <v>56</v>
      </c>
      <c r="AS653" t="s">
        <v>56</v>
      </c>
      <c r="AT653" t="s">
        <v>56</v>
      </c>
      <c r="AU653" t="s">
        <v>56</v>
      </c>
      <c r="AV653" t="s">
        <v>56</v>
      </c>
      <c r="AW653" t="s">
        <v>56</v>
      </c>
      <c r="AX653">
        <v>4</v>
      </c>
    </row>
    <row r="654" spans="1:50" x14ac:dyDescent="0.25">
      <c r="A654" t="str">
        <f>"20200130147017151474"</f>
        <v>20200130147017151474</v>
      </c>
      <c r="B654" t="s">
        <v>124</v>
      </c>
      <c r="C654" t="s">
        <v>124</v>
      </c>
      <c r="D654" t="s">
        <v>3157</v>
      </c>
      <c r="E654" t="str">
        <f>"761470728201"</f>
        <v>761470728201</v>
      </c>
      <c r="F654" t="s">
        <v>52</v>
      </c>
      <c r="G654">
        <v>900247710</v>
      </c>
      <c r="H654">
        <v>76147</v>
      </c>
      <c r="I654" t="s">
        <v>526</v>
      </c>
      <c r="J654">
        <v>2108988</v>
      </c>
      <c r="K654" t="s">
        <v>54</v>
      </c>
      <c r="L654">
        <v>18615571</v>
      </c>
      <c r="M654" t="s">
        <v>164</v>
      </c>
      <c r="N654" t="s">
        <v>527</v>
      </c>
      <c r="O654" t="s">
        <v>528</v>
      </c>
      <c r="P654" t="s">
        <v>249</v>
      </c>
      <c r="Q654" t="s">
        <v>529</v>
      </c>
      <c r="R654" t="s">
        <v>54</v>
      </c>
      <c r="S654">
        <v>1088357178</v>
      </c>
      <c r="T654" t="s">
        <v>638</v>
      </c>
      <c r="U654" t="s">
        <v>62</v>
      </c>
      <c r="V654" t="s">
        <v>655</v>
      </c>
      <c r="W654" t="s">
        <v>552</v>
      </c>
      <c r="X654" t="s">
        <v>277</v>
      </c>
      <c r="Y654" t="s">
        <v>64</v>
      </c>
      <c r="Z654">
        <v>12</v>
      </c>
      <c r="AA654" t="s">
        <v>65</v>
      </c>
      <c r="AB654" t="s">
        <v>56</v>
      </c>
      <c r="AC654" t="s">
        <v>56</v>
      </c>
      <c r="AD654">
        <v>0</v>
      </c>
      <c r="AE654" t="s">
        <v>66</v>
      </c>
      <c r="AF654" t="s">
        <v>56</v>
      </c>
      <c r="AG654" t="s">
        <v>56</v>
      </c>
      <c r="AH654" t="s">
        <v>56</v>
      </c>
      <c r="AI654" t="s">
        <v>56</v>
      </c>
      <c r="AJ654" t="s">
        <v>536</v>
      </c>
      <c r="AK654" t="s">
        <v>537</v>
      </c>
      <c r="AL654" t="s">
        <v>56</v>
      </c>
      <c r="AM654" t="s">
        <v>56</v>
      </c>
      <c r="AN654" t="s">
        <v>56</v>
      </c>
      <c r="AO654" t="s">
        <v>56</v>
      </c>
      <c r="AP654" t="s">
        <v>56</v>
      </c>
      <c r="AQ654" t="s">
        <v>71</v>
      </c>
      <c r="AR654" t="s">
        <v>56</v>
      </c>
      <c r="AS654" t="s">
        <v>56</v>
      </c>
      <c r="AT654" t="s">
        <v>56</v>
      </c>
      <c r="AU654" t="s">
        <v>56</v>
      </c>
      <c r="AV654" t="s">
        <v>56</v>
      </c>
      <c r="AW654" t="s">
        <v>56</v>
      </c>
      <c r="AX654">
        <v>4</v>
      </c>
    </row>
    <row r="655" spans="1:50" x14ac:dyDescent="0.25">
      <c r="A655" t="str">
        <f>"20200127127017043574"</f>
        <v>20200127127017043574</v>
      </c>
      <c r="B655" t="s">
        <v>190</v>
      </c>
      <c r="C655" t="s">
        <v>190</v>
      </c>
      <c r="D655" t="s">
        <v>3158</v>
      </c>
      <c r="E655" t="str">
        <f>"080010122201"</f>
        <v>080010122201</v>
      </c>
      <c r="F655" t="s">
        <v>52</v>
      </c>
      <c r="G655">
        <v>890116783</v>
      </c>
      <c r="H655" t="s">
        <v>112</v>
      </c>
      <c r="I655" t="s">
        <v>1796</v>
      </c>
      <c r="J655">
        <v>3781220</v>
      </c>
      <c r="K655" t="s">
        <v>54</v>
      </c>
      <c r="L655">
        <v>7412354</v>
      </c>
      <c r="M655" t="s">
        <v>128</v>
      </c>
      <c r="N655" t="s">
        <v>380</v>
      </c>
      <c r="O655" t="s">
        <v>224</v>
      </c>
      <c r="P655" t="s">
        <v>1254</v>
      </c>
      <c r="Q655">
        <v>879</v>
      </c>
      <c r="R655" t="s">
        <v>54</v>
      </c>
      <c r="S655">
        <v>22387380</v>
      </c>
      <c r="T655" t="s">
        <v>2159</v>
      </c>
      <c r="U655" t="s">
        <v>62</v>
      </c>
      <c r="V655" t="s">
        <v>3159</v>
      </c>
      <c r="W655" t="s">
        <v>3160</v>
      </c>
      <c r="X655" t="s">
        <v>120</v>
      </c>
      <c r="Y655" t="s">
        <v>121</v>
      </c>
      <c r="Z655">
        <v>12</v>
      </c>
      <c r="AA655" t="s">
        <v>65</v>
      </c>
      <c r="AB655" t="s">
        <v>56</v>
      </c>
      <c r="AC655" t="s">
        <v>56</v>
      </c>
      <c r="AD655">
        <v>0</v>
      </c>
      <c r="AE655" t="s">
        <v>66</v>
      </c>
      <c r="AF655" t="s">
        <v>56</v>
      </c>
      <c r="AG655" t="s">
        <v>56</v>
      </c>
      <c r="AH655" t="s">
        <v>56</v>
      </c>
      <c r="AI655" t="s">
        <v>56</v>
      </c>
      <c r="AJ655" t="s">
        <v>1801</v>
      </c>
      <c r="AK655" t="s">
        <v>1802</v>
      </c>
      <c r="AL655" t="s">
        <v>56</v>
      </c>
      <c r="AM655" t="s">
        <v>56</v>
      </c>
      <c r="AN655" t="s">
        <v>56</v>
      </c>
      <c r="AO655" t="s">
        <v>56</v>
      </c>
      <c r="AP655" t="s">
        <v>56</v>
      </c>
      <c r="AQ655" t="s">
        <v>71</v>
      </c>
      <c r="AR655" t="s">
        <v>56</v>
      </c>
      <c r="AS655" t="s">
        <v>56</v>
      </c>
      <c r="AT655" t="s">
        <v>56</v>
      </c>
      <c r="AU655" t="s">
        <v>56</v>
      </c>
      <c r="AV655" t="s">
        <v>56</v>
      </c>
      <c r="AW655" t="s">
        <v>56</v>
      </c>
      <c r="AX655">
        <v>4</v>
      </c>
    </row>
    <row r="656" spans="1:50" x14ac:dyDescent="0.25">
      <c r="A656" t="str">
        <f>"20200127162017048553"</f>
        <v>20200127162017048553</v>
      </c>
      <c r="B656" t="s">
        <v>190</v>
      </c>
      <c r="C656" t="s">
        <v>190</v>
      </c>
      <c r="D656" t="s">
        <v>3161</v>
      </c>
      <c r="E656" t="str">
        <f>"080010445438"</f>
        <v>080010445438</v>
      </c>
      <c r="F656" t="s">
        <v>52</v>
      </c>
      <c r="G656">
        <v>901139193</v>
      </c>
      <c r="H656" t="s">
        <v>112</v>
      </c>
      <c r="I656" t="s">
        <v>1771</v>
      </c>
      <c r="J656">
        <v>3781483</v>
      </c>
      <c r="K656" t="s">
        <v>54</v>
      </c>
      <c r="L656">
        <v>32881071</v>
      </c>
      <c r="M656" t="s">
        <v>1757</v>
      </c>
      <c r="N656" t="s">
        <v>600</v>
      </c>
      <c r="O656" t="s">
        <v>3162</v>
      </c>
      <c r="P656" t="s">
        <v>3163</v>
      </c>
      <c r="Q656">
        <v>159799</v>
      </c>
      <c r="R656" t="s">
        <v>54</v>
      </c>
      <c r="S656">
        <v>22795776</v>
      </c>
      <c r="T656" t="s">
        <v>117</v>
      </c>
      <c r="U656" t="s">
        <v>600</v>
      </c>
      <c r="V656" t="s">
        <v>1873</v>
      </c>
      <c r="W656" t="s">
        <v>1306</v>
      </c>
      <c r="X656" t="s">
        <v>120</v>
      </c>
      <c r="Y656" t="s">
        <v>121</v>
      </c>
      <c r="Z656">
        <v>12</v>
      </c>
      <c r="AA656" t="s">
        <v>65</v>
      </c>
      <c r="AB656" t="s">
        <v>56</v>
      </c>
      <c r="AC656" t="s">
        <v>56</v>
      </c>
      <c r="AD656">
        <v>0</v>
      </c>
      <c r="AE656" t="s">
        <v>66</v>
      </c>
      <c r="AF656" t="s">
        <v>56</v>
      </c>
      <c r="AG656" t="s">
        <v>56</v>
      </c>
      <c r="AH656" t="s">
        <v>56</v>
      </c>
      <c r="AI656" t="s">
        <v>56</v>
      </c>
      <c r="AJ656" t="s">
        <v>3164</v>
      </c>
      <c r="AK656" t="s">
        <v>3165</v>
      </c>
      <c r="AL656" t="s">
        <v>56</v>
      </c>
      <c r="AM656" t="s">
        <v>56</v>
      </c>
      <c r="AN656" t="s">
        <v>56</v>
      </c>
      <c r="AO656" t="s">
        <v>56</v>
      </c>
      <c r="AP656" t="s">
        <v>56</v>
      </c>
      <c r="AQ656" t="s">
        <v>71</v>
      </c>
      <c r="AR656" t="s">
        <v>56</v>
      </c>
      <c r="AS656" t="s">
        <v>56</v>
      </c>
      <c r="AT656" t="s">
        <v>56</v>
      </c>
      <c r="AU656" t="s">
        <v>56</v>
      </c>
      <c r="AV656" t="s">
        <v>56</v>
      </c>
      <c r="AW656" t="s">
        <v>56</v>
      </c>
      <c r="AX656">
        <v>4</v>
      </c>
    </row>
    <row r="657" spans="1:50" x14ac:dyDescent="0.25">
      <c r="A657" t="str">
        <f>"20200130141017152191"</f>
        <v>20200130141017152191</v>
      </c>
      <c r="B657" t="s">
        <v>124</v>
      </c>
      <c r="C657" t="s">
        <v>124</v>
      </c>
      <c r="D657" t="s">
        <v>3166</v>
      </c>
      <c r="E657" t="str">
        <f>"080010003601"</f>
        <v>080010003601</v>
      </c>
      <c r="F657" t="s">
        <v>52</v>
      </c>
      <c r="G657">
        <v>802000955</v>
      </c>
      <c r="H657" t="s">
        <v>112</v>
      </c>
      <c r="I657" t="s">
        <v>218</v>
      </c>
      <c r="J657" t="s">
        <v>56</v>
      </c>
      <c r="K657" t="s">
        <v>54</v>
      </c>
      <c r="L657">
        <v>1051357508</v>
      </c>
      <c r="M657" t="s">
        <v>644</v>
      </c>
      <c r="N657" t="s">
        <v>645</v>
      </c>
      <c r="O657" t="s">
        <v>646</v>
      </c>
      <c r="P657" t="s">
        <v>647</v>
      </c>
      <c r="Q657">
        <v>81153</v>
      </c>
      <c r="R657" t="s">
        <v>54</v>
      </c>
      <c r="S657">
        <v>3722224</v>
      </c>
      <c r="T657" t="s">
        <v>734</v>
      </c>
      <c r="U657" t="s">
        <v>155</v>
      </c>
      <c r="V657" t="s">
        <v>568</v>
      </c>
      <c r="W657" t="s">
        <v>2028</v>
      </c>
      <c r="X657" t="s">
        <v>120</v>
      </c>
      <c r="Y657" t="s">
        <v>121</v>
      </c>
      <c r="Z657">
        <v>12</v>
      </c>
      <c r="AA657" t="s">
        <v>65</v>
      </c>
      <c r="AB657" t="s">
        <v>56</v>
      </c>
      <c r="AC657" t="s">
        <v>56</v>
      </c>
      <c r="AD657">
        <v>0</v>
      </c>
      <c r="AE657" t="s">
        <v>66</v>
      </c>
      <c r="AF657" t="s">
        <v>56</v>
      </c>
      <c r="AG657" t="s">
        <v>56</v>
      </c>
      <c r="AH657" t="s">
        <v>56</v>
      </c>
      <c r="AI657" t="s">
        <v>56</v>
      </c>
      <c r="AJ657" t="s">
        <v>228</v>
      </c>
      <c r="AK657" t="s">
        <v>229</v>
      </c>
      <c r="AL657" t="s">
        <v>56</v>
      </c>
      <c r="AM657" t="s">
        <v>56</v>
      </c>
      <c r="AN657" t="s">
        <v>56</v>
      </c>
      <c r="AO657" t="s">
        <v>56</v>
      </c>
      <c r="AP657" t="s">
        <v>56</v>
      </c>
      <c r="AQ657" t="s">
        <v>71</v>
      </c>
      <c r="AR657" t="s">
        <v>56</v>
      </c>
      <c r="AS657" t="s">
        <v>56</v>
      </c>
      <c r="AT657" t="s">
        <v>56</v>
      </c>
      <c r="AU657" t="s">
        <v>56</v>
      </c>
      <c r="AV657" t="s">
        <v>56</v>
      </c>
      <c r="AW657" t="s">
        <v>56</v>
      </c>
      <c r="AX657">
        <v>4</v>
      </c>
    </row>
    <row r="658" spans="1:50" x14ac:dyDescent="0.25">
      <c r="A658" t="str">
        <f>"20200129166017105848"</f>
        <v>20200129166017105848</v>
      </c>
      <c r="B658" t="s">
        <v>72</v>
      </c>
      <c r="C658" t="s">
        <v>72</v>
      </c>
      <c r="D658" t="s">
        <v>3167</v>
      </c>
      <c r="E658" t="str">
        <f>"760200165701"</f>
        <v>760200165701</v>
      </c>
      <c r="F658" t="s">
        <v>52</v>
      </c>
      <c r="G658">
        <v>891900438</v>
      </c>
      <c r="H658">
        <v>76020</v>
      </c>
      <c r="I658" t="s">
        <v>447</v>
      </c>
      <c r="J658">
        <v>2004120</v>
      </c>
      <c r="K658" t="s">
        <v>54</v>
      </c>
      <c r="L658">
        <v>1144087464</v>
      </c>
      <c r="M658" t="s">
        <v>117</v>
      </c>
      <c r="N658" t="s">
        <v>448</v>
      </c>
      <c r="O658" t="s">
        <v>249</v>
      </c>
      <c r="P658" t="s">
        <v>449</v>
      </c>
      <c r="Q658" t="s">
        <v>56</v>
      </c>
      <c r="R658" t="s">
        <v>54</v>
      </c>
      <c r="S658">
        <v>29135730</v>
      </c>
      <c r="T658" t="s">
        <v>530</v>
      </c>
      <c r="U658" t="s">
        <v>1327</v>
      </c>
      <c r="V658" t="s">
        <v>1060</v>
      </c>
      <c r="W658" t="s">
        <v>898</v>
      </c>
      <c r="X658" t="s">
        <v>453</v>
      </c>
      <c r="Y658" t="s">
        <v>64</v>
      </c>
      <c r="Z658">
        <v>11</v>
      </c>
      <c r="AA658" t="s">
        <v>87</v>
      </c>
      <c r="AB658" t="s">
        <v>56</v>
      </c>
      <c r="AC658" t="s">
        <v>56</v>
      </c>
      <c r="AD658">
        <v>0</v>
      </c>
      <c r="AE658" t="s">
        <v>66</v>
      </c>
      <c r="AF658" t="s">
        <v>56</v>
      </c>
      <c r="AG658" t="s">
        <v>56</v>
      </c>
      <c r="AH658" t="s">
        <v>56</v>
      </c>
      <c r="AI658" t="s">
        <v>56</v>
      </c>
      <c r="AJ658" t="s">
        <v>414</v>
      </c>
      <c r="AK658" t="s">
        <v>415</v>
      </c>
      <c r="AL658" t="s">
        <v>56</v>
      </c>
      <c r="AM658" t="s">
        <v>56</v>
      </c>
      <c r="AN658" t="s">
        <v>56</v>
      </c>
      <c r="AO658" t="s">
        <v>56</v>
      </c>
      <c r="AP658" t="s">
        <v>56</v>
      </c>
      <c r="AQ658" t="s">
        <v>71</v>
      </c>
      <c r="AR658" t="s">
        <v>56</v>
      </c>
      <c r="AS658" t="s">
        <v>56</v>
      </c>
      <c r="AT658" t="s">
        <v>56</v>
      </c>
      <c r="AU658" t="s">
        <v>56</v>
      </c>
      <c r="AV658" t="s">
        <v>56</v>
      </c>
      <c r="AW658" t="s">
        <v>56</v>
      </c>
      <c r="AX658">
        <v>4</v>
      </c>
    </row>
    <row r="659" spans="1:50" x14ac:dyDescent="0.25">
      <c r="A659" t="str">
        <f>"20200129197017106319"</f>
        <v>20200129197017106319</v>
      </c>
      <c r="B659" t="s">
        <v>72</v>
      </c>
      <c r="C659" t="s">
        <v>72</v>
      </c>
      <c r="D659" t="s">
        <v>3168</v>
      </c>
      <c r="E659" t="str">
        <f>"760200165701"</f>
        <v>760200165701</v>
      </c>
      <c r="F659" t="s">
        <v>52</v>
      </c>
      <c r="G659">
        <v>891900438</v>
      </c>
      <c r="H659">
        <v>76020</v>
      </c>
      <c r="I659" t="s">
        <v>447</v>
      </c>
      <c r="J659">
        <v>2004120</v>
      </c>
      <c r="K659" t="s">
        <v>54</v>
      </c>
      <c r="L659">
        <v>1144087464</v>
      </c>
      <c r="M659" t="s">
        <v>117</v>
      </c>
      <c r="N659" t="s">
        <v>448</v>
      </c>
      <c r="O659" t="s">
        <v>249</v>
      </c>
      <c r="P659" t="s">
        <v>449</v>
      </c>
      <c r="Q659" t="s">
        <v>56</v>
      </c>
      <c r="R659" t="s">
        <v>54</v>
      </c>
      <c r="S659">
        <v>29135730</v>
      </c>
      <c r="T659" t="s">
        <v>530</v>
      </c>
      <c r="U659" t="s">
        <v>1327</v>
      </c>
      <c r="V659" t="s">
        <v>1060</v>
      </c>
      <c r="W659" t="s">
        <v>898</v>
      </c>
      <c r="X659" t="s">
        <v>453</v>
      </c>
      <c r="Y659" t="s">
        <v>64</v>
      </c>
      <c r="Z659">
        <v>11</v>
      </c>
      <c r="AA659" t="s">
        <v>87</v>
      </c>
      <c r="AB659" t="s">
        <v>56</v>
      </c>
      <c r="AC659" t="s">
        <v>56</v>
      </c>
      <c r="AD659">
        <v>0</v>
      </c>
      <c r="AE659" t="s">
        <v>66</v>
      </c>
      <c r="AF659" t="s">
        <v>56</v>
      </c>
      <c r="AG659" t="s">
        <v>56</v>
      </c>
      <c r="AH659" t="s">
        <v>56</v>
      </c>
      <c r="AI659" t="s">
        <v>56</v>
      </c>
      <c r="AJ659" t="s">
        <v>454</v>
      </c>
      <c r="AK659" t="s">
        <v>455</v>
      </c>
      <c r="AL659" t="s">
        <v>56</v>
      </c>
      <c r="AM659" t="s">
        <v>56</v>
      </c>
      <c r="AN659" t="s">
        <v>56</v>
      </c>
      <c r="AO659" t="s">
        <v>56</v>
      </c>
      <c r="AP659" t="s">
        <v>56</v>
      </c>
      <c r="AQ659" t="s">
        <v>71</v>
      </c>
      <c r="AR659" t="s">
        <v>56</v>
      </c>
      <c r="AS659" t="s">
        <v>56</v>
      </c>
      <c r="AT659" t="s">
        <v>56</v>
      </c>
      <c r="AU659" t="s">
        <v>56</v>
      </c>
      <c r="AV659" t="s">
        <v>56</v>
      </c>
      <c r="AW659" t="s">
        <v>56</v>
      </c>
      <c r="AX659">
        <v>4</v>
      </c>
    </row>
    <row r="660" spans="1:50" x14ac:dyDescent="0.25">
      <c r="A660" t="str">
        <f>"20200129135017101288"</f>
        <v>20200129135017101288</v>
      </c>
      <c r="B660" t="s">
        <v>72</v>
      </c>
      <c r="C660" t="s">
        <v>72</v>
      </c>
      <c r="D660" t="s">
        <v>3169</v>
      </c>
      <c r="E660" t="str">
        <f>"200010205401"</f>
        <v>200010205401</v>
      </c>
      <c r="F660" t="s">
        <v>52</v>
      </c>
      <c r="G660">
        <v>901058547</v>
      </c>
      <c r="H660">
        <v>20001</v>
      </c>
      <c r="I660" t="s">
        <v>512</v>
      </c>
      <c r="J660" t="s">
        <v>513</v>
      </c>
      <c r="K660" t="s">
        <v>54</v>
      </c>
      <c r="L660">
        <v>18937856</v>
      </c>
      <c r="M660" t="s">
        <v>81</v>
      </c>
      <c r="N660" t="s">
        <v>164</v>
      </c>
      <c r="O660" t="s">
        <v>816</v>
      </c>
      <c r="P660" t="s">
        <v>425</v>
      </c>
      <c r="Q660" t="s">
        <v>817</v>
      </c>
      <c r="R660" t="s">
        <v>54</v>
      </c>
      <c r="S660">
        <v>5588446</v>
      </c>
      <c r="T660" t="s">
        <v>291</v>
      </c>
      <c r="U660" t="s">
        <v>62</v>
      </c>
      <c r="V660" t="s">
        <v>658</v>
      </c>
      <c r="W660" t="s">
        <v>3170</v>
      </c>
      <c r="X660" t="s">
        <v>462</v>
      </c>
      <c r="Y660" t="s">
        <v>86</v>
      </c>
      <c r="Z660">
        <v>12</v>
      </c>
      <c r="AA660" t="s">
        <v>65</v>
      </c>
      <c r="AB660" t="s">
        <v>56</v>
      </c>
      <c r="AC660" t="s">
        <v>56</v>
      </c>
      <c r="AD660">
        <v>0</v>
      </c>
      <c r="AE660" t="s">
        <v>66</v>
      </c>
      <c r="AF660" t="s">
        <v>56</v>
      </c>
      <c r="AG660" t="s">
        <v>56</v>
      </c>
      <c r="AH660" t="s">
        <v>56</v>
      </c>
      <c r="AI660" t="s">
        <v>56</v>
      </c>
      <c r="AJ660" t="s">
        <v>822</v>
      </c>
      <c r="AK660" t="s">
        <v>823</v>
      </c>
      <c r="AL660" t="s">
        <v>824</v>
      </c>
      <c r="AM660" t="s">
        <v>825</v>
      </c>
      <c r="AN660" t="s">
        <v>56</v>
      </c>
      <c r="AO660" t="s">
        <v>56</v>
      </c>
      <c r="AP660" t="s">
        <v>56</v>
      </c>
      <c r="AQ660" t="s">
        <v>71</v>
      </c>
      <c r="AR660" t="s">
        <v>56</v>
      </c>
      <c r="AS660" t="s">
        <v>56</v>
      </c>
      <c r="AT660" t="s">
        <v>56</v>
      </c>
      <c r="AU660" t="s">
        <v>56</v>
      </c>
      <c r="AV660" t="s">
        <v>56</v>
      </c>
      <c r="AW660" t="s">
        <v>56</v>
      </c>
      <c r="AX660">
        <v>4</v>
      </c>
    </row>
    <row r="661" spans="1:50" x14ac:dyDescent="0.25">
      <c r="A661" t="str">
        <f>"20200128117017083462"</f>
        <v>20200128117017083462</v>
      </c>
      <c r="B661" t="s">
        <v>151</v>
      </c>
      <c r="C661" t="s">
        <v>151</v>
      </c>
      <c r="D661" t="s">
        <v>3171</v>
      </c>
      <c r="E661" t="str">
        <f>"086380074501"</f>
        <v>086380074501</v>
      </c>
      <c r="F661" t="s">
        <v>52</v>
      </c>
      <c r="G661">
        <v>900080150</v>
      </c>
      <c r="H661" t="s">
        <v>246</v>
      </c>
      <c r="I661" t="s">
        <v>247</v>
      </c>
      <c r="J661">
        <v>8783805</v>
      </c>
      <c r="K661" t="s">
        <v>54</v>
      </c>
      <c r="L661">
        <v>22558126</v>
      </c>
      <c r="M661" t="s">
        <v>2660</v>
      </c>
      <c r="N661" t="s">
        <v>1321</v>
      </c>
      <c r="O661" t="s">
        <v>3172</v>
      </c>
      <c r="P661" t="s">
        <v>3173</v>
      </c>
      <c r="Q661">
        <v>22558126</v>
      </c>
      <c r="R661" t="s">
        <v>54</v>
      </c>
      <c r="S661">
        <v>3734447</v>
      </c>
      <c r="T661" t="s">
        <v>1130</v>
      </c>
      <c r="U661" t="s">
        <v>94</v>
      </c>
      <c r="V661" t="s">
        <v>1166</v>
      </c>
      <c r="W661" t="s">
        <v>715</v>
      </c>
      <c r="X661" t="s">
        <v>2394</v>
      </c>
      <c r="Y661" t="s">
        <v>121</v>
      </c>
      <c r="Z661">
        <v>12</v>
      </c>
      <c r="AA661" t="s">
        <v>65</v>
      </c>
      <c r="AB661" t="s">
        <v>56</v>
      </c>
      <c r="AC661" t="s">
        <v>56</v>
      </c>
      <c r="AD661">
        <v>0</v>
      </c>
      <c r="AE661" t="s">
        <v>66</v>
      </c>
      <c r="AF661" t="s">
        <v>56</v>
      </c>
      <c r="AG661" t="s">
        <v>56</v>
      </c>
      <c r="AH661" t="s">
        <v>56</v>
      </c>
      <c r="AI661" t="s">
        <v>56</v>
      </c>
      <c r="AJ661" t="s">
        <v>3174</v>
      </c>
      <c r="AK661" t="s">
        <v>3175</v>
      </c>
      <c r="AL661" t="s">
        <v>56</v>
      </c>
      <c r="AM661" t="s">
        <v>56</v>
      </c>
      <c r="AN661" t="s">
        <v>56</v>
      </c>
      <c r="AO661" t="s">
        <v>56</v>
      </c>
      <c r="AP661" t="s">
        <v>56</v>
      </c>
      <c r="AQ661" t="s">
        <v>71</v>
      </c>
      <c r="AR661" t="s">
        <v>56</v>
      </c>
      <c r="AS661" t="s">
        <v>56</v>
      </c>
      <c r="AT661" t="s">
        <v>56</v>
      </c>
      <c r="AU661" t="s">
        <v>56</v>
      </c>
      <c r="AV661" t="s">
        <v>56</v>
      </c>
      <c r="AW661" t="s">
        <v>56</v>
      </c>
      <c r="AX661">
        <v>4</v>
      </c>
    </row>
    <row r="662" spans="1:50" x14ac:dyDescent="0.25">
      <c r="A662" t="str">
        <f>"20200131157017163919"</f>
        <v>20200131157017163919</v>
      </c>
      <c r="B662" t="s">
        <v>110</v>
      </c>
      <c r="C662" t="s">
        <v>110</v>
      </c>
      <c r="D662" t="s">
        <v>3176</v>
      </c>
      <c r="E662" t="str">
        <f>"700010096901"</f>
        <v>700010096901</v>
      </c>
      <c r="F662" t="s">
        <v>52</v>
      </c>
      <c r="G662">
        <v>900118990</v>
      </c>
      <c r="H662">
        <v>70001</v>
      </c>
      <c r="I662" t="s">
        <v>869</v>
      </c>
      <c r="J662">
        <v>2761605</v>
      </c>
      <c r="K662" t="s">
        <v>54</v>
      </c>
      <c r="L662">
        <v>1104864752</v>
      </c>
      <c r="M662" t="s">
        <v>897</v>
      </c>
      <c r="N662" t="s">
        <v>1463</v>
      </c>
      <c r="O662" t="s">
        <v>1464</v>
      </c>
      <c r="P662" t="s">
        <v>1465</v>
      </c>
      <c r="Q662" t="s">
        <v>56</v>
      </c>
      <c r="R662" t="s">
        <v>54</v>
      </c>
      <c r="S662">
        <v>23119763</v>
      </c>
      <c r="T662" t="s">
        <v>114</v>
      </c>
      <c r="U662" t="s">
        <v>196</v>
      </c>
      <c r="V662" t="s">
        <v>3177</v>
      </c>
      <c r="W662" t="s">
        <v>3178</v>
      </c>
      <c r="X662" t="s">
        <v>1295</v>
      </c>
      <c r="Y662" t="s">
        <v>330</v>
      </c>
      <c r="Z662">
        <v>12</v>
      </c>
      <c r="AA662" t="s">
        <v>65</v>
      </c>
      <c r="AB662" t="s">
        <v>56</v>
      </c>
      <c r="AC662" t="s">
        <v>56</v>
      </c>
      <c r="AD662">
        <v>0</v>
      </c>
      <c r="AE662" t="s">
        <v>66</v>
      </c>
      <c r="AF662" t="s">
        <v>56</v>
      </c>
      <c r="AG662" t="s">
        <v>56</v>
      </c>
      <c r="AH662" t="s">
        <v>56</v>
      </c>
      <c r="AI662" t="s">
        <v>56</v>
      </c>
      <c r="AJ662" t="s">
        <v>1467</v>
      </c>
      <c r="AK662" t="s">
        <v>1468</v>
      </c>
      <c r="AL662" t="s">
        <v>56</v>
      </c>
      <c r="AM662" t="s">
        <v>56</v>
      </c>
      <c r="AN662" t="s">
        <v>56</v>
      </c>
      <c r="AO662" t="s">
        <v>56</v>
      </c>
      <c r="AP662" t="s">
        <v>56</v>
      </c>
      <c r="AQ662" t="s">
        <v>71</v>
      </c>
      <c r="AR662" t="s">
        <v>56</v>
      </c>
      <c r="AS662" t="s">
        <v>56</v>
      </c>
      <c r="AT662" t="s">
        <v>56</v>
      </c>
      <c r="AU662" t="s">
        <v>56</v>
      </c>
      <c r="AV662" t="s">
        <v>56</v>
      </c>
      <c r="AW662" t="s">
        <v>56</v>
      </c>
      <c r="AX662">
        <v>4</v>
      </c>
    </row>
    <row r="663" spans="1:50" x14ac:dyDescent="0.25">
      <c r="A663" t="str">
        <f>"20200131181017161562"</f>
        <v>20200131181017161562</v>
      </c>
      <c r="B663" t="s">
        <v>110</v>
      </c>
      <c r="C663" t="s">
        <v>110</v>
      </c>
      <c r="D663" t="s">
        <v>3179</v>
      </c>
      <c r="E663" t="str">
        <f>"080010122201"</f>
        <v>080010122201</v>
      </c>
      <c r="F663" t="s">
        <v>52</v>
      </c>
      <c r="G663">
        <v>890116783</v>
      </c>
      <c r="H663" t="s">
        <v>112</v>
      </c>
      <c r="I663" t="s">
        <v>1796</v>
      </c>
      <c r="J663">
        <v>3781220</v>
      </c>
      <c r="K663" t="s">
        <v>54</v>
      </c>
      <c r="L663">
        <v>17065305</v>
      </c>
      <c r="M663" t="s">
        <v>1492</v>
      </c>
      <c r="N663" t="s">
        <v>1222</v>
      </c>
      <c r="O663" t="s">
        <v>1981</v>
      </c>
      <c r="P663" t="s">
        <v>324</v>
      </c>
      <c r="Q663">
        <v>707</v>
      </c>
      <c r="R663" t="s">
        <v>54</v>
      </c>
      <c r="S663">
        <v>72022629</v>
      </c>
      <c r="T663" t="s">
        <v>2049</v>
      </c>
      <c r="U663" t="s">
        <v>424</v>
      </c>
      <c r="V663" t="s">
        <v>412</v>
      </c>
      <c r="W663" t="s">
        <v>2009</v>
      </c>
      <c r="X663" t="s">
        <v>254</v>
      </c>
      <c r="Y663" t="s">
        <v>121</v>
      </c>
      <c r="Z663">
        <v>12</v>
      </c>
      <c r="AA663" t="s">
        <v>65</v>
      </c>
      <c r="AB663" t="s">
        <v>56</v>
      </c>
      <c r="AC663" t="s">
        <v>56</v>
      </c>
      <c r="AD663">
        <v>0</v>
      </c>
      <c r="AE663" t="s">
        <v>66</v>
      </c>
      <c r="AF663" t="s">
        <v>56</v>
      </c>
      <c r="AG663" t="s">
        <v>56</v>
      </c>
      <c r="AH663" t="s">
        <v>56</v>
      </c>
      <c r="AI663" t="s">
        <v>56</v>
      </c>
      <c r="AJ663" t="s">
        <v>1978</v>
      </c>
      <c r="AK663" t="s">
        <v>1979</v>
      </c>
      <c r="AL663" t="s">
        <v>56</v>
      </c>
      <c r="AM663" t="s">
        <v>56</v>
      </c>
      <c r="AN663" t="s">
        <v>56</v>
      </c>
      <c r="AO663" t="s">
        <v>56</v>
      </c>
      <c r="AP663" t="s">
        <v>56</v>
      </c>
      <c r="AQ663" t="s">
        <v>71</v>
      </c>
      <c r="AR663" t="s">
        <v>56</v>
      </c>
      <c r="AS663" t="s">
        <v>56</v>
      </c>
      <c r="AT663" t="s">
        <v>56</v>
      </c>
      <c r="AU663" t="s">
        <v>56</v>
      </c>
      <c r="AV663" t="s">
        <v>56</v>
      </c>
      <c r="AW663" t="s">
        <v>56</v>
      </c>
      <c r="AX663">
        <v>4</v>
      </c>
    </row>
    <row r="664" spans="1:50" x14ac:dyDescent="0.25">
      <c r="A664" t="str">
        <f>"20200124189016999961"</f>
        <v>20200124189016999961</v>
      </c>
      <c r="B664" t="s">
        <v>201</v>
      </c>
      <c r="C664" t="s">
        <v>201</v>
      </c>
      <c r="D664" t="s">
        <v>3180</v>
      </c>
      <c r="E664" t="str">
        <f>"080010062001"</f>
        <v>080010062001</v>
      </c>
      <c r="F664" t="s">
        <v>52</v>
      </c>
      <c r="G664">
        <v>800197424</v>
      </c>
      <c r="H664" t="s">
        <v>112</v>
      </c>
      <c r="I664" t="s">
        <v>1627</v>
      </c>
      <c r="J664">
        <v>3585454</v>
      </c>
      <c r="K664" t="s">
        <v>54</v>
      </c>
      <c r="L664">
        <v>38969532</v>
      </c>
      <c r="M664" t="s">
        <v>117</v>
      </c>
      <c r="N664" t="s">
        <v>1618</v>
      </c>
      <c r="O664" t="s">
        <v>1789</v>
      </c>
      <c r="P664" t="s">
        <v>3181</v>
      </c>
      <c r="Q664" t="s">
        <v>3182</v>
      </c>
      <c r="R664" t="s">
        <v>54</v>
      </c>
      <c r="S664">
        <v>22729797</v>
      </c>
      <c r="T664" t="s">
        <v>3183</v>
      </c>
      <c r="U664" t="s">
        <v>296</v>
      </c>
      <c r="V664" t="s">
        <v>675</v>
      </c>
      <c r="W664" t="s">
        <v>207</v>
      </c>
      <c r="X664" t="s">
        <v>1470</v>
      </c>
      <c r="Y664" t="s">
        <v>121</v>
      </c>
      <c r="Z664">
        <v>11</v>
      </c>
      <c r="AA664" t="s">
        <v>87</v>
      </c>
      <c r="AB664" t="s">
        <v>56</v>
      </c>
      <c r="AC664" t="s">
        <v>56</v>
      </c>
      <c r="AD664">
        <v>0</v>
      </c>
      <c r="AE664" t="s">
        <v>66</v>
      </c>
      <c r="AF664" t="s">
        <v>56</v>
      </c>
      <c r="AG664" t="s">
        <v>56</v>
      </c>
      <c r="AH664" t="s">
        <v>56</v>
      </c>
      <c r="AI664" t="s">
        <v>56</v>
      </c>
      <c r="AJ664" t="s">
        <v>3184</v>
      </c>
      <c r="AK664" t="s">
        <v>3185</v>
      </c>
      <c r="AL664" t="s">
        <v>56</v>
      </c>
      <c r="AM664" t="s">
        <v>56</v>
      </c>
      <c r="AN664" t="s">
        <v>56</v>
      </c>
      <c r="AO664" t="s">
        <v>56</v>
      </c>
      <c r="AP664" t="s">
        <v>56</v>
      </c>
      <c r="AQ664" t="s">
        <v>71</v>
      </c>
      <c r="AR664" t="s">
        <v>56</v>
      </c>
      <c r="AS664" t="s">
        <v>56</v>
      </c>
      <c r="AT664" t="s">
        <v>56</v>
      </c>
      <c r="AU664" t="s">
        <v>56</v>
      </c>
      <c r="AV664" t="s">
        <v>56</v>
      </c>
      <c r="AW664" t="s">
        <v>56</v>
      </c>
      <c r="AX664">
        <v>4</v>
      </c>
    </row>
    <row r="665" spans="1:50" x14ac:dyDescent="0.25">
      <c r="A665" t="str">
        <f>"20200129140017114226"</f>
        <v>20200129140017114226</v>
      </c>
      <c r="B665" t="s">
        <v>72</v>
      </c>
      <c r="C665" t="s">
        <v>72</v>
      </c>
      <c r="D665" t="s">
        <v>3186</v>
      </c>
      <c r="E665" t="str">
        <f>"700010151301"</f>
        <v>700010151301</v>
      </c>
      <c r="F665" t="s">
        <v>52</v>
      </c>
      <c r="G665">
        <v>830510991</v>
      </c>
      <c r="H665">
        <v>70001</v>
      </c>
      <c r="I665" t="s">
        <v>945</v>
      </c>
      <c r="J665">
        <v>2806901</v>
      </c>
      <c r="K665" t="s">
        <v>54</v>
      </c>
      <c r="L665">
        <v>73201681</v>
      </c>
      <c r="M665" t="s">
        <v>281</v>
      </c>
      <c r="N665" t="s">
        <v>282</v>
      </c>
      <c r="O665" t="s">
        <v>1965</v>
      </c>
      <c r="P665" t="s">
        <v>315</v>
      </c>
      <c r="Q665">
        <v>12910</v>
      </c>
      <c r="R665" t="s">
        <v>237</v>
      </c>
      <c r="S665">
        <v>1050843942</v>
      </c>
      <c r="T665" t="s">
        <v>2431</v>
      </c>
      <c r="U665" t="s">
        <v>282</v>
      </c>
      <c r="V665" t="s">
        <v>298</v>
      </c>
      <c r="W665" t="s">
        <v>3187</v>
      </c>
      <c r="X665" t="s">
        <v>264</v>
      </c>
      <c r="Y665" t="s">
        <v>101</v>
      </c>
      <c r="Z665">
        <v>12</v>
      </c>
      <c r="AA665" t="s">
        <v>65</v>
      </c>
      <c r="AB665" t="s">
        <v>56</v>
      </c>
      <c r="AC665" t="s">
        <v>56</v>
      </c>
      <c r="AD665">
        <v>0</v>
      </c>
      <c r="AE665" t="s">
        <v>66</v>
      </c>
      <c r="AF665" t="s">
        <v>56</v>
      </c>
      <c r="AG665" t="s">
        <v>56</v>
      </c>
      <c r="AH665" t="s">
        <v>56</v>
      </c>
      <c r="AI665" t="s">
        <v>56</v>
      </c>
      <c r="AJ665" t="s">
        <v>1357</v>
      </c>
      <c r="AK665" t="s">
        <v>1358</v>
      </c>
      <c r="AL665" t="s">
        <v>56</v>
      </c>
      <c r="AM665" t="s">
        <v>56</v>
      </c>
      <c r="AN665" t="s">
        <v>56</v>
      </c>
      <c r="AO665" t="s">
        <v>56</v>
      </c>
      <c r="AP665" t="s">
        <v>56</v>
      </c>
      <c r="AQ665" t="s">
        <v>71</v>
      </c>
      <c r="AR665" t="s">
        <v>56</v>
      </c>
      <c r="AS665" t="s">
        <v>56</v>
      </c>
      <c r="AT665" t="s">
        <v>56</v>
      </c>
      <c r="AU665" t="s">
        <v>56</v>
      </c>
      <c r="AV665" t="s">
        <v>56</v>
      </c>
      <c r="AW665" t="s">
        <v>56</v>
      </c>
      <c r="AX665">
        <v>4</v>
      </c>
    </row>
    <row r="666" spans="1:50" x14ac:dyDescent="0.25">
      <c r="A666" t="str">
        <f>"20200129195017107443"</f>
        <v>20200129195017107443</v>
      </c>
      <c r="B666" t="s">
        <v>72</v>
      </c>
      <c r="C666" t="s">
        <v>72</v>
      </c>
      <c r="D666" t="s">
        <v>3188</v>
      </c>
      <c r="E666" t="str">
        <f>"134300290801"</f>
        <v>134300290801</v>
      </c>
      <c r="F666" t="s">
        <v>52</v>
      </c>
      <c r="G666">
        <v>800033723</v>
      </c>
      <c r="H666">
        <v>13430</v>
      </c>
      <c r="I666" t="s">
        <v>1672</v>
      </c>
      <c r="J666">
        <v>3187117423</v>
      </c>
      <c r="K666" t="s">
        <v>54</v>
      </c>
      <c r="L666">
        <v>92499913</v>
      </c>
      <c r="M666" t="s">
        <v>164</v>
      </c>
      <c r="N666" t="s">
        <v>234</v>
      </c>
      <c r="O666" t="s">
        <v>726</v>
      </c>
      <c r="P666" t="s">
        <v>1673</v>
      </c>
      <c r="Q666">
        <v>1337</v>
      </c>
      <c r="R666" t="s">
        <v>54</v>
      </c>
      <c r="S666">
        <v>22927481</v>
      </c>
      <c r="T666" t="s">
        <v>1857</v>
      </c>
      <c r="U666" t="s">
        <v>196</v>
      </c>
      <c r="V666" t="s">
        <v>3189</v>
      </c>
      <c r="W666" t="s">
        <v>3190</v>
      </c>
      <c r="X666" t="s">
        <v>183</v>
      </c>
      <c r="Y666" t="s">
        <v>101</v>
      </c>
      <c r="Z666">
        <v>12</v>
      </c>
      <c r="AA666" t="s">
        <v>65</v>
      </c>
      <c r="AB666" t="s">
        <v>56</v>
      </c>
      <c r="AC666" t="s">
        <v>56</v>
      </c>
      <c r="AD666">
        <v>0</v>
      </c>
      <c r="AE666" t="s">
        <v>66</v>
      </c>
      <c r="AF666" t="s">
        <v>56</v>
      </c>
      <c r="AG666" t="s">
        <v>56</v>
      </c>
      <c r="AH666" t="s">
        <v>56</v>
      </c>
      <c r="AI666" t="s">
        <v>56</v>
      </c>
      <c r="AJ666" t="s">
        <v>1676</v>
      </c>
      <c r="AK666" t="s">
        <v>1677</v>
      </c>
      <c r="AL666" t="s">
        <v>56</v>
      </c>
      <c r="AM666" t="s">
        <v>56</v>
      </c>
      <c r="AN666" t="s">
        <v>56</v>
      </c>
      <c r="AO666" t="s">
        <v>56</v>
      </c>
      <c r="AP666" t="s">
        <v>56</v>
      </c>
      <c r="AQ666" t="s">
        <v>71</v>
      </c>
      <c r="AR666" t="s">
        <v>56</v>
      </c>
      <c r="AS666" t="s">
        <v>56</v>
      </c>
      <c r="AT666" t="s">
        <v>56</v>
      </c>
      <c r="AU666" t="s">
        <v>56</v>
      </c>
      <c r="AV666" t="s">
        <v>56</v>
      </c>
      <c r="AW666" t="s">
        <v>56</v>
      </c>
      <c r="AX666">
        <v>4</v>
      </c>
    </row>
    <row r="667" spans="1:50" x14ac:dyDescent="0.25">
      <c r="A667" t="str">
        <f>"20200130156017153019"</f>
        <v>20200130156017153019</v>
      </c>
      <c r="B667" t="s">
        <v>124</v>
      </c>
      <c r="C667" t="s">
        <v>124</v>
      </c>
      <c r="D667" t="s">
        <v>3191</v>
      </c>
      <c r="E667" t="str">
        <f>"700010018501"</f>
        <v>700010018501</v>
      </c>
      <c r="F667" t="s">
        <v>52</v>
      </c>
      <c r="G667">
        <v>823002342</v>
      </c>
      <c r="H667">
        <v>70001</v>
      </c>
      <c r="I667" t="s">
        <v>1932</v>
      </c>
      <c r="J667">
        <v>2820285</v>
      </c>
      <c r="K667" t="s">
        <v>54</v>
      </c>
      <c r="L667">
        <v>17975458</v>
      </c>
      <c r="M667" t="s">
        <v>1400</v>
      </c>
      <c r="N667" t="s">
        <v>132</v>
      </c>
      <c r="O667" t="s">
        <v>3144</v>
      </c>
      <c r="P667" t="s">
        <v>3145</v>
      </c>
      <c r="Q667">
        <v>17975458</v>
      </c>
      <c r="R667" t="s">
        <v>54</v>
      </c>
      <c r="S667">
        <v>42207925</v>
      </c>
      <c r="T667" t="s">
        <v>3192</v>
      </c>
      <c r="U667" t="s">
        <v>373</v>
      </c>
      <c r="V667" t="s">
        <v>2009</v>
      </c>
      <c r="W667" t="s">
        <v>560</v>
      </c>
      <c r="X667" t="s">
        <v>135</v>
      </c>
      <c r="Y667" t="s">
        <v>330</v>
      </c>
      <c r="Z667">
        <v>12</v>
      </c>
      <c r="AA667" t="s">
        <v>65</v>
      </c>
      <c r="AB667" t="s">
        <v>56</v>
      </c>
      <c r="AC667" t="s">
        <v>56</v>
      </c>
      <c r="AD667">
        <v>0</v>
      </c>
      <c r="AE667" t="s">
        <v>66</v>
      </c>
      <c r="AF667" t="s">
        <v>56</v>
      </c>
      <c r="AG667" t="s">
        <v>56</v>
      </c>
      <c r="AH667" t="s">
        <v>56</v>
      </c>
      <c r="AI667" t="s">
        <v>56</v>
      </c>
      <c r="AJ667" t="s">
        <v>2173</v>
      </c>
      <c r="AK667" t="s">
        <v>2174</v>
      </c>
      <c r="AL667" t="s">
        <v>56</v>
      </c>
      <c r="AM667" t="s">
        <v>56</v>
      </c>
      <c r="AN667" t="s">
        <v>56</v>
      </c>
      <c r="AO667" t="s">
        <v>56</v>
      </c>
      <c r="AP667" t="s">
        <v>56</v>
      </c>
      <c r="AQ667" t="s">
        <v>71</v>
      </c>
      <c r="AR667" t="s">
        <v>56</v>
      </c>
      <c r="AS667" t="s">
        <v>56</v>
      </c>
      <c r="AT667" t="s">
        <v>56</v>
      </c>
      <c r="AU667" t="s">
        <v>56</v>
      </c>
      <c r="AV667" t="s">
        <v>56</v>
      </c>
      <c r="AW667" t="s">
        <v>56</v>
      </c>
      <c r="AX667">
        <v>4</v>
      </c>
    </row>
    <row r="668" spans="1:50" x14ac:dyDescent="0.25">
      <c r="A668" t="str">
        <f>"20200129167017105636"</f>
        <v>20200129167017105636</v>
      </c>
      <c r="B668" t="s">
        <v>72</v>
      </c>
      <c r="C668" t="s">
        <v>72</v>
      </c>
      <c r="D668" t="s">
        <v>3193</v>
      </c>
      <c r="E668" t="str">
        <f>"130010240901"</f>
        <v>130010240901</v>
      </c>
      <c r="F668" t="s">
        <v>52</v>
      </c>
      <c r="G668">
        <v>900514515</v>
      </c>
      <c r="H668">
        <v>13001</v>
      </c>
      <c r="I668" t="s">
        <v>2967</v>
      </c>
      <c r="J668">
        <v>6534647</v>
      </c>
      <c r="K668" t="s">
        <v>54</v>
      </c>
      <c r="L668">
        <v>73122729</v>
      </c>
      <c r="M668" t="s">
        <v>2171</v>
      </c>
      <c r="N668" t="s">
        <v>94</v>
      </c>
      <c r="O668" t="s">
        <v>2968</v>
      </c>
      <c r="P668" t="s">
        <v>2969</v>
      </c>
      <c r="Q668">
        <v>3041</v>
      </c>
      <c r="R668" t="s">
        <v>54</v>
      </c>
      <c r="S668">
        <v>23135548</v>
      </c>
      <c r="T668" t="s">
        <v>3194</v>
      </c>
      <c r="U668" t="s">
        <v>117</v>
      </c>
      <c r="V668" t="s">
        <v>3159</v>
      </c>
      <c r="W668" t="s">
        <v>57</v>
      </c>
      <c r="X668" t="s">
        <v>3195</v>
      </c>
      <c r="Y668" t="s">
        <v>101</v>
      </c>
      <c r="Z668">
        <v>11</v>
      </c>
      <c r="AA668" t="s">
        <v>87</v>
      </c>
      <c r="AB668" t="s">
        <v>56</v>
      </c>
      <c r="AC668" t="s">
        <v>56</v>
      </c>
      <c r="AD668">
        <v>0</v>
      </c>
      <c r="AE668" t="s">
        <v>66</v>
      </c>
      <c r="AF668" t="s">
        <v>56</v>
      </c>
      <c r="AG668" t="s">
        <v>56</v>
      </c>
      <c r="AH668" t="s">
        <v>56</v>
      </c>
      <c r="AI668" t="s">
        <v>56</v>
      </c>
      <c r="AJ668" t="s">
        <v>745</v>
      </c>
      <c r="AK668" t="s">
        <v>746</v>
      </c>
      <c r="AL668" t="s">
        <v>56</v>
      </c>
      <c r="AM668" t="s">
        <v>56</v>
      </c>
      <c r="AN668" t="s">
        <v>56</v>
      </c>
      <c r="AO668" t="s">
        <v>56</v>
      </c>
      <c r="AP668" t="s">
        <v>56</v>
      </c>
      <c r="AQ668" t="s">
        <v>71</v>
      </c>
      <c r="AR668" t="s">
        <v>56</v>
      </c>
      <c r="AS668" t="s">
        <v>56</v>
      </c>
      <c r="AT668" t="s">
        <v>56</v>
      </c>
      <c r="AU668" t="s">
        <v>56</v>
      </c>
      <c r="AV668" t="s">
        <v>56</v>
      </c>
      <c r="AW668" t="s">
        <v>56</v>
      </c>
      <c r="AX668">
        <v>4</v>
      </c>
    </row>
    <row r="669" spans="1:50" x14ac:dyDescent="0.25">
      <c r="A669" t="str">
        <f>"20200124132017005122"</f>
        <v>20200124132017005122</v>
      </c>
      <c r="B669" t="s">
        <v>201</v>
      </c>
      <c r="C669" t="s">
        <v>201</v>
      </c>
      <c r="D669" t="s">
        <v>3196</v>
      </c>
      <c r="E669" t="str">
        <f>"200010043101"</f>
        <v>200010043101</v>
      </c>
      <c r="F669" t="s">
        <v>52</v>
      </c>
      <c r="G669">
        <v>892399994</v>
      </c>
      <c r="H669">
        <v>20001</v>
      </c>
      <c r="I669" t="s">
        <v>905</v>
      </c>
      <c r="J669" t="s">
        <v>906</v>
      </c>
      <c r="K669" t="s">
        <v>54</v>
      </c>
      <c r="L669">
        <v>77012596</v>
      </c>
      <c r="M669" t="s">
        <v>3197</v>
      </c>
      <c r="N669" t="s">
        <v>424</v>
      </c>
      <c r="O669" t="s">
        <v>109</v>
      </c>
      <c r="P669" t="s">
        <v>993</v>
      </c>
      <c r="Q669">
        <v>18452</v>
      </c>
      <c r="R669" t="s">
        <v>54</v>
      </c>
      <c r="S669">
        <v>22371059</v>
      </c>
      <c r="T669" t="s">
        <v>3198</v>
      </c>
      <c r="U669" t="s">
        <v>62</v>
      </c>
      <c r="V669" t="s">
        <v>2213</v>
      </c>
      <c r="W669" t="s">
        <v>1794</v>
      </c>
      <c r="X669" t="s">
        <v>462</v>
      </c>
      <c r="Y669" t="s">
        <v>86</v>
      </c>
      <c r="Z669">
        <v>12</v>
      </c>
      <c r="AA669" t="s">
        <v>65</v>
      </c>
      <c r="AB669" t="s">
        <v>56</v>
      </c>
      <c r="AC669" t="s">
        <v>56</v>
      </c>
      <c r="AD669">
        <v>0</v>
      </c>
      <c r="AE669" t="s">
        <v>66</v>
      </c>
      <c r="AF669" t="s">
        <v>56</v>
      </c>
      <c r="AG669" t="s">
        <v>56</v>
      </c>
      <c r="AH669" t="s">
        <v>56</v>
      </c>
      <c r="AI669" t="s">
        <v>56</v>
      </c>
      <c r="AJ669" t="s">
        <v>1119</v>
      </c>
      <c r="AK669" t="s">
        <v>1120</v>
      </c>
      <c r="AL669" t="s">
        <v>3199</v>
      </c>
      <c r="AM669" t="s">
        <v>3200</v>
      </c>
      <c r="AN669" t="s">
        <v>56</v>
      </c>
      <c r="AO669" t="s">
        <v>56</v>
      </c>
      <c r="AP669" t="s">
        <v>56</v>
      </c>
      <c r="AQ669" t="s">
        <v>71</v>
      </c>
      <c r="AR669" t="s">
        <v>56</v>
      </c>
      <c r="AS669" t="s">
        <v>56</v>
      </c>
      <c r="AT669" t="s">
        <v>56</v>
      </c>
      <c r="AU669" t="s">
        <v>56</v>
      </c>
      <c r="AV669" t="s">
        <v>56</v>
      </c>
      <c r="AW669" t="s">
        <v>56</v>
      </c>
      <c r="AX669">
        <v>4</v>
      </c>
    </row>
    <row r="670" spans="1:50" x14ac:dyDescent="0.25">
      <c r="A670" t="str">
        <f>"20200131132017177143"</f>
        <v>20200131132017177143</v>
      </c>
      <c r="B670" t="s">
        <v>110</v>
      </c>
      <c r="C670" t="s">
        <v>110</v>
      </c>
      <c r="D670" t="s">
        <v>3201</v>
      </c>
      <c r="E670" t="str">
        <f>"761470681501"</f>
        <v>761470681501</v>
      </c>
      <c r="F670" t="s">
        <v>52</v>
      </c>
      <c r="G670">
        <v>830515000</v>
      </c>
      <c r="H670">
        <v>76147</v>
      </c>
      <c r="I670" t="s">
        <v>1217</v>
      </c>
      <c r="J670">
        <v>2145150</v>
      </c>
      <c r="K670" t="s">
        <v>54</v>
      </c>
      <c r="L670">
        <v>16231597</v>
      </c>
      <c r="M670" t="s">
        <v>1218</v>
      </c>
      <c r="N670" t="s">
        <v>1219</v>
      </c>
      <c r="O670" t="s">
        <v>1220</v>
      </c>
      <c r="P670" t="s">
        <v>1221</v>
      </c>
      <c r="Q670">
        <v>76257504</v>
      </c>
      <c r="R670" t="s">
        <v>54</v>
      </c>
      <c r="S670">
        <v>16201957</v>
      </c>
      <c r="T670" t="s">
        <v>259</v>
      </c>
      <c r="U670" t="s">
        <v>62</v>
      </c>
      <c r="V670" t="s">
        <v>2451</v>
      </c>
      <c r="W670" t="s">
        <v>658</v>
      </c>
      <c r="X670" t="s">
        <v>277</v>
      </c>
      <c r="Y670" t="s">
        <v>64</v>
      </c>
      <c r="Z670">
        <v>12</v>
      </c>
      <c r="AA670" t="s">
        <v>65</v>
      </c>
      <c r="AB670" t="s">
        <v>56</v>
      </c>
      <c r="AC670" t="s">
        <v>56</v>
      </c>
      <c r="AD670">
        <v>0</v>
      </c>
      <c r="AE670" t="s">
        <v>66</v>
      </c>
      <c r="AF670" t="s">
        <v>56</v>
      </c>
      <c r="AG670" t="s">
        <v>56</v>
      </c>
      <c r="AH670" t="s">
        <v>56</v>
      </c>
      <c r="AI670" t="s">
        <v>56</v>
      </c>
      <c r="AJ670" t="s">
        <v>1119</v>
      </c>
      <c r="AK670" t="s">
        <v>1120</v>
      </c>
      <c r="AL670" t="s">
        <v>56</v>
      </c>
      <c r="AM670" t="s">
        <v>56</v>
      </c>
      <c r="AN670" t="s">
        <v>56</v>
      </c>
      <c r="AO670" t="s">
        <v>56</v>
      </c>
      <c r="AP670" t="s">
        <v>56</v>
      </c>
      <c r="AQ670" t="s">
        <v>71</v>
      </c>
      <c r="AR670" t="s">
        <v>56</v>
      </c>
      <c r="AS670" t="s">
        <v>56</v>
      </c>
      <c r="AT670" t="s">
        <v>56</v>
      </c>
      <c r="AU670" t="s">
        <v>56</v>
      </c>
      <c r="AV670" t="s">
        <v>56</v>
      </c>
      <c r="AW670" t="s">
        <v>56</v>
      </c>
      <c r="AX670">
        <v>4</v>
      </c>
    </row>
    <row r="671" spans="1:50" x14ac:dyDescent="0.25">
      <c r="A671" t="str">
        <f>"20200130119017147333"</f>
        <v>20200130119017147333</v>
      </c>
      <c r="B671" t="s">
        <v>124</v>
      </c>
      <c r="C671" t="s">
        <v>124</v>
      </c>
      <c r="D671" t="s">
        <v>3202</v>
      </c>
      <c r="E671" t="str">
        <f>"270010036201"</f>
        <v>270010036201</v>
      </c>
      <c r="F671" t="s">
        <v>52</v>
      </c>
      <c r="G671">
        <v>900210883</v>
      </c>
      <c r="H671">
        <v>27001</v>
      </c>
      <c r="I671" t="s">
        <v>2057</v>
      </c>
      <c r="J671">
        <v>6724232</v>
      </c>
      <c r="K671" t="s">
        <v>54</v>
      </c>
      <c r="L671">
        <v>72218482</v>
      </c>
      <c r="M671" t="s">
        <v>291</v>
      </c>
      <c r="N671" t="s">
        <v>261</v>
      </c>
      <c r="O671" t="s">
        <v>1146</v>
      </c>
      <c r="P671" t="s">
        <v>1076</v>
      </c>
      <c r="Q671">
        <v>27405</v>
      </c>
      <c r="R671" t="s">
        <v>54</v>
      </c>
      <c r="S671">
        <v>11791066</v>
      </c>
      <c r="T671" t="s">
        <v>127</v>
      </c>
      <c r="U671" t="s">
        <v>897</v>
      </c>
      <c r="V671" t="s">
        <v>2124</v>
      </c>
      <c r="W671" t="s">
        <v>3203</v>
      </c>
      <c r="X671" t="s">
        <v>860</v>
      </c>
      <c r="Y671" t="s">
        <v>717</v>
      </c>
      <c r="Z671">
        <v>11</v>
      </c>
      <c r="AA671" t="s">
        <v>87</v>
      </c>
      <c r="AB671" t="s">
        <v>56</v>
      </c>
      <c r="AC671" t="s">
        <v>56</v>
      </c>
      <c r="AD671">
        <v>0</v>
      </c>
      <c r="AE671" t="s">
        <v>66</v>
      </c>
      <c r="AF671" t="s">
        <v>56</v>
      </c>
      <c r="AG671" t="s">
        <v>56</v>
      </c>
      <c r="AH671" t="s">
        <v>56</v>
      </c>
      <c r="AI671" t="s">
        <v>56</v>
      </c>
      <c r="AJ671" t="s">
        <v>1119</v>
      </c>
      <c r="AK671" t="s">
        <v>1120</v>
      </c>
      <c r="AL671" t="s">
        <v>56</v>
      </c>
      <c r="AM671" t="s">
        <v>56</v>
      </c>
      <c r="AN671" t="s">
        <v>56</v>
      </c>
      <c r="AO671" t="s">
        <v>56</v>
      </c>
      <c r="AP671" t="s">
        <v>56</v>
      </c>
      <c r="AQ671" t="s">
        <v>71</v>
      </c>
      <c r="AR671" t="s">
        <v>56</v>
      </c>
      <c r="AS671" t="s">
        <v>56</v>
      </c>
      <c r="AT671" t="s">
        <v>56</v>
      </c>
      <c r="AU671" t="s">
        <v>56</v>
      </c>
      <c r="AV671" t="s">
        <v>56</v>
      </c>
      <c r="AW671" t="s">
        <v>56</v>
      </c>
      <c r="AX671">
        <v>4</v>
      </c>
    </row>
    <row r="672" spans="1:50" x14ac:dyDescent="0.25">
      <c r="A672" t="str">
        <f>"20200130171017138833"</f>
        <v>20200130171017138833</v>
      </c>
      <c r="B672" t="s">
        <v>124</v>
      </c>
      <c r="C672" t="s">
        <v>124</v>
      </c>
      <c r="D672" t="s">
        <v>3204</v>
      </c>
      <c r="E672" t="str">
        <f>"087580016101"</f>
        <v>087580016101</v>
      </c>
      <c r="F672" t="s">
        <v>52</v>
      </c>
      <c r="G672">
        <v>802013023</v>
      </c>
      <c r="H672" t="s">
        <v>74</v>
      </c>
      <c r="I672" t="s">
        <v>953</v>
      </c>
      <c r="J672">
        <v>3759400</v>
      </c>
      <c r="K672" t="s">
        <v>54</v>
      </c>
      <c r="L672">
        <v>22738424</v>
      </c>
      <c r="M672" t="s">
        <v>1721</v>
      </c>
      <c r="N672" t="s">
        <v>1321</v>
      </c>
      <c r="O672" t="s">
        <v>573</v>
      </c>
      <c r="P672" t="s">
        <v>403</v>
      </c>
      <c r="Q672" t="s">
        <v>1722</v>
      </c>
      <c r="R672" t="s">
        <v>54</v>
      </c>
      <c r="S672">
        <v>22859101</v>
      </c>
      <c r="T672" t="s">
        <v>3205</v>
      </c>
      <c r="U672" t="s">
        <v>3206</v>
      </c>
      <c r="V672" t="s">
        <v>2736</v>
      </c>
      <c r="W672" t="s">
        <v>520</v>
      </c>
      <c r="X672" t="s">
        <v>299</v>
      </c>
      <c r="Y672" t="s">
        <v>121</v>
      </c>
      <c r="Z672">
        <v>11</v>
      </c>
      <c r="AA672" t="s">
        <v>87</v>
      </c>
      <c r="AB672" t="s">
        <v>56</v>
      </c>
      <c r="AC672" t="s">
        <v>56</v>
      </c>
      <c r="AD672">
        <v>0</v>
      </c>
      <c r="AE672" t="s">
        <v>66</v>
      </c>
      <c r="AF672" t="s">
        <v>56</v>
      </c>
      <c r="AG672" t="s">
        <v>56</v>
      </c>
      <c r="AH672" t="s">
        <v>56</v>
      </c>
      <c r="AI672" t="s">
        <v>56</v>
      </c>
      <c r="AJ672" t="s">
        <v>255</v>
      </c>
      <c r="AK672" t="s">
        <v>256</v>
      </c>
      <c r="AL672" t="s">
        <v>356</v>
      </c>
      <c r="AM672" t="s">
        <v>357</v>
      </c>
      <c r="AN672" t="s">
        <v>56</v>
      </c>
      <c r="AO672" t="s">
        <v>56</v>
      </c>
      <c r="AP672" t="s">
        <v>56</v>
      </c>
      <c r="AQ672" t="s">
        <v>71</v>
      </c>
      <c r="AR672" t="s">
        <v>56</v>
      </c>
      <c r="AS672" t="s">
        <v>56</v>
      </c>
      <c r="AT672" t="s">
        <v>56</v>
      </c>
      <c r="AU672" t="s">
        <v>56</v>
      </c>
      <c r="AV672" t="s">
        <v>56</v>
      </c>
      <c r="AW672" t="s">
        <v>56</v>
      </c>
      <c r="AX672">
        <v>4</v>
      </c>
    </row>
    <row r="673" spans="1:50" x14ac:dyDescent="0.25">
      <c r="A673" t="str">
        <f>"20200130130017139271"</f>
        <v>20200130130017139271</v>
      </c>
      <c r="B673" t="s">
        <v>124</v>
      </c>
      <c r="C673" t="s">
        <v>124</v>
      </c>
      <c r="D673" t="s">
        <v>3207</v>
      </c>
      <c r="E673" t="str">
        <f>"087580016101"</f>
        <v>087580016101</v>
      </c>
      <c r="F673" t="s">
        <v>52</v>
      </c>
      <c r="G673">
        <v>802013023</v>
      </c>
      <c r="H673" t="s">
        <v>74</v>
      </c>
      <c r="I673" t="s">
        <v>953</v>
      </c>
      <c r="J673">
        <v>3759400</v>
      </c>
      <c r="K673" t="s">
        <v>54</v>
      </c>
      <c r="L673">
        <v>22738424</v>
      </c>
      <c r="M673" t="s">
        <v>1721</v>
      </c>
      <c r="N673" t="s">
        <v>1321</v>
      </c>
      <c r="O673" t="s">
        <v>573</v>
      </c>
      <c r="P673" t="s">
        <v>403</v>
      </c>
      <c r="Q673" t="s">
        <v>1722</v>
      </c>
      <c r="R673" t="s">
        <v>54</v>
      </c>
      <c r="S673">
        <v>22859101</v>
      </c>
      <c r="T673" t="s">
        <v>3205</v>
      </c>
      <c r="U673" t="s">
        <v>3206</v>
      </c>
      <c r="V673" t="s">
        <v>2736</v>
      </c>
      <c r="W673" t="s">
        <v>520</v>
      </c>
      <c r="X673" t="s">
        <v>299</v>
      </c>
      <c r="Y673" t="s">
        <v>121</v>
      </c>
      <c r="Z673">
        <v>11</v>
      </c>
      <c r="AA673" t="s">
        <v>87</v>
      </c>
      <c r="AB673" t="s">
        <v>56</v>
      </c>
      <c r="AC673" t="s">
        <v>56</v>
      </c>
      <c r="AD673">
        <v>0</v>
      </c>
      <c r="AE673" t="s">
        <v>66</v>
      </c>
      <c r="AF673" t="s">
        <v>56</v>
      </c>
      <c r="AG673" t="s">
        <v>56</v>
      </c>
      <c r="AH673" t="s">
        <v>56</v>
      </c>
      <c r="AI673" t="s">
        <v>56</v>
      </c>
      <c r="AJ673" t="s">
        <v>255</v>
      </c>
      <c r="AK673" t="s">
        <v>256</v>
      </c>
      <c r="AL673" t="s">
        <v>356</v>
      </c>
      <c r="AM673" t="s">
        <v>357</v>
      </c>
      <c r="AN673" t="s">
        <v>56</v>
      </c>
      <c r="AO673" t="s">
        <v>56</v>
      </c>
      <c r="AP673" t="s">
        <v>56</v>
      </c>
      <c r="AQ673" t="s">
        <v>71</v>
      </c>
      <c r="AR673" t="s">
        <v>56</v>
      </c>
      <c r="AS673" t="s">
        <v>56</v>
      </c>
      <c r="AT673" t="s">
        <v>56</v>
      </c>
      <c r="AU673" t="s">
        <v>56</v>
      </c>
      <c r="AV673" t="s">
        <v>56</v>
      </c>
      <c r="AW673" t="s">
        <v>56</v>
      </c>
      <c r="AX673">
        <v>4</v>
      </c>
    </row>
    <row r="674" spans="1:50" x14ac:dyDescent="0.25">
      <c r="A674" t="str">
        <f>"20200131135017167833"</f>
        <v>20200131135017167833</v>
      </c>
      <c r="B674" t="s">
        <v>110</v>
      </c>
      <c r="C674" t="s">
        <v>110</v>
      </c>
      <c r="D674" t="s">
        <v>3208</v>
      </c>
      <c r="E674" t="str">
        <f>"087580016101"</f>
        <v>087580016101</v>
      </c>
      <c r="F674" t="s">
        <v>52</v>
      </c>
      <c r="G674">
        <v>802013023</v>
      </c>
      <c r="H674" t="s">
        <v>74</v>
      </c>
      <c r="I674" t="s">
        <v>953</v>
      </c>
      <c r="J674">
        <v>3759400</v>
      </c>
      <c r="K674" t="s">
        <v>54</v>
      </c>
      <c r="L674">
        <v>22738424</v>
      </c>
      <c r="M674" t="s">
        <v>1721</v>
      </c>
      <c r="N674" t="s">
        <v>1321</v>
      </c>
      <c r="O674" t="s">
        <v>573</v>
      </c>
      <c r="P674" t="s">
        <v>403</v>
      </c>
      <c r="Q674" t="s">
        <v>1722</v>
      </c>
      <c r="R674" t="s">
        <v>54</v>
      </c>
      <c r="S674">
        <v>22859101</v>
      </c>
      <c r="T674" t="s">
        <v>3205</v>
      </c>
      <c r="U674" t="s">
        <v>3206</v>
      </c>
      <c r="V674" t="s">
        <v>2736</v>
      </c>
      <c r="W674" t="s">
        <v>520</v>
      </c>
      <c r="X674" t="s">
        <v>299</v>
      </c>
      <c r="Y674" t="s">
        <v>121</v>
      </c>
      <c r="Z674">
        <v>11</v>
      </c>
      <c r="AA674" t="s">
        <v>87</v>
      </c>
      <c r="AB674" t="s">
        <v>56</v>
      </c>
      <c r="AC674" t="s">
        <v>56</v>
      </c>
      <c r="AD674">
        <v>0</v>
      </c>
      <c r="AE674" t="s">
        <v>66</v>
      </c>
      <c r="AF674" t="s">
        <v>56</v>
      </c>
      <c r="AG674" t="s">
        <v>56</v>
      </c>
      <c r="AH674" t="s">
        <v>56</v>
      </c>
      <c r="AI674" t="s">
        <v>56</v>
      </c>
      <c r="AJ674" t="s">
        <v>255</v>
      </c>
      <c r="AK674" t="s">
        <v>256</v>
      </c>
      <c r="AL674" t="s">
        <v>356</v>
      </c>
      <c r="AM674" t="s">
        <v>357</v>
      </c>
      <c r="AN674" t="s">
        <v>56</v>
      </c>
      <c r="AO674" t="s">
        <v>56</v>
      </c>
      <c r="AP674" t="s">
        <v>56</v>
      </c>
      <c r="AQ674" t="s">
        <v>71</v>
      </c>
      <c r="AR674" t="s">
        <v>56</v>
      </c>
      <c r="AS674" t="s">
        <v>56</v>
      </c>
      <c r="AT674" t="s">
        <v>56</v>
      </c>
      <c r="AU674" t="s">
        <v>56</v>
      </c>
      <c r="AV674" t="s">
        <v>56</v>
      </c>
      <c r="AW674" t="s">
        <v>56</v>
      </c>
      <c r="AX674">
        <v>4</v>
      </c>
    </row>
    <row r="675" spans="1:50" x14ac:dyDescent="0.25">
      <c r="A675" t="str">
        <f>"20200131162017170097"</f>
        <v>20200131162017170097</v>
      </c>
      <c r="B675" t="s">
        <v>110</v>
      </c>
      <c r="C675" t="s">
        <v>110</v>
      </c>
      <c r="D675" t="s">
        <v>3209</v>
      </c>
      <c r="E675" t="str">
        <f>"200010205401"</f>
        <v>200010205401</v>
      </c>
      <c r="F675" t="s">
        <v>52</v>
      </c>
      <c r="G675">
        <v>901058547</v>
      </c>
      <c r="H675">
        <v>20001</v>
      </c>
      <c r="I675" t="s">
        <v>512</v>
      </c>
      <c r="J675" t="s">
        <v>513</v>
      </c>
      <c r="K675" t="s">
        <v>54</v>
      </c>
      <c r="L675">
        <v>49787534</v>
      </c>
      <c r="M675" t="s">
        <v>972</v>
      </c>
      <c r="N675" t="s">
        <v>205</v>
      </c>
      <c r="O675" t="s">
        <v>2137</v>
      </c>
      <c r="P675" t="s">
        <v>115</v>
      </c>
      <c r="Q675">
        <v>200384</v>
      </c>
      <c r="R675" t="s">
        <v>54</v>
      </c>
      <c r="S675">
        <v>7404602</v>
      </c>
      <c r="T675" t="s">
        <v>132</v>
      </c>
      <c r="U675" t="s">
        <v>3210</v>
      </c>
      <c r="V675" t="s">
        <v>3211</v>
      </c>
      <c r="W675" t="s">
        <v>353</v>
      </c>
      <c r="X675" t="s">
        <v>462</v>
      </c>
      <c r="Y675" t="s">
        <v>86</v>
      </c>
      <c r="Z675">
        <v>12</v>
      </c>
      <c r="AA675" t="s">
        <v>65</v>
      </c>
      <c r="AB675" t="s">
        <v>56</v>
      </c>
      <c r="AC675" t="s">
        <v>56</v>
      </c>
      <c r="AD675">
        <v>0</v>
      </c>
      <c r="AE675" t="s">
        <v>66</v>
      </c>
      <c r="AF675" t="s">
        <v>56</v>
      </c>
      <c r="AG675" t="s">
        <v>56</v>
      </c>
      <c r="AH675" t="s">
        <v>56</v>
      </c>
      <c r="AI675" t="s">
        <v>56</v>
      </c>
      <c r="AJ675" t="s">
        <v>3212</v>
      </c>
      <c r="AK675" t="s">
        <v>3213</v>
      </c>
      <c r="AL675" t="s">
        <v>56</v>
      </c>
      <c r="AM675" t="s">
        <v>56</v>
      </c>
      <c r="AN675" t="s">
        <v>56</v>
      </c>
      <c r="AO675" t="s">
        <v>56</v>
      </c>
      <c r="AP675" t="s">
        <v>56</v>
      </c>
      <c r="AQ675" t="s">
        <v>71</v>
      </c>
      <c r="AR675" t="s">
        <v>56</v>
      </c>
      <c r="AS675" t="s">
        <v>56</v>
      </c>
      <c r="AT675" t="s">
        <v>56</v>
      </c>
      <c r="AU675" t="s">
        <v>56</v>
      </c>
      <c r="AV675" t="s">
        <v>56</v>
      </c>
      <c r="AW675" t="s">
        <v>56</v>
      </c>
      <c r="AX675">
        <v>4</v>
      </c>
    </row>
    <row r="676" spans="1:50" x14ac:dyDescent="0.25">
      <c r="A676" t="str">
        <f>"20200129118017109345"</f>
        <v>20200129118017109345</v>
      </c>
      <c r="B676" t="s">
        <v>72</v>
      </c>
      <c r="C676" t="s">
        <v>72</v>
      </c>
      <c r="D676" t="s">
        <v>3214</v>
      </c>
      <c r="E676" t="str">
        <f>"080010022301"</f>
        <v>080010022301</v>
      </c>
      <c r="F676" t="s">
        <v>52</v>
      </c>
      <c r="G676">
        <v>72125229</v>
      </c>
      <c r="H676" t="s">
        <v>112</v>
      </c>
      <c r="I676" t="s">
        <v>303</v>
      </c>
      <c r="J676">
        <v>3781924</v>
      </c>
      <c r="K676" t="s">
        <v>54</v>
      </c>
      <c r="L676">
        <v>72125229</v>
      </c>
      <c r="M676" t="s">
        <v>304</v>
      </c>
      <c r="N676" t="s">
        <v>56</v>
      </c>
      <c r="O676" t="s">
        <v>305</v>
      </c>
      <c r="P676" t="s">
        <v>306</v>
      </c>
      <c r="Q676" t="s">
        <v>56</v>
      </c>
      <c r="R676" t="s">
        <v>54</v>
      </c>
      <c r="S676">
        <v>32837881</v>
      </c>
      <c r="T676" t="s">
        <v>3215</v>
      </c>
      <c r="U676" t="s">
        <v>59</v>
      </c>
      <c r="V676" t="s">
        <v>1297</v>
      </c>
      <c r="W676" t="s">
        <v>57</v>
      </c>
      <c r="X676" t="s">
        <v>254</v>
      </c>
      <c r="Y676" t="s">
        <v>121</v>
      </c>
      <c r="Z676">
        <v>12</v>
      </c>
      <c r="AA676" t="s">
        <v>65</v>
      </c>
      <c r="AB676" t="s">
        <v>56</v>
      </c>
      <c r="AC676" t="s">
        <v>56</v>
      </c>
      <c r="AD676">
        <v>0</v>
      </c>
      <c r="AE676" t="s">
        <v>66</v>
      </c>
      <c r="AF676" t="s">
        <v>56</v>
      </c>
      <c r="AG676" t="s">
        <v>56</v>
      </c>
      <c r="AH676" t="s">
        <v>56</v>
      </c>
      <c r="AI676" t="s">
        <v>56</v>
      </c>
      <c r="AJ676" t="s">
        <v>1531</v>
      </c>
      <c r="AK676" t="s">
        <v>1532</v>
      </c>
      <c r="AL676" t="s">
        <v>56</v>
      </c>
      <c r="AM676" t="s">
        <v>56</v>
      </c>
      <c r="AN676" t="s">
        <v>56</v>
      </c>
      <c r="AO676" t="s">
        <v>56</v>
      </c>
      <c r="AP676" t="s">
        <v>56</v>
      </c>
      <c r="AQ676" t="s">
        <v>71</v>
      </c>
      <c r="AR676" t="s">
        <v>56</v>
      </c>
      <c r="AS676" t="s">
        <v>56</v>
      </c>
      <c r="AT676" t="s">
        <v>56</v>
      </c>
      <c r="AU676" t="s">
        <v>56</v>
      </c>
      <c r="AV676" t="s">
        <v>56</v>
      </c>
      <c r="AW676" t="s">
        <v>56</v>
      </c>
      <c r="AX676">
        <v>4</v>
      </c>
    </row>
    <row r="677" spans="1:50" x14ac:dyDescent="0.25">
      <c r="A677" t="str">
        <f>"20200124150017016318"</f>
        <v>20200124150017016318</v>
      </c>
      <c r="B677" t="s">
        <v>201</v>
      </c>
      <c r="C677" t="s">
        <v>201</v>
      </c>
      <c r="D677" t="s">
        <v>3216</v>
      </c>
      <c r="E677" t="str">
        <f>"761470681501"</f>
        <v>761470681501</v>
      </c>
      <c r="F677" t="s">
        <v>52</v>
      </c>
      <c r="G677">
        <v>830515000</v>
      </c>
      <c r="H677">
        <v>76147</v>
      </c>
      <c r="I677" t="s">
        <v>1217</v>
      </c>
      <c r="J677">
        <v>2145150</v>
      </c>
      <c r="K677" t="s">
        <v>54</v>
      </c>
      <c r="L677">
        <v>16231597</v>
      </c>
      <c r="M677" t="s">
        <v>1218</v>
      </c>
      <c r="N677" t="s">
        <v>1219</v>
      </c>
      <c r="O677" t="s">
        <v>1220</v>
      </c>
      <c r="P677" t="s">
        <v>1221</v>
      </c>
      <c r="Q677">
        <v>76257504</v>
      </c>
      <c r="R677" t="s">
        <v>54</v>
      </c>
      <c r="S677">
        <v>29199869</v>
      </c>
      <c r="T677" t="s">
        <v>530</v>
      </c>
      <c r="U677" t="s">
        <v>2957</v>
      </c>
      <c r="V677" t="s">
        <v>2758</v>
      </c>
      <c r="W677" t="s">
        <v>1335</v>
      </c>
      <c r="X677" t="s">
        <v>63</v>
      </c>
      <c r="Y677" t="s">
        <v>64</v>
      </c>
      <c r="Z677">
        <v>12</v>
      </c>
      <c r="AA677" t="s">
        <v>65</v>
      </c>
      <c r="AB677" t="s">
        <v>56</v>
      </c>
      <c r="AC677" t="s">
        <v>56</v>
      </c>
      <c r="AD677">
        <v>0</v>
      </c>
      <c r="AE677" t="s">
        <v>66</v>
      </c>
      <c r="AF677" t="s">
        <v>56</v>
      </c>
      <c r="AG677" t="s">
        <v>56</v>
      </c>
      <c r="AH677" t="s">
        <v>56</v>
      </c>
      <c r="AI677" t="s">
        <v>56</v>
      </c>
      <c r="AJ677" t="s">
        <v>1119</v>
      </c>
      <c r="AK677" t="s">
        <v>1120</v>
      </c>
      <c r="AL677" t="s">
        <v>56</v>
      </c>
      <c r="AM677" t="s">
        <v>56</v>
      </c>
      <c r="AN677" t="s">
        <v>56</v>
      </c>
      <c r="AO677" t="s">
        <v>56</v>
      </c>
      <c r="AP677" t="s">
        <v>56</v>
      </c>
      <c r="AQ677" t="s">
        <v>71</v>
      </c>
      <c r="AR677" t="s">
        <v>56</v>
      </c>
      <c r="AS677" t="s">
        <v>56</v>
      </c>
      <c r="AT677" t="s">
        <v>56</v>
      </c>
      <c r="AU677" t="s">
        <v>56</v>
      </c>
      <c r="AV677" t="s">
        <v>56</v>
      </c>
      <c r="AW677" t="s">
        <v>56</v>
      </c>
      <c r="AX677">
        <v>4</v>
      </c>
    </row>
    <row r="678" spans="1:50" x14ac:dyDescent="0.25">
      <c r="A678" t="str">
        <f>"20200130110017131238"</f>
        <v>20200130110017131238</v>
      </c>
      <c r="B678" t="s">
        <v>124</v>
      </c>
      <c r="C678" t="s">
        <v>124</v>
      </c>
      <c r="D678" t="s">
        <v>3217</v>
      </c>
      <c r="E678" t="str">
        <f>"080010003601"</f>
        <v>080010003601</v>
      </c>
      <c r="F678" t="s">
        <v>52</v>
      </c>
      <c r="G678">
        <v>802000955</v>
      </c>
      <c r="H678" t="s">
        <v>112</v>
      </c>
      <c r="I678" t="s">
        <v>218</v>
      </c>
      <c r="J678" t="s">
        <v>56</v>
      </c>
      <c r="K678" t="s">
        <v>54</v>
      </c>
      <c r="L678">
        <v>1045754222</v>
      </c>
      <c r="M678" t="s">
        <v>607</v>
      </c>
      <c r="N678" t="s">
        <v>117</v>
      </c>
      <c r="O678" t="s">
        <v>608</v>
      </c>
      <c r="P678" t="s">
        <v>528</v>
      </c>
      <c r="Q678">
        <v>1045754222</v>
      </c>
      <c r="R678" t="s">
        <v>54</v>
      </c>
      <c r="S678">
        <v>44156667</v>
      </c>
      <c r="T678" t="s">
        <v>3218</v>
      </c>
      <c r="U678" t="s">
        <v>296</v>
      </c>
      <c r="V678" t="s">
        <v>568</v>
      </c>
      <c r="W678" t="s">
        <v>3219</v>
      </c>
      <c r="X678" t="s">
        <v>299</v>
      </c>
      <c r="Y678" t="s">
        <v>121</v>
      </c>
      <c r="Z678">
        <v>12</v>
      </c>
      <c r="AA678" t="s">
        <v>65</v>
      </c>
      <c r="AB678" t="s">
        <v>56</v>
      </c>
      <c r="AC678" t="s">
        <v>56</v>
      </c>
      <c r="AD678">
        <v>0</v>
      </c>
      <c r="AE678" t="s">
        <v>66</v>
      </c>
      <c r="AF678" t="s">
        <v>56</v>
      </c>
      <c r="AG678" t="s">
        <v>56</v>
      </c>
      <c r="AH678" t="s">
        <v>56</v>
      </c>
      <c r="AI678" t="s">
        <v>56</v>
      </c>
      <c r="AJ678" t="s">
        <v>1575</v>
      </c>
      <c r="AK678" t="s">
        <v>1576</v>
      </c>
      <c r="AL678" t="s">
        <v>56</v>
      </c>
      <c r="AM678" t="s">
        <v>56</v>
      </c>
      <c r="AN678" t="s">
        <v>56</v>
      </c>
      <c r="AO678" t="s">
        <v>56</v>
      </c>
      <c r="AP678" t="s">
        <v>56</v>
      </c>
      <c r="AQ678" t="s">
        <v>71</v>
      </c>
      <c r="AR678" t="s">
        <v>56</v>
      </c>
      <c r="AS678" t="s">
        <v>56</v>
      </c>
      <c r="AT678" t="s">
        <v>56</v>
      </c>
      <c r="AU678" t="s">
        <v>56</v>
      </c>
      <c r="AV678" t="s">
        <v>56</v>
      </c>
      <c r="AW678" t="s">
        <v>56</v>
      </c>
      <c r="AX678">
        <v>4</v>
      </c>
    </row>
    <row r="679" spans="1:50" x14ac:dyDescent="0.25">
      <c r="A679" t="str">
        <f>"20200131178017158025"</f>
        <v>20200131178017158025</v>
      </c>
      <c r="B679" t="s">
        <v>110</v>
      </c>
      <c r="C679" t="s">
        <v>110</v>
      </c>
      <c r="D679" t="s">
        <v>3220</v>
      </c>
      <c r="E679" t="str">
        <f>"130010251501"</f>
        <v>130010251501</v>
      </c>
      <c r="F679" t="s">
        <v>52</v>
      </c>
      <c r="G679">
        <v>900449481</v>
      </c>
      <c r="H679">
        <v>13001</v>
      </c>
      <c r="I679" t="s">
        <v>1236</v>
      </c>
      <c r="J679" t="s">
        <v>1237</v>
      </c>
      <c r="K679" t="s">
        <v>54</v>
      </c>
      <c r="L679">
        <v>73006229</v>
      </c>
      <c r="M679" t="s">
        <v>107</v>
      </c>
      <c r="N679" t="s">
        <v>282</v>
      </c>
      <c r="O679" t="s">
        <v>608</v>
      </c>
      <c r="P679" t="s">
        <v>95</v>
      </c>
      <c r="Q679">
        <v>11443</v>
      </c>
      <c r="R679" t="s">
        <v>54</v>
      </c>
      <c r="S679">
        <v>23073232</v>
      </c>
      <c r="T679" t="s">
        <v>3221</v>
      </c>
      <c r="U679" t="s">
        <v>62</v>
      </c>
      <c r="V679" t="s">
        <v>1794</v>
      </c>
      <c r="W679" t="s">
        <v>315</v>
      </c>
      <c r="X679" t="s">
        <v>1448</v>
      </c>
      <c r="Y679" t="s">
        <v>101</v>
      </c>
      <c r="Z679">
        <v>12</v>
      </c>
      <c r="AA679" t="s">
        <v>65</v>
      </c>
      <c r="AB679" t="s">
        <v>56</v>
      </c>
      <c r="AC679" t="s">
        <v>56</v>
      </c>
      <c r="AD679">
        <v>0</v>
      </c>
      <c r="AE679" t="s">
        <v>66</v>
      </c>
      <c r="AF679" t="s">
        <v>56</v>
      </c>
      <c r="AG679" t="s">
        <v>56</v>
      </c>
      <c r="AH679" t="s">
        <v>56</v>
      </c>
      <c r="AI679" t="s">
        <v>56</v>
      </c>
      <c r="AJ679" t="s">
        <v>3222</v>
      </c>
      <c r="AK679" t="s">
        <v>3223</v>
      </c>
      <c r="AL679" t="s">
        <v>56</v>
      </c>
      <c r="AM679" t="s">
        <v>56</v>
      </c>
      <c r="AN679" t="s">
        <v>56</v>
      </c>
      <c r="AO679" t="s">
        <v>56</v>
      </c>
      <c r="AP679" t="s">
        <v>56</v>
      </c>
      <c r="AQ679" t="s">
        <v>71</v>
      </c>
      <c r="AR679" t="s">
        <v>56</v>
      </c>
      <c r="AS679" t="s">
        <v>56</v>
      </c>
      <c r="AT679" t="s">
        <v>56</v>
      </c>
      <c r="AU679" t="s">
        <v>56</v>
      </c>
      <c r="AV679" t="s">
        <v>56</v>
      </c>
      <c r="AW679" t="s">
        <v>56</v>
      </c>
      <c r="AX679">
        <v>4</v>
      </c>
    </row>
    <row r="680" spans="1:50" x14ac:dyDescent="0.25">
      <c r="A680" t="str">
        <f>"20200127148017053977"</f>
        <v>20200127148017053977</v>
      </c>
      <c r="B680" t="s">
        <v>190</v>
      </c>
      <c r="C680" t="s">
        <v>190</v>
      </c>
      <c r="D680" t="s">
        <v>3224</v>
      </c>
      <c r="E680" t="str">
        <f>"134300049201"</f>
        <v>134300049201</v>
      </c>
      <c r="F680" t="s">
        <v>52</v>
      </c>
      <c r="G680">
        <v>900196347</v>
      </c>
      <c r="H680">
        <v>13430</v>
      </c>
      <c r="I680" t="s">
        <v>174</v>
      </c>
      <c r="J680" t="s">
        <v>175</v>
      </c>
      <c r="K680" t="s">
        <v>54</v>
      </c>
      <c r="L680">
        <v>73241145</v>
      </c>
      <c r="M680" t="s">
        <v>1565</v>
      </c>
      <c r="N680" t="s">
        <v>76</v>
      </c>
      <c r="O680" t="s">
        <v>1566</v>
      </c>
      <c r="P680" t="s">
        <v>263</v>
      </c>
      <c r="Q680">
        <v>44062001</v>
      </c>
      <c r="R680" t="s">
        <v>440</v>
      </c>
      <c r="S680">
        <v>1050731096</v>
      </c>
      <c r="T680" t="s">
        <v>3225</v>
      </c>
      <c r="U680" t="s">
        <v>424</v>
      </c>
      <c r="V680" t="s">
        <v>707</v>
      </c>
      <c r="W680" t="s">
        <v>402</v>
      </c>
      <c r="X680" t="s">
        <v>183</v>
      </c>
      <c r="Y680" t="s">
        <v>101</v>
      </c>
      <c r="Z680">
        <v>22</v>
      </c>
      <c r="AA680" t="s">
        <v>102</v>
      </c>
      <c r="AB680">
        <v>0</v>
      </c>
      <c r="AC680" t="s">
        <v>66</v>
      </c>
      <c r="AD680">
        <v>0</v>
      </c>
      <c r="AE680" t="s">
        <v>66</v>
      </c>
      <c r="AF680" t="s">
        <v>56</v>
      </c>
      <c r="AG680" t="s">
        <v>56</v>
      </c>
      <c r="AH680" t="s">
        <v>56</v>
      </c>
      <c r="AI680" t="s">
        <v>56</v>
      </c>
      <c r="AJ680" t="s">
        <v>1919</v>
      </c>
      <c r="AK680" t="s">
        <v>1920</v>
      </c>
      <c r="AL680" t="s">
        <v>56</v>
      </c>
      <c r="AM680" t="s">
        <v>56</v>
      </c>
      <c r="AN680" t="s">
        <v>56</v>
      </c>
      <c r="AO680" t="s">
        <v>56</v>
      </c>
      <c r="AP680" t="s">
        <v>56</v>
      </c>
      <c r="AQ680" t="s">
        <v>71</v>
      </c>
      <c r="AR680" t="s">
        <v>56</v>
      </c>
      <c r="AS680" t="s">
        <v>56</v>
      </c>
      <c r="AT680" t="s">
        <v>56</v>
      </c>
      <c r="AU680" t="s">
        <v>56</v>
      </c>
      <c r="AV680" t="s">
        <v>56</v>
      </c>
      <c r="AW680" t="s">
        <v>56</v>
      </c>
      <c r="AX680">
        <v>4</v>
      </c>
    </row>
    <row r="681" spans="1:50" x14ac:dyDescent="0.25">
      <c r="A681" t="str">
        <f>"20200126145017037039"</f>
        <v>20200126145017037039</v>
      </c>
      <c r="B681" t="s">
        <v>244</v>
      </c>
      <c r="C681" t="s">
        <v>244</v>
      </c>
      <c r="D681" t="s">
        <v>1883</v>
      </c>
      <c r="E681" t="str">
        <f>"134300049201"</f>
        <v>134300049201</v>
      </c>
      <c r="F681" t="s">
        <v>52</v>
      </c>
      <c r="G681">
        <v>900196347</v>
      </c>
      <c r="H681">
        <v>13430</v>
      </c>
      <c r="I681" t="s">
        <v>174</v>
      </c>
      <c r="J681" t="s">
        <v>175</v>
      </c>
      <c r="K681" t="s">
        <v>54</v>
      </c>
      <c r="L681">
        <v>73241145</v>
      </c>
      <c r="M681" t="s">
        <v>1565</v>
      </c>
      <c r="N681" t="s">
        <v>76</v>
      </c>
      <c r="O681" t="s">
        <v>1566</v>
      </c>
      <c r="P681" t="s">
        <v>263</v>
      </c>
      <c r="Q681">
        <v>44062001</v>
      </c>
      <c r="R681" t="s">
        <v>440</v>
      </c>
      <c r="S681">
        <v>1050731096</v>
      </c>
      <c r="T681" t="s">
        <v>3225</v>
      </c>
      <c r="U681" t="s">
        <v>424</v>
      </c>
      <c r="V681" t="s">
        <v>707</v>
      </c>
      <c r="W681" t="s">
        <v>402</v>
      </c>
      <c r="X681" t="s">
        <v>183</v>
      </c>
      <c r="Y681" t="s">
        <v>101</v>
      </c>
      <c r="Z681">
        <v>22</v>
      </c>
      <c r="AA681" t="s">
        <v>102</v>
      </c>
      <c r="AB681">
        <v>0</v>
      </c>
      <c r="AC681" t="s">
        <v>66</v>
      </c>
      <c r="AD681">
        <v>0</v>
      </c>
      <c r="AE681" t="s">
        <v>66</v>
      </c>
      <c r="AF681" t="s">
        <v>56</v>
      </c>
      <c r="AG681" t="s">
        <v>56</v>
      </c>
      <c r="AH681" t="s">
        <v>56</v>
      </c>
      <c r="AI681" t="s">
        <v>56</v>
      </c>
      <c r="AJ681" t="s">
        <v>3226</v>
      </c>
      <c r="AK681" t="s">
        <v>3227</v>
      </c>
      <c r="AL681" t="s">
        <v>56</v>
      </c>
      <c r="AM681" t="s">
        <v>56</v>
      </c>
      <c r="AN681" t="s">
        <v>56</v>
      </c>
      <c r="AO681" t="s">
        <v>56</v>
      </c>
      <c r="AP681" t="s">
        <v>56</v>
      </c>
      <c r="AQ681" t="s">
        <v>71</v>
      </c>
      <c r="AR681" t="s">
        <v>56</v>
      </c>
      <c r="AS681" t="s">
        <v>56</v>
      </c>
      <c r="AT681" t="s">
        <v>56</v>
      </c>
      <c r="AU681" t="s">
        <v>56</v>
      </c>
      <c r="AV681" t="s">
        <v>56</v>
      </c>
      <c r="AW681" t="s">
        <v>56</v>
      </c>
      <c r="AX681">
        <v>4</v>
      </c>
    </row>
    <row r="682" spans="1:50" x14ac:dyDescent="0.25">
      <c r="A682" t="str">
        <f>"20200130161017137527"</f>
        <v>20200130161017137527</v>
      </c>
      <c r="B682" t="s">
        <v>124</v>
      </c>
      <c r="C682" t="s">
        <v>124</v>
      </c>
      <c r="D682" t="s">
        <v>3228</v>
      </c>
      <c r="E682" t="str">
        <f>"761470728201"</f>
        <v>761470728201</v>
      </c>
      <c r="F682" t="s">
        <v>52</v>
      </c>
      <c r="G682">
        <v>900247710</v>
      </c>
      <c r="H682">
        <v>76147</v>
      </c>
      <c r="I682" t="s">
        <v>526</v>
      </c>
      <c r="J682">
        <v>2108988</v>
      </c>
      <c r="K682" t="s">
        <v>54</v>
      </c>
      <c r="L682">
        <v>18615571</v>
      </c>
      <c r="M682" t="s">
        <v>164</v>
      </c>
      <c r="N682" t="s">
        <v>527</v>
      </c>
      <c r="O682" t="s">
        <v>528</v>
      </c>
      <c r="P682" t="s">
        <v>249</v>
      </c>
      <c r="Q682" t="s">
        <v>529</v>
      </c>
      <c r="R682" t="s">
        <v>54</v>
      </c>
      <c r="S682">
        <v>6546961</v>
      </c>
      <c r="T682" t="s">
        <v>2887</v>
      </c>
      <c r="U682" t="s">
        <v>62</v>
      </c>
      <c r="V682" t="s">
        <v>711</v>
      </c>
      <c r="W682" t="s">
        <v>3229</v>
      </c>
      <c r="X682" t="s">
        <v>277</v>
      </c>
      <c r="Y682" t="s">
        <v>64</v>
      </c>
      <c r="Z682">
        <v>12</v>
      </c>
      <c r="AA682" t="s">
        <v>65</v>
      </c>
      <c r="AB682" t="s">
        <v>56</v>
      </c>
      <c r="AC682" t="s">
        <v>56</v>
      </c>
      <c r="AD682">
        <v>0</v>
      </c>
      <c r="AE682" t="s">
        <v>66</v>
      </c>
      <c r="AF682" t="s">
        <v>56</v>
      </c>
      <c r="AG682" t="s">
        <v>56</v>
      </c>
      <c r="AH682" t="s">
        <v>56</v>
      </c>
      <c r="AI682" t="s">
        <v>56</v>
      </c>
      <c r="AJ682" t="s">
        <v>536</v>
      </c>
      <c r="AK682" t="s">
        <v>537</v>
      </c>
      <c r="AL682" t="s">
        <v>56</v>
      </c>
      <c r="AM682" t="s">
        <v>56</v>
      </c>
      <c r="AN682" t="s">
        <v>56</v>
      </c>
      <c r="AO682" t="s">
        <v>56</v>
      </c>
      <c r="AP682" t="s">
        <v>56</v>
      </c>
      <c r="AQ682" t="s">
        <v>71</v>
      </c>
      <c r="AR682" t="s">
        <v>56</v>
      </c>
      <c r="AS682" t="s">
        <v>56</v>
      </c>
      <c r="AT682" t="s">
        <v>56</v>
      </c>
      <c r="AU682" t="s">
        <v>56</v>
      </c>
      <c r="AV682" t="s">
        <v>56</v>
      </c>
      <c r="AW682" t="s">
        <v>56</v>
      </c>
      <c r="AX682">
        <v>4</v>
      </c>
    </row>
    <row r="683" spans="1:50" x14ac:dyDescent="0.25">
      <c r="A683" t="str">
        <f>"20200130160017133302"</f>
        <v>20200130160017133302</v>
      </c>
      <c r="B683" t="s">
        <v>124</v>
      </c>
      <c r="C683" t="s">
        <v>124</v>
      </c>
      <c r="D683" t="s">
        <v>1462</v>
      </c>
      <c r="E683" t="str">
        <f>"130010204801"</f>
        <v>130010204801</v>
      </c>
      <c r="F683" t="s">
        <v>52</v>
      </c>
      <c r="G683">
        <v>900233294</v>
      </c>
      <c r="H683">
        <v>13001</v>
      </c>
      <c r="I683" t="s">
        <v>1256</v>
      </c>
      <c r="J683">
        <v>6810230</v>
      </c>
      <c r="K683" t="s">
        <v>54</v>
      </c>
      <c r="L683">
        <v>12914142</v>
      </c>
      <c r="M683" t="s">
        <v>3230</v>
      </c>
      <c r="N683" t="s">
        <v>101</v>
      </c>
      <c r="O683" t="s">
        <v>3231</v>
      </c>
      <c r="P683" t="s">
        <v>675</v>
      </c>
      <c r="Q683">
        <v>12914142</v>
      </c>
      <c r="R683" t="s">
        <v>54</v>
      </c>
      <c r="S683">
        <v>3789704</v>
      </c>
      <c r="T683" t="s">
        <v>3232</v>
      </c>
      <c r="U683" t="s">
        <v>62</v>
      </c>
      <c r="V683" t="s">
        <v>3090</v>
      </c>
      <c r="W683" t="s">
        <v>801</v>
      </c>
      <c r="X683" t="s">
        <v>3233</v>
      </c>
      <c r="Y683" t="s">
        <v>101</v>
      </c>
      <c r="Z683">
        <v>12</v>
      </c>
      <c r="AA683" t="s">
        <v>65</v>
      </c>
      <c r="AB683" t="s">
        <v>56</v>
      </c>
      <c r="AC683" t="s">
        <v>56</v>
      </c>
      <c r="AD683">
        <v>0</v>
      </c>
      <c r="AE683" t="s">
        <v>66</v>
      </c>
      <c r="AF683" t="s">
        <v>56</v>
      </c>
      <c r="AG683" t="s">
        <v>56</v>
      </c>
      <c r="AH683" t="s">
        <v>56</v>
      </c>
      <c r="AI683" t="s">
        <v>56</v>
      </c>
      <c r="AJ683" t="s">
        <v>255</v>
      </c>
      <c r="AK683" t="s">
        <v>256</v>
      </c>
      <c r="AL683" t="s">
        <v>56</v>
      </c>
      <c r="AM683" t="s">
        <v>56</v>
      </c>
      <c r="AN683" t="s">
        <v>56</v>
      </c>
      <c r="AO683" t="s">
        <v>56</v>
      </c>
      <c r="AP683" t="s">
        <v>56</v>
      </c>
      <c r="AQ683" t="s">
        <v>71</v>
      </c>
      <c r="AR683" t="s">
        <v>56</v>
      </c>
      <c r="AS683" t="s">
        <v>56</v>
      </c>
      <c r="AT683" t="s">
        <v>56</v>
      </c>
      <c r="AU683" t="s">
        <v>56</v>
      </c>
      <c r="AV683" t="s">
        <v>56</v>
      </c>
      <c r="AW683" t="s">
        <v>56</v>
      </c>
      <c r="AX683">
        <v>4</v>
      </c>
    </row>
    <row r="684" spans="1:50" x14ac:dyDescent="0.25">
      <c r="A684" t="str">
        <f>"20200126173017038129"</f>
        <v>20200126173017038129</v>
      </c>
      <c r="B684" t="s">
        <v>244</v>
      </c>
      <c r="C684" t="s">
        <v>244</v>
      </c>
      <c r="D684" t="s">
        <v>3234</v>
      </c>
      <c r="E684" t="str">
        <f>"700010177001"</f>
        <v>700010177001</v>
      </c>
      <c r="F684" t="s">
        <v>52</v>
      </c>
      <c r="G684">
        <v>901082722</v>
      </c>
      <c r="H684">
        <v>70001</v>
      </c>
      <c r="I684" t="s">
        <v>1290</v>
      </c>
      <c r="J684" t="s">
        <v>1291</v>
      </c>
      <c r="K684" t="s">
        <v>54</v>
      </c>
      <c r="L684">
        <v>79500988</v>
      </c>
      <c r="M684" t="s">
        <v>234</v>
      </c>
      <c r="N684" t="s">
        <v>76</v>
      </c>
      <c r="O684" t="s">
        <v>376</v>
      </c>
      <c r="P684" t="s">
        <v>1292</v>
      </c>
      <c r="Q684">
        <v>7014799</v>
      </c>
      <c r="R684" t="s">
        <v>54</v>
      </c>
      <c r="S684">
        <v>33172088</v>
      </c>
      <c r="T684" t="s">
        <v>59</v>
      </c>
      <c r="U684" t="s">
        <v>3235</v>
      </c>
      <c r="V684" t="s">
        <v>2582</v>
      </c>
      <c r="W684" t="s">
        <v>1025</v>
      </c>
      <c r="X684" t="s">
        <v>605</v>
      </c>
      <c r="Y684" t="s">
        <v>330</v>
      </c>
      <c r="Z684">
        <v>12</v>
      </c>
      <c r="AA684" t="s">
        <v>65</v>
      </c>
      <c r="AB684" t="s">
        <v>56</v>
      </c>
      <c r="AC684" t="s">
        <v>56</v>
      </c>
      <c r="AD684">
        <v>0</v>
      </c>
      <c r="AE684" t="s">
        <v>66</v>
      </c>
      <c r="AF684" t="s">
        <v>56</v>
      </c>
      <c r="AG684" t="s">
        <v>56</v>
      </c>
      <c r="AH684" t="s">
        <v>56</v>
      </c>
      <c r="AI684" t="s">
        <v>56</v>
      </c>
      <c r="AJ684" t="s">
        <v>414</v>
      </c>
      <c r="AK684" t="s">
        <v>415</v>
      </c>
      <c r="AL684" t="s">
        <v>56</v>
      </c>
      <c r="AM684" t="s">
        <v>56</v>
      </c>
      <c r="AN684" t="s">
        <v>56</v>
      </c>
      <c r="AO684" t="s">
        <v>56</v>
      </c>
      <c r="AP684" t="s">
        <v>56</v>
      </c>
      <c r="AQ684" t="s">
        <v>71</v>
      </c>
      <c r="AR684" t="s">
        <v>56</v>
      </c>
      <c r="AS684" t="s">
        <v>56</v>
      </c>
      <c r="AT684" t="s">
        <v>56</v>
      </c>
      <c r="AU684" t="s">
        <v>56</v>
      </c>
      <c r="AV684" t="s">
        <v>56</v>
      </c>
      <c r="AW684" t="s">
        <v>56</v>
      </c>
      <c r="AX684">
        <v>4</v>
      </c>
    </row>
    <row r="685" spans="1:50" x14ac:dyDescent="0.25">
      <c r="A685" t="str">
        <f>"20200130156017144013"</f>
        <v>20200130156017144013</v>
      </c>
      <c r="B685" t="s">
        <v>124</v>
      </c>
      <c r="C685" t="s">
        <v>124</v>
      </c>
      <c r="D685" t="s">
        <v>3236</v>
      </c>
      <c r="E685" t="str">
        <f>"200010083101"</f>
        <v>200010083101</v>
      </c>
      <c r="F685" t="s">
        <v>52</v>
      </c>
      <c r="G685">
        <v>900066797</v>
      </c>
      <c r="H685">
        <v>20001</v>
      </c>
      <c r="I685" t="s">
        <v>457</v>
      </c>
      <c r="J685" t="s">
        <v>458</v>
      </c>
      <c r="K685" t="s">
        <v>54</v>
      </c>
      <c r="L685">
        <v>49760462</v>
      </c>
      <c r="M685" t="s">
        <v>459</v>
      </c>
      <c r="N685" t="s">
        <v>117</v>
      </c>
      <c r="O685" t="s">
        <v>460</v>
      </c>
      <c r="P685" t="s">
        <v>403</v>
      </c>
      <c r="Q685">
        <v>8550</v>
      </c>
      <c r="R685" t="s">
        <v>54</v>
      </c>
      <c r="S685">
        <v>42403880</v>
      </c>
      <c r="T685" t="s">
        <v>3237</v>
      </c>
      <c r="U685" t="s">
        <v>2698</v>
      </c>
      <c r="V685" t="s">
        <v>263</v>
      </c>
      <c r="W685" t="s">
        <v>393</v>
      </c>
      <c r="X685" t="s">
        <v>148</v>
      </c>
      <c r="Y685" t="s">
        <v>86</v>
      </c>
      <c r="Z685">
        <v>12</v>
      </c>
      <c r="AA685" t="s">
        <v>65</v>
      </c>
      <c r="AB685" t="s">
        <v>56</v>
      </c>
      <c r="AC685" t="s">
        <v>56</v>
      </c>
      <c r="AD685">
        <v>0</v>
      </c>
      <c r="AE685" t="s">
        <v>66</v>
      </c>
      <c r="AF685" t="s">
        <v>56</v>
      </c>
      <c r="AG685" t="s">
        <v>56</v>
      </c>
      <c r="AH685" t="s">
        <v>56</v>
      </c>
      <c r="AI685" t="s">
        <v>56</v>
      </c>
      <c r="AJ685" t="s">
        <v>545</v>
      </c>
      <c r="AK685" t="s">
        <v>546</v>
      </c>
      <c r="AL685" t="s">
        <v>463</v>
      </c>
      <c r="AM685" t="s">
        <v>464</v>
      </c>
      <c r="AN685" t="s">
        <v>56</v>
      </c>
      <c r="AO685" t="s">
        <v>56</v>
      </c>
      <c r="AP685" t="s">
        <v>56</v>
      </c>
      <c r="AQ685" t="s">
        <v>71</v>
      </c>
      <c r="AR685" t="s">
        <v>56</v>
      </c>
      <c r="AS685" t="s">
        <v>56</v>
      </c>
      <c r="AT685" t="s">
        <v>56</v>
      </c>
      <c r="AU685" t="s">
        <v>56</v>
      </c>
      <c r="AV685" t="s">
        <v>56</v>
      </c>
      <c r="AW685" t="s">
        <v>56</v>
      </c>
      <c r="AX685">
        <v>4</v>
      </c>
    </row>
    <row r="686" spans="1:50" x14ac:dyDescent="0.25">
      <c r="A686" t="str">
        <f>"20200126182017037358"</f>
        <v>20200126182017037358</v>
      </c>
      <c r="B686" t="s">
        <v>244</v>
      </c>
      <c r="C686" t="s">
        <v>244</v>
      </c>
      <c r="D686" t="s">
        <v>3238</v>
      </c>
      <c r="E686" t="str">
        <f>"080010349401"</f>
        <v>080010349401</v>
      </c>
      <c r="F686" t="s">
        <v>52</v>
      </c>
      <c r="G686">
        <v>900458308</v>
      </c>
      <c r="H686" t="s">
        <v>112</v>
      </c>
      <c r="I686" t="s">
        <v>370</v>
      </c>
      <c r="J686" t="s">
        <v>371</v>
      </c>
      <c r="K686" t="s">
        <v>54</v>
      </c>
      <c r="L686">
        <v>1143378811</v>
      </c>
      <c r="M686" t="s">
        <v>372</v>
      </c>
      <c r="N686" t="s">
        <v>373</v>
      </c>
      <c r="O686" t="s">
        <v>109</v>
      </c>
      <c r="P686" t="s">
        <v>374</v>
      </c>
      <c r="Q686">
        <v>1143378811</v>
      </c>
      <c r="R686" t="s">
        <v>54</v>
      </c>
      <c r="S686">
        <v>32812352</v>
      </c>
      <c r="T686" t="s">
        <v>3239</v>
      </c>
      <c r="U686" t="s">
        <v>1439</v>
      </c>
      <c r="V686" t="s">
        <v>893</v>
      </c>
      <c r="W686" t="s">
        <v>1562</v>
      </c>
      <c r="X686" t="s">
        <v>120</v>
      </c>
      <c r="Y686" t="s">
        <v>121</v>
      </c>
      <c r="Z686">
        <v>12</v>
      </c>
      <c r="AA686" t="s">
        <v>65</v>
      </c>
      <c r="AB686" t="s">
        <v>56</v>
      </c>
      <c r="AC686" t="s">
        <v>56</v>
      </c>
      <c r="AD686">
        <v>0</v>
      </c>
      <c r="AE686" t="s">
        <v>66</v>
      </c>
      <c r="AF686" t="s">
        <v>56</v>
      </c>
      <c r="AG686" t="s">
        <v>56</v>
      </c>
      <c r="AH686" t="s">
        <v>56</v>
      </c>
      <c r="AI686" t="s">
        <v>56</v>
      </c>
      <c r="AJ686" t="s">
        <v>356</v>
      </c>
      <c r="AK686" t="s">
        <v>357</v>
      </c>
      <c r="AL686" t="s">
        <v>255</v>
      </c>
      <c r="AM686" t="s">
        <v>256</v>
      </c>
      <c r="AN686" t="s">
        <v>56</v>
      </c>
      <c r="AO686" t="s">
        <v>56</v>
      </c>
      <c r="AP686" t="s">
        <v>56</v>
      </c>
      <c r="AQ686" t="s">
        <v>71</v>
      </c>
      <c r="AR686" t="s">
        <v>56</v>
      </c>
      <c r="AS686" t="s">
        <v>56</v>
      </c>
      <c r="AT686" t="s">
        <v>56</v>
      </c>
      <c r="AU686" t="s">
        <v>56</v>
      </c>
      <c r="AV686" t="s">
        <v>56</v>
      </c>
      <c r="AW686" t="s">
        <v>56</v>
      </c>
      <c r="AX686">
        <v>4</v>
      </c>
    </row>
    <row r="687" spans="1:50" x14ac:dyDescent="0.25">
      <c r="A687" t="str">
        <f>"20200131117017168704"</f>
        <v>20200131117017168704</v>
      </c>
      <c r="B687" t="s">
        <v>110</v>
      </c>
      <c r="C687" t="s">
        <v>110</v>
      </c>
      <c r="D687" t="s">
        <v>3240</v>
      </c>
      <c r="E687" t="str">
        <f>"700010111401"</f>
        <v>700010111401</v>
      </c>
      <c r="F687" t="s">
        <v>52</v>
      </c>
      <c r="G687">
        <v>900217343</v>
      </c>
      <c r="H687">
        <v>70001</v>
      </c>
      <c r="I687" t="s">
        <v>885</v>
      </c>
      <c r="J687">
        <v>2714280</v>
      </c>
      <c r="K687" t="s">
        <v>54</v>
      </c>
      <c r="L687">
        <v>8292191</v>
      </c>
      <c r="M687" t="s">
        <v>2684</v>
      </c>
      <c r="N687" t="s">
        <v>261</v>
      </c>
      <c r="O687" t="s">
        <v>260</v>
      </c>
      <c r="P687" t="s">
        <v>425</v>
      </c>
      <c r="Q687">
        <v>301</v>
      </c>
      <c r="R687" t="s">
        <v>54</v>
      </c>
      <c r="S687">
        <v>23132107</v>
      </c>
      <c r="T687" t="s">
        <v>470</v>
      </c>
      <c r="U687" t="s">
        <v>62</v>
      </c>
      <c r="V687" t="s">
        <v>193</v>
      </c>
      <c r="W687" t="s">
        <v>207</v>
      </c>
      <c r="X687" t="s">
        <v>1708</v>
      </c>
      <c r="Y687" t="s">
        <v>330</v>
      </c>
      <c r="Z687">
        <v>12</v>
      </c>
      <c r="AA687" t="s">
        <v>65</v>
      </c>
      <c r="AB687" t="s">
        <v>56</v>
      </c>
      <c r="AC687" t="s">
        <v>56</v>
      </c>
      <c r="AD687">
        <v>0</v>
      </c>
      <c r="AE687" t="s">
        <v>66</v>
      </c>
      <c r="AF687" t="s">
        <v>56</v>
      </c>
      <c r="AG687" t="s">
        <v>56</v>
      </c>
      <c r="AH687" t="s">
        <v>56</v>
      </c>
      <c r="AI687" t="s">
        <v>56</v>
      </c>
      <c r="AJ687" t="s">
        <v>545</v>
      </c>
      <c r="AK687" t="s">
        <v>546</v>
      </c>
      <c r="AL687" t="s">
        <v>56</v>
      </c>
      <c r="AM687" t="s">
        <v>56</v>
      </c>
      <c r="AN687" t="s">
        <v>56</v>
      </c>
      <c r="AO687" t="s">
        <v>56</v>
      </c>
      <c r="AP687" t="s">
        <v>56</v>
      </c>
      <c r="AQ687" t="s">
        <v>71</v>
      </c>
      <c r="AR687" t="s">
        <v>56</v>
      </c>
      <c r="AS687" t="s">
        <v>56</v>
      </c>
      <c r="AT687" t="s">
        <v>56</v>
      </c>
      <c r="AU687" t="s">
        <v>56</v>
      </c>
      <c r="AV687" t="s">
        <v>56</v>
      </c>
      <c r="AW687" t="s">
        <v>56</v>
      </c>
      <c r="AX687">
        <v>4</v>
      </c>
    </row>
    <row r="688" spans="1:50" x14ac:dyDescent="0.25">
      <c r="A688" t="str">
        <f>"20200127183017049135"</f>
        <v>20200127183017049135</v>
      </c>
      <c r="B688" t="s">
        <v>190</v>
      </c>
      <c r="C688" t="s">
        <v>190</v>
      </c>
      <c r="D688" t="s">
        <v>3241</v>
      </c>
      <c r="E688" t="str">
        <f>"080010380001"</f>
        <v>080010380001</v>
      </c>
      <c r="F688" t="s">
        <v>52</v>
      </c>
      <c r="G688">
        <v>900665930</v>
      </c>
      <c r="H688" t="s">
        <v>112</v>
      </c>
      <c r="I688" t="s">
        <v>113</v>
      </c>
      <c r="J688">
        <v>3175759202</v>
      </c>
      <c r="K688" t="s">
        <v>54</v>
      </c>
      <c r="L688">
        <v>1129501755</v>
      </c>
      <c r="M688" t="s">
        <v>672</v>
      </c>
      <c r="N688" t="s">
        <v>638</v>
      </c>
      <c r="O688" t="s">
        <v>673</v>
      </c>
      <c r="P688" t="s">
        <v>629</v>
      </c>
      <c r="Q688">
        <v>1326505</v>
      </c>
      <c r="R688" t="s">
        <v>54</v>
      </c>
      <c r="S688">
        <v>22367025</v>
      </c>
      <c r="T688" t="s">
        <v>1258</v>
      </c>
      <c r="U688" t="s">
        <v>296</v>
      </c>
      <c r="V688" t="s">
        <v>449</v>
      </c>
      <c r="W688" t="s">
        <v>3242</v>
      </c>
      <c r="X688" t="s">
        <v>120</v>
      </c>
      <c r="Y688" t="s">
        <v>121</v>
      </c>
      <c r="Z688">
        <v>12</v>
      </c>
      <c r="AA688" t="s">
        <v>65</v>
      </c>
      <c r="AB688" t="s">
        <v>56</v>
      </c>
      <c r="AC688" t="s">
        <v>56</v>
      </c>
      <c r="AD688">
        <v>0</v>
      </c>
      <c r="AE688" t="s">
        <v>66</v>
      </c>
      <c r="AF688" t="s">
        <v>56</v>
      </c>
      <c r="AG688" t="s">
        <v>56</v>
      </c>
      <c r="AH688" t="s">
        <v>56</v>
      </c>
      <c r="AI688" t="s">
        <v>56</v>
      </c>
      <c r="AJ688" t="s">
        <v>255</v>
      </c>
      <c r="AK688" t="s">
        <v>256</v>
      </c>
      <c r="AL688" t="s">
        <v>356</v>
      </c>
      <c r="AM688" t="s">
        <v>357</v>
      </c>
      <c r="AN688" t="s">
        <v>56</v>
      </c>
      <c r="AO688" t="s">
        <v>56</v>
      </c>
      <c r="AP688" t="s">
        <v>56</v>
      </c>
      <c r="AQ688" t="s">
        <v>71</v>
      </c>
      <c r="AR688" t="s">
        <v>56</v>
      </c>
      <c r="AS688" t="s">
        <v>56</v>
      </c>
      <c r="AT688" t="s">
        <v>56</v>
      </c>
      <c r="AU688" t="s">
        <v>56</v>
      </c>
      <c r="AV688" t="s">
        <v>56</v>
      </c>
      <c r="AW688" t="s">
        <v>56</v>
      </c>
      <c r="AX688">
        <v>4</v>
      </c>
    </row>
    <row r="689" spans="1:50" x14ac:dyDescent="0.25">
      <c r="A689" t="str">
        <f>"20200129190017106009"</f>
        <v>20200129190017106009</v>
      </c>
      <c r="B689" t="s">
        <v>72</v>
      </c>
      <c r="C689" t="s">
        <v>72</v>
      </c>
      <c r="D689" t="s">
        <v>3243</v>
      </c>
      <c r="E689" t="str">
        <f>"080010133502"</f>
        <v>080010133502</v>
      </c>
      <c r="F689" t="s">
        <v>52</v>
      </c>
      <c r="G689">
        <v>800253167</v>
      </c>
      <c r="H689" t="s">
        <v>112</v>
      </c>
      <c r="I689" t="s">
        <v>313</v>
      </c>
      <c r="J689">
        <v>3309000</v>
      </c>
      <c r="K689" t="s">
        <v>54</v>
      </c>
      <c r="L689">
        <v>22563894</v>
      </c>
      <c r="M689" t="s">
        <v>638</v>
      </c>
      <c r="N689" t="s">
        <v>56</v>
      </c>
      <c r="O689" t="s">
        <v>1475</v>
      </c>
      <c r="P689" t="s">
        <v>1186</v>
      </c>
      <c r="Q689" t="s">
        <v>3244</v>
      </c>
      <c r="R689" t="s">
        <v>54</v>
      </c>
      <c r="S689">
        <v>22618639</v>
      </c>
      <c r="T689" t="s">
        <v>1065</v>
      </c>
      <c r="U689" t="s">
        <v>2692</v>
      </c>
      <c r="V689" t="s">
        <v>276</v>
      </c>
      <c r="W689" t="s">
        <v>3245</v>
      </c>
      <c r="X689" t="s">
        <v>120</v>
      </c>
      <c r="Y689" t="s">
        <v>121</v>
      </c>
      <c r="Z689">
        <v>12</v>
      </c>
      <c r="AA689" t="s">
        <v>65</v>
      </c>
      <c r="AB689" t="s">
        <v>56</v>
      </c>
      <c r="AC689" t="s">
        <v>56</v>
      </c>
      <c r="AD689">
        <v>0</v>
      </c>
      <c r="AE689" t="s">
        <v>66</v>
      </c>
      <c r="AF689" t="s">
        <v>56</v>
      </c>
      <c r="AG689" t="s">
        <v>56</v>
      </c>
      <c r="AH689" t="s">
        <v>56</v>
      </c>
      <c r="AI689" t="s">
        <v>56</v>
      </c>
      <c r="AJ689" t="s">
        <v>3246</v>
      </c>
      <c r="AK689" t="s">
        <v>3247</v>
      </c>
      <c r="AL689" t="s">
        <v>56</v>
      </c>
      <c r="AM689" t="s">
        <v>56</v>
      </c>
      <c r="AN689" t="s">
        <v>56</v>
      </c>
      <c r="AO689" t="s">
        <v>56</v>
      </c>
      <c r="AP689" t="s">
        <v>56</v>
      </c>
      <c r="AQ689" t="s">
        <v>71</v>
      </c>
      <c r="AR689" t="s">
        <v>56</v>
      </c>
      <c r="AS689" t="s">
        <v>56</v>
      </c>
      <c r="AT689" t="s">
        <v>56</v>
      </c>
      <c r="AU689" t="s">
        <v>56</v>
      </c>
      <c r="AV689" t="s">
        <v>56</v>
      </c>
      <c r="AW689" t="s">
        <v>56</v>
      </c>
      <c r="AX689">
        <v>4</v>
      </c>
    </row>
    <row r="690" spans="1:50" x14ac:dyDescent="0.25">
      <c r="A690" t="str">
        <f>"20200129137017104973"</f>
        <v>20200129137017104973</v>
      </c>
      <c r="B690" t="s">
        <v>72</v>
      </c>
      <c r="C690" t="s">
        <v>72</v>
      </c>
      <c r="D690" t="s">
        <v>3248</v>
      </c>
      <c r="E690" t="str">
        <f>"050010214401"</f>
        <v>050010214401</v>
      </c>
      <c r="F690" t="s">
        <v>52</v>
      </c>
      <c r="G690">
        <v>890904646</v>
      </c>
      <c r="H690" t="s">
        <v>1652</v>
      </c>
      <c r="I690" t="s">
        <v>1847</v>
      </c>
      <c r="J690">
        <v>3847302</v>
      </c>
      <c r="K690" t="s">
        <v>54</v>
      </c>
      <c r="L690">
        <v>43097317</v>
      </c>
      <c r="M690" t="s">
        <v>3249</v>
      </c>
      <c r="N690" t="s">
        <v>3250</v>
      </c>
      <c r="O690" t="s">
        <v>622</v>
      </c>
      <c r="P690" t="s">
        <v>552</v>
      </c>
      <c r="Q690">
        <v>5025690</v>
      </c>
      <c r="R690" t="s">
        <v>54</v>
      </c>
      <c r="S690">
        <v>1077424554</v>
      </c>
      <c r="T690" t="s">
        <v>3251</v>
      </c>
      <c r="U690" t="s">
        <v>2543</v>
      </c>
      <c r="V690" t="s">
        <v>528</v>
      </c>
      <c r="W690" t="s">
        <v>136</v>
      </c>
      <c r="X690" t="s">
        <v>860</v>
      </c>
      <c r="Y690" t="s">
        <v>717</v>
      </c>
      <c r="Z690">
        <v>22</v>
      </c>
      <c r="AA690" t="s">
        <v>102</v>
      </c>
      <c r="AB690">
        <v>0</v>
      </c>
      <c r="AC690" t="s">
        <v>66</v>
      </c>
      <c r="AD690">
        <v>0</v>
      </c>
      <c r="AE690" t="s">
        <v>66</v>
      </c>
      <c r="AF690" t="s">
        <v>56</v>
      </c>
      <c r="AG690" t="s">
        <v>56</v>
      </c>
      <c r="AH690" t="s">
        <v>56</v>
      </c>
      <c r="AI690" t="s">
        <v>56</v>
      </c>
      <c r="AJ690" t="s">
        <v>3252</v>
      </c>
      <c r="AK690" t="s">
        <v>3253</v>
      </c>
      <c r="AL690" t="s">
        <v>1879</v>
      </c>
      <c r="AM690" t="s">
        <v>1880</v>
      </c>
      <c r="AN690" t="s">
        <v>56</v>
      </c>
      <c r="AO690" t="s">
        <v>56</v>
      </c>
      <c r="AP690" t="s">
        <v>56</v>
      </c>
      <c r="AQ690" t="s">
        <v>71</v>
      </c>
      <c r="AR690" t="s">
        <v>56</v>
      </c>
      <c r="AS690" t="s">
        <v>56</v>
      </c>
      <c r="AT690" t="s">
        <v>56</v>
      </c>
      <c r="AU690" t="s">
        <v>56</v>
      </c>
      <c r="AV690" t="s">
        <v>56</v>
      </c>
      <c r="AW690" t="s">
        <v>56</v>
      </c>
      <c r="AX690">
        <v>4</v>
      </c>
    </row>
    <row r="691" spans="1:50" x14ac:dyDescent="0.25">
      <c r="A691" t="str">
        <f>"20200129177017109769"</f>
        <v>20200129177017109769</v>
      </c>
      <c r="B691" t="s">
        <v>72</v>
      </c>
      <c r="C691" t="s">
        <v>72</v>
      </c>
      <c r="D691" t="s">
        <v>3254</v>
      </c>
      <c r="E691" t="str">
        <f>"080010022301"</f>
        <v>080010022301</v>
      </c>
      <c r="F691" t="s">
        <v>52</v>
      </c>
      <c r="G691">
        <v>72125229</v>
      </c>
      <c r="H691" t="s">
        <v>112</v>
      </c>
      <c r="I691" t="s">
        <v>303</v>
      </c>
      <c r="J691">
        <v>3781924</v>
      </c>
      <c r="K691" t="s">
        <v>54</v>
      </c>
      <c r="L691">
        <v>72125229</v>
      </c>
      <c r="M691" t="s">
        <v>304</v>
      </c>
      <c r="N691" t="s">
        <v>56</v>
      </c>
      <c r="O691" t="s">
        <v>305</v>
      </c>
      <c r="P691" t="s">
        <v>306</v>
      </c>
      <c r="Q691" t="s">
        <v>56</v>
      </c>
      <c r="R691" t="s">
        <v>54</v>
      </c>
      <c r="S691">
        <v>1128192542</v>
      </c>
      <c r="T691" t="s">
        <v>3255</v>
      </c>
      <c r="U691" t="s">
        <v>479</v>
      </c>
      <c r="V691" t="s">
        <v>3256</v>
      </c>
      <c r="W691" t="s">
        <v>3257</v>
      </c>
      <c r="X691" t="s">
        <v>2671</v>
      </c>
      <c r="Y691" t="s">
        <v>345</v>
      </c>
      <c r="Z691">
        <v>12</v>
      </c>
      <c r="AA691" t="s">
        <v>65</v>
      </c>
      <c r="AB691" t="s">
        <v>56</v>
      </c>
      <c r="AC691" t="s">
        <v>56</v>
      </c>
      <c r="AD691">
        <v>0</v>
      </c>
      <c r="AE691" t="s">
        <v>66</v>
      </c>
      <c r="AF691" t="s">
        <v>56</v>
      </c>
      <c r="AG691" t="s">
        <v>56</v>
      </c>
      <c r="AH691" t="s">
        <v>56</v>
      </c>
      <c r="AI691" t="s">
        <v>56</v>
      </c>
      <c r="AJ691" t="s">
        <v>942</v>
      </c>
      <c r="AK691" t="s">
        <v>943</v>
      </c>
      <c r="AL691" t="s">
        <v>310</v>
      </c>
      <c r="AM691" t="s">
        <v>311</v>
      </c>
      <c r="AN691" t="s">
        <v>56</v>
      </c>
      <c r="AO691" t="s">
        <v>56</v>
      </c>
      <c r="AP691" t="s">
        <v>56</v>
      </c>
      <c r="AQ691" t="s">
        <v>71</v>
      </c>
      <c r="AR691" t="s">
        <v>56</v>
      </c>
      <c r="AS691" t="s">
        <v>56</v>
      </c>
      <c r="AT691" t="s">
        <v>56</v>
      </c>
      <c r="AU691" t="s">
        <v>56</v>
      </c>
      <c r="AV691" t="s">
        <v>56</v>
      </c>
      <c r="AW691" t="s">
        <v>56</v>
      </c>
      <c r="AX691">
        <v>4</v>
      </c>
    </row>
    <row r="692" spans="1:50" x14ac:dyDescent="0.25">
      <c r="A692" t="str">
        <f>"20200129173017121425"</f>
        <v>20200129173017121425</v>
      </c>
      <c r="B692" t="s">
        <v>72</v>
      </c>
      <c r="C692" t="s">
        <v>72</v>
      </c>
      <c r="D692" t="s">
        <v>3258</v>
      </c>
      <c r="E692" t="str">
        <f>"080010054401"</f>
        <v>080010054401</v>
      </c>
      <c r="F692" t="s">
        <v>52</v>
      </c>
      <c r="G692">
        <v>800194798</v>
      </c>
      <c r="H692" t="s">
        <v>112</v>
      </c>
      <c r="I692" t="s">
        <v>616</v>
      </c>
      <c r="J692" t="s">
        <v>56</v>
      </c>
      <c r="K692" t="s">
        <v>54</v>
      </c>
      <c r="L692">
        <v>72150621</v>
      </c>
      <c r="M692" t="s">
        <v>3259</v>
      </c>
      <c r="N692" t="s">
        <v>94</v>
      </c>
      <c r="O692" t="s">
        <v>1591</v>
      </c>
      <c r="P692" t="s">
        <v>2882</v>
      </c>
      <c r="Q692">
        <v>4197</v>
      </c>
      <c r="R692" t="s">
        <v>54</v>
      </c>
      <c r="S692">
        <v>8669415</v>
      </c>
      <c r="T692" t="s">
        <v>261</v>
      </c>
      <c r="U692" t="s">
        <v>76</v>
      </c>
      <c r="V692" t="s">
        <v>3260</v>
      </c>
      <c r="W692" t="s">
        <v>355</v>
      </c>
      <c r="X692" t="s">
        <v>443</v>
      </c>
      <c r="Y692" t="s">
        <v>121</v>
      </c>
      <c r="Z692">
        <v>12</v>
      </c>
      <c r="AA692" t="s">
        <v>65</v>
      </c>
      <c r="AB692" t="s">
        <v>56</v>
      </c>
      <c r="AC692" t="s">
        <v>56</v>
      </c>
      <c r="AD692">
        <v>0</v>
      </c>
      <c r="AE692" t="s">
        <v>66</v>
      </c>
      <c r="AF692" t="s">
        <v>56</v>
      </c>
      <c r="AG692" t="s">
        <v>56</v>
      </c>
      <c r="AH692" t="s">
        <v>56</v>
      </c>
      <c r="AI692" t="s">
        <v>56</v>
      </c>
      <c r="AJ692" t="s">
        <v>1851</v>
      </c>
      <c r="AK692" t="s">
        <v>1852</v>
      </c>
      <c r="AL692" t="s">
        <v>56</v>
      </c>
      <c r="AM692" t="s">
        <v>56</v>
      </c>
      <c r="AN692" t="s">
        <v>56</v>
      </c>
      <c r="AO692" t="s">
        <v>56</v>
      </c>
      <c r="AP692" t="s">
        <v>56</v>
      </c>
      <c r="AQ692" t="s">
        <v>71</v>
      </c>
      <c r="AR692" t="s">
        <v>56</v>
      </c>
      <c r="AS692" t="s">
        <v>56</v>
      </c>
      <c r="AT692" t="s">
        <v>56</v>
      </c>
      <c r="AU692" t="s">
        <v>56</v>
      </c>
      <c r="AV692" t="s">
        <v>56</v>
      </c>
      <c r="AW692" t="s">
        <v>56</v>
      </c>
      <c r="AX692">
        <v>4</v>
      </c>
    </row>
    <row r="693" spans="1:50" x14ac:dyDescent="0.25">
      <c r="A693" t="str">
        <f>"20200128152017080343"</f>
        <v>20200128152017080343</v>
      </c>
      <c r="B693" t="s">
        <v>151</v>
      </c>
      <c r="C693" t="s">
        <v>151</v>
      </c>
      <c r="D693" t="s">
        <v>3261</v>
      </c>
      <c r="E693" t="str">
        <f>"700010146401"</f>
        <v>700010146401</v>
      </c>
      <c r="F693" t="s">
        <v>52</v>
      </c>
      <c r="G693">
        <v>900581036</v>
      </c>
      <c r="H693">
        <v>70001</v>
      </c>
      <c r="I693" t="s">
        <v>387</v>
      </c>
      <c r="J693">
        <v>2807683</v>
      </c>
      <c r="K693" t="s">
        <v>54</v>
      </c>
      <c r="L693">
        <v>92508651</v>
      </c>
      <c r="M693" t="s">
        <v>388</v>
      </c>
      <c r="N693" t="s">
        <v>94</v>
      </c>
      <c r="O693" t="s">
        <v>389</v>
      </c>
      <c r="P693" t="s">
        <v>390</v>
      </c>
      <c r="Q693" t="s">
        <v>391</v>
      </c>
      <c r="R693" t="s">
        <v>54</v>
      </c>
      <c r="S693">
        <v>30563749</v>
      </c>
      <c r="T693" t="s">
        <v>3262</v>
      </c>
      <c r="U693" t="s">
        <v>479</v>
      </c>
      <c r="V693" t="s">
        <v>3263</v>
      </c>
      <c r="W693" t="s">
        <v>324</v>
      </c>
      <c r="X693" t="s">
        <v>1626</v>
      </c>
      <c r="Y693" t="s">
        <v>136</v>
      </c>
      <c r="Z693">
        <v>12</v>
      </c>
      <c r="AA693" t="s">
        <v>65</v>
      </c>
      <c r="AB693" t="s">
        <v>56</v>
      </c>
      <c r="AC693" t="s">
        <v>56</v>
      </c>
      <c r="AD693">
        <v>0</v>
      </c>
      <c r="AE693" t="s">
        <v>66</v>
      </c>
      <c r="AF693" t="s">
        <v>56</v>
      </c>
      <c r="AG693" t="s">
        <v>56</v>
      </c>
      <c r="AH693" t="s">
        <v>56</v>
      </c>
      <c r="AI693" t="s">
        <v>56</v>
      </c>
      <c r="AJ693" t="s">
        <v>2126</v>
      </c>
      <c r="AK693" t="s">
        <v>2127</v>
      </c>
      <c r="AL693" t="s">
        <v>747</v>
      </c>
      <c r="AM693" t="s">
        <v>748</v>
      </c>
      <c r="AN693" t="s">
        <v>56</v>
      </c>
      <c r="AO693" t="s">
        <v>56</v>
      </c>
      <c r="AP693" t="s">
        <v>56</v>
      </c>
      <c r="AQ693" t="s">
        <v>71</v>
      </c>
      <c r="AR693" t="s">
        <v>56</v>
      </c>
      <c r="AS693" t="s">
        <v>56</v>
      </c>
      <c r="AT693" t="s">
        <v>56</v>
      </c>
      <c r="AU693" t="s">
        <v>56</v>
      </c>
      <c r="AV693" t="s">
        <v>56</v>
      </c>
      <c r="AW693" t="s">
        <v>56</v>
      </c>
      <c r="AX693">
        <v>4</v>
      </c>
    </row>
    <row r="694" spans="1:50" x14ac:dyDescent="0.25">
      <c r="A694" t="str">
        <f>"20200131175017175130"</f>
        <v>20200131175017175130</v>
      </c>
      <c r="B694" t="s">
        <v>110</v>
      </c>
      <c r="C694" t="s">
        <v>110</v>
      </c>
      <c r="D694" t="s">
        <v>3264</v>
      </c>
      <c r="E694" t="str">
        <f>"080010380001"</f>
        <v>080010380001</v>
      </c>
      <c r="F694" t="s">
        <v>52</v>
      </c>
      <c r="G694">
        <v>900665930</v>
      </c>
      <c r="H694" t="s">
        <v>112</v>
      </c>
      <c r="I694" t="s">
        <v>113</v>
      </c>
      <c r="J694">
        <v>3175759202</v>
      </c>
      <c r="K694" t="s">
        <v>54</v>
      </c>
      <c r="L694">
        <v>1045724464</v>
      </c>
      <c r="M694" t="s">
        <v>59</v>
      </c>
      <c r="N694" t="s">
        <v>114</v>
      </c>
      <c r="O694" t="s">
        <v>115</v>
      </c>
      <c r="P694" t="s">
        <v>116</v>
      </c>
      <c r="Q694">
        <v>1045724464</v>
      </c>
      <c r="R694" t="s">
        <v>54</v>
      </c>
      <c r="S694">
        <v>22284395</v>
      </c>
      <c r="T694" t="s">
        <v>3265</v>
      </c>
      <c r="U694" t="s">
        <v>62</v>
      </c>
      <c r="V694" t="s">
        <v>249</v>
      </c>
      <c r="W694" t="s">
        <v>3266</v>
      </c>
      <c r="X694" t="s">
        <v>120</v>
      </c>
      <c r="Y694" t="s">
        <v>121</v>
      </c>
      <c r="Z694">
        <v>12</v>
      </c>
      <c r="AA694" t="s">
        <v>65</v>
      </c>
      <c r="AB694" t="s">
        <v>56</v>
      </c>
      <c r="AC694" t="s">
        <v>56</v>
      </c>
      <c r="AD694">
        <v>0</v>
      </c>
      <c r="AE694" t="s">
        <v>66</v>
      </c>
      <c r="AF694" t="s">
        <v>56</v>
      </c>
      <c r="AG694" t="s">
        <v>56</v>
      </c>
      <c r="AH694" t="s">
        <v>56</v>
      </c>
      <c r="AI694" t="s">
        <v>56</v>
      </c>
      <c r="AJ694" t="s">
        <v>122</v>
      </c>
      <c r="AK694" t="s">
        <v>123</v>
      </c>
      <c r="AL694" t="s">
        <v>56</v>
      </c>
      <c r="AM694" t="s">
        <v>56</v>
      </c>
      <c r="AN694" t="s">
        <v>56</v>
      </c>
      <c r="AO694" t="s">
        <v>56</v>
      </c>
      <c r="AP694" t="s">
        <v>56</v>
      </c>
      <c r="AQ694" t="s">
        <v>71</v>
      </c>
      <c r="AR694" t="s">
        <v>56</v>
      </c>
      <c r="AS694" t="s">
        <v>56</v>
      </c>
      <c r="AT694" t="s">
        <v>56</v>
      </c>
      <c r="AU694" t="s">
        <v>56</v>
      </c>
      <c r="AV694" t="s">
        <v>56</v>
      </c>
      <c r="AW694" t="s">
        <v>56</v>
      </c>
      <c r="AX694">
        <v>4</v>
      </c>
    </row>
    <row r="695" spans="1:50" x14ac:dyDescent="0.25">
      <c r="A695" t="str">
        <f>"20200128113017070601"</f>
        <v>20200128113017070601</v>
      </c>
      <c r="B695" t="s">
        <v>151</v>
      </c>
      <c r="C695" t="s">
        <v>151</v>
      </c>
      <c r="D695" t="s">
        <v>3267</v>
      </c>
      <c r="E695" t="str">
        <f>"087580001301"</f>
        <v>087580001301</v>
      </c>
      <c r="F695" t="s">
        <v>52</v>
      </c>
      <c r="G695">
        <v>890112801</v>
      </c>
      <c r="H695" t="s">
        <v>74</v>
      </c>
      <c r="I695" t="s">
        <v>75</v>
      </c>
      <c r="J695">
        <v>3715562</v>
      </c>
      <c r="K695" t="s">
        <v>54</v>
      </c>
      <c r="L695">
        <v>72269449</v>
      </c>
      <c r="M695" t="s">
        <v>3268</v>
      </c>
      <c r="N695" t="s">
        <v>604</v>
      </c>
      <c r="O695" t="s">
        <v>109</v>
      </c>
      <c r="P695" t="s">
        <v>134</v>
      </c>
      <c r="Q695">
        <v>13013222</v>
      </c>
      <c r="R695" t="s">
        <v>54</v>
      </c>
      <c r="S695">
        <v>8674533</v>
      </c>
      <c r="T695" t="s">
        <v>128</v>
      </c>
      <c r="U695" t="s">
        <v>380</v>
      </c>
      <c r="V695" t="s">
        <v>656</v>
      </c>
      <c r="W695" t="s">
        <v>3159</v>
      </c>
      <c r="X695" t="s">
        <v>120</v>
      </c>
      <c r="Y695" t="s">
        <v>121</v>
      </c>
      <c r="Z695">
        <v>11</v>
      </c>
      <c r="AA695" t="s">
        <v>87</v>
      </c>
      <c r="AB695" t="s">
        <v>56</v>
      </c>
      <c r="AC695" t="s">
        <v>56</v>
      </c>
      <c r="AD695">
        <v>0</v>
      </c>
      <c r="AE695" t="s">
        <v>66</v>
      </c>
      <c r="AF695" t="s">
        <v>56</v>
      </c>
      <c r="AG695" t="s">
        <v>56</v>
      </c>
      <c r="AH695" t="s">
        <v>56</v>
      </c>
      <c r="AI695" t="s">
        <v>56</v>
      </c>
      <c r="AJ695" t="s">
        <v>1119</v>
      </c>
      <c r="AK695" t="s">
        <v>1120</v>
      </c>
      <c r="AL695" t="s">
        <v>56</v>
      </c>
      <c r="AM695" t="s">
        <v>56</v>
      </c>
      <c r="AN695" t="s">
        <v>56</v>
      </c>
      <c r="AO695" t="s">
        <v>56</v>
      </c>
      <c r="AP695" t="s">
        <v>56</v>
      </c>
      <c r="AQ695" t="s">
        <v>71</v>
      </c>
      <c r="AR695" t="s">
        <v>56</v>
      </c>
      <c r="AS695" t="s">
        <v>56</v>
      </c>
      <c r="AT695" t="s">
        <v>56</v>
      </c>
      <c r="AU695" t="s">
        <v>56</v>
      </c>
      <c r="AV695" t="s">
        <v>56</v>
      </c>
      <c r="AW695" t="s">
        <v>56</v>
      </c>
      <c r="AX695">
        <v>4</v>
      </c>
    </row>
    <row r="696" spans="1:50" x14ac:dyDescent="0.25">
      <c r="A696" t="str">
        <f>"20200124178017008725"</f>
        <v>20200124178017008725</v>
      </c>
      <c r="B696" t="s">
        <v>201</v>
      </c>
      <c r="C696" t="s">
        <v>201</v>
      </c>
      <c r="D696" t="s">
        <v>3269</v>
      </c>
      <c r="E696" t="str">
        <f>"050010590903"</f>
        <v>050010590903</v>
      </c>
      <c r="F696" t="s">
        <v>52</v>
      </c>
      <c r="G696">
        <v>811016192</v>
      </c>
      <c r="H696" t="s">
        <v>1652</v>
      </c>
      <c r="I696" t="s">
        <v>3270</v>
      </c>
      <c r="J696">
        <v>4447085</v>
      </c>
      <c r="K696" t="s">
        <v>54</v>
      </c>
      <c r="L696">
        <v>7714806</v>
      </c>
      <c r="M696" t="s">
        <v>3271</v>
      </c>
      <c r="N696" t="s">
        <v>56</v>
      </c>
      <c r="O696" t="s">
        <v>297</v>
      </c>
      <c r="P696" t="s">
        <v>3272</v>
      </c>
      <c r="Q696">
        <v>412272005</v>
      </c>
      <c r="R696" t="s">
        <v>54</v>
      </c>
      <c r="S696">
        <v>4836208</v>
      </c>
      <c r="T696" t="s">
        <v>897</v>
      </c>
      <c r="U696" t="s">
        <v>2590</v>
      </c>
      <c r="V696" t="s">
        <v>1126</v>
      </c>
      <c r="W696" t="s">
        <v>715</v>
      </c>
      <c r="X696" t="s">
        <v>3273</v>
      </c>
      <c r="Y696" t="s">
        <v>717</v>
      </c>
      <c r="Z696">
        <v>22</v>
      </c>
      <c r="AA696" t="s">
        <v>102</v>
      </c>
      <c r="AB696">
        <v>0</v>
      </c>
      <c r="AC696" t="s">
        <v>66</v>
      </c>
      <c r="AD696">
        <v>0</v>
      </c>
      <c r="AE696" t="s">
        <v>66</v>
      </c>
      <c r="AF696" t="s">
        <v>56</v>
      </c>
      <c r="AG696" t="s">
        <v>56</v>
      </c>
      <c r="AH696" t="s">
        <v>56</v>
      </c>
      <c r="AI696" t="s">
        <v>56</v>
      </c>
      <c r="AJ696" t="s">
        <v>3274</v>
      </c>
      <c r="AK696" t="s">
        <v>3275</v>
      </c>
      <c r="AL696" t="s">
        <v>56</v>
      </c>
      <c r="AM696" t="s">
        <v>56</v>
      </c>
      <c r="AN696" t="s">
        <v>56</v>
      </c>
      <c r="AO696" t="s">
        <v>56</v>
      </c>
      <c r="AP696" t="s">
        <v>56</v>
      </c>
      <c r="AQ696" t="s">
        <v>71</v>
      </c>
      <c r="AR696" t="s">
        <v>56</v>
      </c>
      <c r="AS696" t="s">
        <v>56</v>
      </c>
      <c r="AT696" t="s">
        <v>56</v>
      </c>
      <c r="AU696" t="s">
        <v>56</v>
      </c>
      <c r="AV696" t="s">
        <v>56</v>
      </c>
      <c r="AW696" t="s">
        <v>56</v>
      </c>
      <c r="AX696">
        <v>4</v>
      </c>
    </row>
    <row r="697" spans="1:50" x14ac:dyDescent="0.25">
      <c r="A697" t="str">
        <f>"20200130188017147563"</f>
        <v>20200130188017147563</v>
      </c>
      <c r="B697" t="s">
        <v>124</v>
      </c>
      <c r="C697" t="s">
        <v>124</v>
      </c>
      <c r="D697" t="s">
        <v>3276</v>
      </c>
      <c r="E697" t="str">
        <f>"087580001301"</f>
        <v>087580001301</v>
      </c>
      <c r="F697" t="s">
        <v>52</v>
      </c>
      <c r="G697">
        <v>890112801</v>
      </c>
      <c r="H697" t="s">
        <v>74</v>
      </c>
      <c r="I697" t="s">
        <v>75</v>
      </c>
      <c r="J697">
        <v>3715562</v>
      </c>
      <c r="K697" t="s">
        <v>54</v>
      </c>
      <c r="L697">
        <v>72345557</v>
      </c>
      <c r="M697" t="s">
        <v>76</v>
      </c>
      <c r="N697" t="s">
        <v>77</v>
      </c>
      <c r="O697" t="s">
        <v>78</v>
      </c>
      <c r="P697" t="s">
        <v>79</v>
      </c>
      <c r="Q697" t="s">
        <v>80</v>
      </c>
      <c r="R697" t="s">
        <v>54</v>
      </c>
      <c r="S697">
        <v>72123905</v>
      </c>
      <c r="T697" t="s">
        <v>86</v>
      </c>
      <c r="U697" t="s">
        <v>604</v>
      </c>
      <c r="V697" t="s">
        <v>355</v>
      </c>
      <c r="W697" t="s">
        <v>364</v>
      </c>
      <c r="X697" t="s">
        <v>443</v>
      </c>
      <c r="Y697" t="s">
        <v>121</v>
      </c>
      <c r="Z697">
        <v>22</v>
      </c>
      <c r="AA697" t="s">
        <v>102</v>
      </c>
      <c r="AB697">
        <v>0</v>
      </c>
      <c r="AC697" t="s">
        <v>66</v>
      </c>
      <c r="AD697">
        <v>0</v>
      </c>
      <c r="AE697" t="s">
        <v>66</v>
      </c>
      <c r="AF697" t="s">
        <v>56</v>
      </c>
      <c r="AG697" t="s">
        <v>56</v>
      </c>
      <c r="AH697" t="s">
        <v>56</v>
      </c>
      <c r="AI697" t="s">
        <v>56</v>
      </c>
      <c r="AJ697" t="s">
        <v>88</v>
      </c>
      <c r="AK697" t="s">
        <v>89</v>
      </c>
      <c r="AL697" t="s">
        <v>56</v>
      </c>
      <c r="AM697" t="s">
        <v>56</v>
      </c>
      <c r="AN697" t="s">
        <v>56</v>
      </c>
      <c r="AO697" t="s">
        <v>56</v>
      </c>
      <c r="AP697" t="s">
        <v>56</v>
      </c>
      <c r="AQ697" t="s">
        <v>71</v>
      </c>
      <c r="AR697" t="s">
        <v>56</v>
      </c>
      <c r="AS697" t="s">
        <v>56</v>
      </c>
      <c r="AT697" t="s">
        <v>56</v>
      </c>
      <c r="AU697" t="s">
        <v>56</v>
      </c>
      <c r="AV697" t="s">
        <v>56</v>
      </c>
      <c r="AW697" t="s">
        <v>56</v>
      </c>
      <c r="AX697">
        <v>4</v>
      </c>
    </row>
    <row r="698" spans="1:50" x14ac:dyDescent="0.25">
      <c r="A698" t="str">
        <f>"20200124193017003092"</f>
        <v>20200124193017003092</v>
      </c>
      <c r="B698" t="s">
        <v>201</v>
      </c>
      <c r="C698" t="s">
        <v>201</v>
      </c>
      <c r="D698" t="s">
        <v>3277</v>
      </c>
      <c r="E698" t="str">
        <f>"130010118701"</f>
        <v>130010118701</v>
      </c>
      <c r="F698" t="s">
        <v>52</v>
      </c>
      <c r="G698">
        <v>890480135</v>
      </c>
      <c r="H698">
        <v>13001</v>
      </c>
      <c r="I698" t="s">
        <v>1442</v>
      </c>
      <c r="J698" t="s">
        <v>1443</v>
      </c>
      <c r="K698" t="s">
        <v>54</v>
      </c>
      <c r="L698">
        <v>1098676928</v>
      </c>
      <c r="M698" t="s">
        <v>117</v>
      </c>
      <c r="N698" t="s">
        <v>1444</v>
      </c>
      <c r="O698" t="s">
        <v>1445</v>
      </c>
      <c r="P698" t="s">
        <v>1446</v>
      </c>
      <c r="Q698" t="s">
        <v>1447</v>
      </c>
      <c r="R698" t="s">
        <v>237</v>
      </c>
      <c r="S698">
        <v>1000936949</v>
      </c>
      <c r="T698" t="s">
        <v>504</v>
      </c>
      <c r="U698" t="s">
        <v>3278</v>
      </c>
      <c r="V698" t="s">
        <v>1352</v>
      </c>
      <c r="W698" t="s">
        <v>675</v>
      </c>
      <c r="X698" t="s">
        <v>2752</v>
      </c>
      <c r="Y698" t="s">
        <v>101</v>
      </c>
      <c r="Z698">
        <v>12</v>
      </c>
      <c r="AA698" t="s">
        <v>65</v>
      </c>
      <c r="AB698" t="s">
        <v>56</v>
      </c>
      <c r="AC698" t="s">
        <v>56</v>
      </c>
      <c r="AD698">
        <v>0</v>
      </c>
      <c r="AE698" t="s">
        <v>66</v>
      </c>
      <c r="AF698" t="s">
        <v>56</v>
      </c>
      <c r="AG698" t="s">
        <v>56</v>
      </c>
      <c r="AH698" t="s">
        <v>56</v>
      </c>
      <c r="AI698" t="s">
        <v>56</v>
      </c>
      <c r="AJ698" t="s">
        <v>2848</v>
      </c>
      <c r="AK698" t="s">
        <v>2849</v>
      </c>
      <c r="AL698" t="s">
        <v>122</v>
      </c>
      <c r="AM698" t="s">
        <v>123</v>
      </c>
      <c r="AN698" t="s">
        <v>56</v>
      </c>
      <c r="AO698" t="s">
        <v>56</v>
      </c>
      <c r="AP698" t="s">
        <v>56</v>
      </c>
      <c r="AQ698" t="s">
        <v>71</v>
      </c>
      <c r="AR698" t="s">
        <v>56</v>
      </c>
      <c r="AS698" t="s">
        <v>56</v>
      </c>
      <c r="AT698" t="s">
        <v>56</v>
      </c>
      <c r="AU698" t="s">
        <v>56</v>
      </c>
      <c r="AV698" t="s">
        <v>56</v>
      </c>
      <c r="AW698" t="s">
        <v>56</v>
      </c>
      <c r="AX698">
        <v>4</v>
      </c>
    </row>
    <row r="699" spans="1:50" x14ac:dyDescent="0.25">
      <c r="A699" t="str">
        <f>"20200131183017179071"</f>
        <v>20200131183017179071</v>
      </c>
      <c r="B699" t="s">
        <v>110</v>
      </c>
      <c r="C699" t="s">
        <v>110</v>
      </c>
      <c r="D699" t="s">
        <v>3279</v>
      </c>
      <c r="E699" t="str">
        <f>"080010003601"</f>
        <v>080010003601</v>
      </c>
      <c r="F699" t="s">
        <v>52</v>
      </c>
      <c r="G699">
        <v>802000955</v>
      </c>
      <c r="H699" t="s">
        <v>112</v>
      </c>
      <c r="I699" t="s">
        <v>218</v>
      </c>
      <c r="J699" t="s">
        <v>56</v>
      </c>
      <c r="K699" t="s">
        <v>54</v>
      </c>
      <c r="L699">
        <v>1045754222</v>
      </c>
      <c r="M699" t="s">
        <v>607</v>
      </c>
      <c r="N699" t="s">
        <v>117</v>
      </c>
      <c r="O699" t="s">
        <v>608</v>
      </c>
      <c r="P699" t="s">
        <v>528</v>
      </c>
      <c r="Q699">
        <v>1045754222</v>
      </c>
      <c r="R699" t="s">
        <v>54</v>
      </c>
      <c r="S699">
        <v>6820593</v>
      </c>
      <c r="T699" t="s">
        <v>352</v>
      </c>
      <c r="U699" t="s">
        <v>424</v>
      </c>
      <c r="V699" t="s">
        <v>3280</v>
      </c>
      <c r="W699" t="s">
        <v>3281</v>
      </c>
      <c r="X699" t="s">
        <v>120</v>
      </c>
      <c r="Y699" t="s">
        <v>121</v>
      </c>
      <c r="Z699">
        <v>12</v>
      </c>
      <c r="AA699" t="s">
        <v>65</v>
      </c>
      <c r="AB699" t="s">
        <v>56</v>
      </c>
      <c r="AC699" t="s">
        <v>56</v>
      </c>
      <c r="AD699">
        <v>0</v>
      </c>
      <c r="AE699" t="s">
        <v>66</v>
      </c>
      <c r="AF699" t="s">
        <v>56</v>
      </c>
      <c r="AG699" t="s">
        <v>56</v>
      </c>
      <c r="AH699" t="s">
        <v>56</v>
      </c>
      <c r="AI699" t="s">
        <v>56</v>
      </c>
      <c r="AJ699" t="s">
        <v>613</v>
      </c>
      <c r="AK699" t="s">
        <v>614</v>
      </c>
      <c r="AL699" t="s">
        <v>56</v>
      </c>
      <c r="AM699" t="s">
        <v>56</v>
      </c>
      <c r="AN699" t="s">
        <v>56</v>
      </c>
      <c r="AO699" t="s">
        <v>56</v>
      </c>
      <c r="AP699" t="s">
        <v>56</v>
      </c>
      <c r="AQ699" t="s">
        <v>71</v>
      </c>
      <c r="AR699" t="s">
        <v>56</v>
      </c>
      <c r="AS699" t="s">
        <v>56</v>
      </c>
      <c r="AT699" t="s">
        <v>56</v>
      </c>
      <c r="AU699" t="s">
        <v>56</v>
      </c>
      <c r="AV699" t="s">
        <v>56</v>
      </c>
      <c r="AW699" t="s">
        <v>56</v>
      </c>
      <c r="AX699">
        <v>4</v>
      </c>
    </row>
    <row r="700" spans="1:50" x14ac:dyDescent="0.25">
      <c r="A700" t="str">
        <f>"20200127175017052365"</f>
        <v>20200127175017052365</v>
      </c>
      <c r="B700" t="s">
        <v>190</v>
      </c>
      <c r="C700" t="s">
        <v>190</v>
      </c>
      <c r="D700" t="s">
        <v>3282</v>
      </c>
      <c r="E700" t="str">
        <f>"200010083101"</f>
        <v>200010083101</v>
      </c>
      <c r="F700" t="s">
        <v>52</v>
      </c>
      <c r="G700">
        <v>900066797</v>
      </c>
      <c r="H700">
        <v>20001</v>
      </c>
      <c r="I700" t="s">
        <v>457</v>
      </c>
      <c r="J700" t="s">
        <v>458</v>
      </c>
      <c r="K700" t="s">
        <v>54</v>
      </c>
      <c r="L700">
        <v>49760462</v>
      </c>
      <c r="M700" t="s">
        <v>459</v>
      </c>
      <c r="N700" t="s">
        <v>117</v>
      </c>
      <c r="O700" t="s">
        <v>460</v>
      </c>
      <c r="P700" t="s">
        <v>403</v>
      </c>
      <c r="Q700">
        <v>8550</v>
      </c>
      <c r="R700" t="s">
        <v>54</v>
      </c>
      <c r="S700">
        <v>26937722</v>
      </c>
      <c r="T700" t="s">
        <v>1065</v>
      </c>
      <c r="U700" t="s">
        <v>59</v>
      </c>
      <c r="V700" t="s">
        <v>78</v>
      </c>
      <c r="W700" t="s">
        <v>1540</v>
      </c>
      <c r="X700" t="s">
        <v>462</v>
      </c>
      <c r="Y700" t="s">
        <v>86</v>
      </c>
      <c r="Z700">
        <v>12</v>
      </c>
      <c r="AA700" t="s">
        <v>65</v>
      </c>
      <c r="AB700" t="s">
        <v>56</v>
      </c>
      <c r="AC700" t="s">
        <v>56</v>
      </c>
      <c r="AD700">
        <v>0</v>
      </c>
      <c r="AE700" t="s">
        <v>66</v>
      </c>
      <c r="AF700" t="s">
        <v>56</v>
      </c>
      <c r="AG700" t="s">
        <v>56</v>
      </c>
      <c r="AH700" t="s">
        <v>56</v>
      </c>
      <c r="AI700" t="s">
        <v>56</v>
      </c>
      <c r="AJ700" t="s">
        <v>463</v>
      </c>
      <c r="AK700" t="s">
        <v>464</v>
      </c>
      <c r="AL700" t="s">
        <v>56</v>
      </c>
      <c r="AM700" t="s">
        <v>56</v>
      </c>
      <c r="AN700" t="s">
        <v>56</v>
      </c>
      <c r="AO700" t="s">
        <v>56</v>
      </c>
      <c r="AP700" t="s">
        <v>56</v>
      </c>
      <c r="AQ700" t="s">
        <v>71</v>
      </c>
      <c r="AR700" t="s">
        <v>56</v>
      </c>
      <c r="AS700" t="s">
        <v>56</v>
      </c>
      <c r="AT700" t="s">
        <v>56</v>
      </c>
      <c r="AU700" t="s">
        <v>56</v>
      </c>
      <c r="AV700" t="s">
        <v>56</v>
      </c>
      <c r="AW700" t="s">
        <v>56</v>
      </c>
      <c r="AX700">
        <v>4</v>
      </c>
    </row>
    <row r="701" spans="1:50" x14ac:dyDescent="0.25">
      <c r="A701" t="str">
        <f>"20200126157017035220"</f>
        <v>20200126157017035220</v>
      </c>
      <c r="B701" t="s">
        <v>244</v>
      </c>
      <c r="C701" t="s">
        <v>244</v>
      </c>
      <c r="D701" t="s">
        <v>3283</v>
      </c>
      <c r="E701" t="str">
        <f>"050010217501"</f>
        <v>050010217501</v>
      </c>
      <c r="F701" t="s">
        <v>52</v>
      </c>
      <c r="G701">
        <v>890900518</v>
      </c>
      <c r="H701" t="s">
        <v>1652</v>
      </c>
      <c r="I701" t="s">
        <v>1653</v>
      </c>
      <c r="J701">
        <v>4441333</v>
      </c>
      <c r="K701" t="s">
        <v>54</v>
      </c>
      <c r="L701">
        <v>71694112</v>
      </c>
      <c r="M701" t="s">
        <v>291</v>
      </c>
      <c r="N701" t="s">
        <v>1581</v>
      </c>
      <c r="O701" t="s">
        <v>2476</v>
      </c>
      <c r="P701" t="s">
        <v>3284</v>
      </c>
      <c r="Q701">
        <v>5062096</v>
      </c>
      <c r="R701" t="s">
        <v>440</v>
      </c>
      <c r="S701">
        <v>1078470312</v>
      </c>
      <c r="T701" t="s">
        <v>274</v>
      </c>
      <c r="U701" t="s">
        <v>62</v>
      </c>
      <c r="V701" t="s">
        <v>1146</v>
      </c>
      <c r="W701" t="s">
        <v>715</v>
      </c>
      <c r="X701" t="s">
        <v>860</v>
      </c>
      <c r="Y701" t="s">
        <v>717</v>
      </c>
      <c r="Z701">
        <v>30</v>
      </c>
      <c r="AA701" t="s">
        <v>661</v>
      </c>
      <c r="AB701">
        <v>0</v>
      </c>
      <c r="AC701" t="s">
        <v>66</v>
      </c>
      <c r="AD701">
        <v>0</v>
      </c>
      <c r="AE701" t="s">
        <v>66</v>
      </c>
      <c r="AF701" t="s">
        <v>56</v>
      </c>
      <c r="AG701" t="s">
        <v>56</v>
      </c>
      <c r="AH701" t="s">
        <v>56</v>
      </c>
      <c r="AI701" t="s">
        <v>56</v>
      </c>
      <c r="AJ701" t="s">
        <v>199</v>
      </c>
      <c r="AK701" t="s">
        <v>200</v>
      </c>
      <c r="AL701" t="s">
        <v>56</v>
      </c>
      <c r="AM701" t="s">
        <v>56</v>
      </c>
      <c r="AN701" t="s">
        <v>56</v>
      </c>
      <c r="AO701" t="s">
        <v>56</v>
      </c>
      <c r="AP701" t="s">
        <v>56</v>
      </c>
      <c r="AQ701" t="s">
        <v>71</v>
      </c>
      <c r="AR701" t="s">
        <v>56</v>
      </c>
      <c r="AS701" t="s">
        <v>56</v>
      </c>
      <c r="AT701" t="s">
        <v>56</v>
      </c>
      <c r="AU701" t="s">
        <v>56</v>
      </c>
      <c r="AV701" t="s">
        <v>56</v>
      </c>
      <c r="AW701" t="s">
        <v>56</v>
      </c>
      <c r="AX701">
        <v>4</v>
      </c>
    </row>
    <row r="702" spans="1:50" x14ac:dyDescent="0.25">
      <c r="A702" t="str">
        <f>"20200130149017143597"</f>
        <v>20200130149017143597</v>
      </c>
      <c r="B702" t="s">
        <v>124</v>
      </c>
      <c r="C702" t="s">
        <v>124</v>
      </c>
      <c r="D702" t="s">
        <v>3285</v>
      </c>
      <c r="E702" t="str">
        <f>"050010217501"</f>
        <v>050010217501</v>
      </c>
      <c r="F702" t="s">
        <v>52</v>
      </c>
      <c r="G702">
        <v>890900518</v>
      </c>
      <c r="H702" t="s">
        <v>1652</v>
      </c>
      <c r="I702" t="s">
        <v>1653</v>
      </c>
      <c r="J702">
        <v>4441333</v>
      </c>
      <c r="K702" t="s">
        <v>54</v>
      </c>
      <c r="L702">
        <v>1017143800</v>
      </c>
      <c r="M702" t="s">
        <v>803</v>
      </c>
      <c r="N702" t="s">
        <v>117</v>
      </c>
      <c r="O702" t="s">
        <v>1335</v>
      </c>
      <c r="P702" t="s">
        <v>276</v>
      </c>
      <c r="Q702">
        <v>5459309</v>
      </c>
      <c r="R702" t="s">
        <v>440</v>
      </c>
      <c r="S702">
        <v>1078470312</v>
      </c>
      <c r="T702" t="s">
        <v>274</v>
      </c>
      <c r="U702" t="s">
        <v>62</v>
      </c>
      <c r="V702" t="s">
        <v>1146</v>
      </c>
      <c r="W702" t="s">
        <v>715</v>
      </c>
      <c r="X702" t="s">
        <v>860</v>
      </c>
      <c r="Y702" t="s">
        <v>717</v>
      </c>
      <c r="Z702">
        <v>22</v>
      </c>
      <c r="AA702" t="s">
        <v>102</v>
      </c>
      <c r="AB702">
        <v>0</v>
      </c>
      <c r="AC702" t="s">
        <v>66</v>
      </c>
      <c r="AD702">
        <v>0</v>
      </c>
      <c r="AE702" t="s">
        <v>66</v>
      </c>
      <c r="AF702" t="s">
        <v>56</v>
      </c>
      <c r="AG702" t="s">
        <v>56</v>
      </c>
      <c r="AH702" t="s">
        <v>56</v>
      </c>
      <c r="AI702" t="s">
        <v>56</v>
      </c>
      <c r="AJ702" t="s">
        <v>3286</v>
      </c>
      <c r="AK702" t="s">
        <v>3287</v>
      </c>
      <c r="AL702" t="s">
        <v>56</v>
      </c>
      <c r="AM702" t="s">
        <v>56</v>
      </c>
      <c r="AN702" t="s">
        <v>56</v>
      </c>
      <c r="AO702" t="s">
        <v>56</v>
      </c>
      <c r="AP702" t="s">
        <v>56</v>
      </c>
      <c r="AQ702" t="s">
        <v>71</v>
      </c>
      <c r="AR702" t="s">
        <v>56</v>
      </c>
      <c r="AS702" t="s">
        <v>56</v>
      </c>
      <c r="AT702" t="s">
        <v>56</v>
      </c>
      <c r="AU702" t="s">
        <v>56</v>
      </c>
      <c r="AV702" t="s">
        <v>56</v>
      </c>
      <c r="AW702" t="s">
        <v>56</v>
      </c>
      <c r="AX702">
        <v>4</v>
      </c>
    </row>
    <row r="703" spans="1:50" x14ac:dyDescent="0.25">
      <c r="A703" t="str">
        <f>"20200128123017086966"</f>
        <v>20200128123017086966</v>
      </c>
      <c r="B703" t="s">
        <v>151</v>
      </c>
      <c r="C703" t="s">
        <v>151</v>
      </c>
      <c r="D703" t="s">
        <v>3288</v>
      </c>
      <c r="E703" t="str">
        <f>"700010096901"</f>
        <v>700010096901</v>
      </c>
      <c r="F703" t="s">
        <v>52</v>
      </c>
      <c r="G703">
        <v>900118990</v>
      </c>
      <c r="H703">
        <v>70001</v>
      </c>
      <c r="I703" t="s">
        <v>869</v>
      </c>
      <c r="J703">
        <v>2761605</v>
      </c>
      <c r="K703" t="s">
        <v>54</v>
      </c>
      <c r="L703">
        <v>15041623</v>
      </c>
      <c r="M703" t="s">
        <v>870</v>
      </c>
      <c r="N703" t="s">
        <v>56</v>
      </c>
      <c r="O703" t="s">
        <v>129</v>
      </c>
      <c r="P703" t="s">
        <v>130</v>
      </c>
      <c r="Q703">
        <v>294</v>
      </c>
      <c r="R703" t="s">
        <v>54</v>
      </c>
      <c r="S703">
        <v>64866635</v>
      </c>
      <c r="T703" t="s">
        <v>3289</v>
      </c>
      <c r="U703" t="s">
        <v>424</v>
      </c>
      <c r="V703" t="s">
        <v>178</v>
      </c>
      <c r="W703" t="s">
        <v>2243</v>
      </c>
      <c r="X703" t="s">
        <v>1454</v>
      </c>
      <c r="Y703" t="s">
        <v>330</v>
      </c>
      <c r="Z703">
        <v>12</v>
      </c>
      <c r="AA703" t="s">
        <v>65</v>
      </c>
      <c r="AB703" t="s">
        <v>56</v>
      </c>
      <c r="AC703" t="s">
        <v>56</v>
      </c>
      <c r="AD703">
        <v>0</v>
      </c>
      <c r="AE703" t="s">
        <v>66</v>
      </c>
      <c r="AF703" t="s">
        <v>56</v>
      </c>
      <c r="AG703" t="s">
        <v>56</v>
      </c>
      <c r="AH703" t="s">
        <v>56</v>
      </c>
      <c r="AI703" t="s">
        <v>56</v>
      </c>
      <c r="AJ703" t="s">
        <v>2534</v>
      </c>
      <c r="AK703" t="s">
        <v>2535</v>
      </c>
      <c r="AL703" t="s">
        <v>56</v>
      </c>
      <c r="AM703" t="s">
        <v>56</v>
      </c>
      <c r="AN703" t="s">
        <v>56</v>
      </c>
      <c r="AO703" t="s">
        <v>56</v>
      </c>
      <c r="AP703" t="s">
        <v>56</v>
      </c>
      <c r="AQ703" t="s">
        <v>71</v>
      </c>
      <c r="AR703" t="s">
        <v>56</v>
      </c>
      <c r="AS703" t="s">
        <v>56</v>
      </c>
      <c r="AT703" t="s">
        <v>56</v>
      </c>
      <c r="AU703" t="s">
        <v>56</v>
      </c>
      <c r="AV703" t="s">
        <v>56</v>
      </c>
      <c r="AW703" t="s">
        <v>56</v>
      </c>
      <c r="AX703">
        <v>4</v>
      </c>
    </row>
    <row r="704" spans="1:50" x14ac:dyDescent="0.25">
      <c r="A704" t="str">
        <f>"20200129170017109754"</f>
        <v>20200129170017109754</v>
      </c>
      <c r="B704" t="s">
        <v>72</v>
      </c>
      <c r="C704" t="s">
        <v>72</v>
      </c>
      <c r="D704" t="s">
        <v>3290</v>
      </c>
      <c r="E704" t="str">
        <f>"200010205401"</f>
        <v>200010205401</v>
      </c>
      <c r="F704" t="s">
        <v>52</v>
      </c>
      <c r="G704">
        <v>901058547</v>
      </c>
      <c r="H704">
        <v>20001</v>
      </c>
      <c r="I704" t="s">
        <v>512</v>
      </c>
      <c r="J704" t="s">
        <v>513</v>
      </c>
      <c r="K704" t="s">
        <v>54</v>
      </c>
      <c r="L704">
        <v>84089954</v>
      </c>
      <c r="M704" t="s">
        <v>540</v>
      </c>
      <c r="N704" t="s">
        <v>128</v>
      </c>
      <c r="O704" t="s">
        <v>376</v>
      </c>
      <c r="P704" t="s">
        <v>1220</v>
      </c>
      <c r="Q704">
        <v>44464</v>
      </c>
      <c r="R704" t="s">
        <v>54</v>
      </c>
      <c r="S704">
        <v>1063958263</v>
      </c>
      <c r="T704" t="s">
        <v>3291</v>
      </c>
      <c r="U704" t="s">
        <v>519</v>
      </c>
      <c r="V704" t="s">
        <v>864</v>
      </c>
      <c r="W704" t="s">
        <v>179</v>
      </c>
      <c r="X704" t="s">
        <v>462</v>
      </c>
      <c r="Y704" t="s">
        <v>86</v>
      </c>
      <c r="Z704">
        <v>11</v>
      </c>
      <c r="AA704" t="s">
        <v>87</v>
      </c>
      <c r="AB704" t="s">
        <v>56</v>
      </c>
      <c r="AC704" t="s">
        <v>56</v>
      </c>
      <c r="AD704">
        <v>0</v>
      </c>
      <c r="AE704" t="s">
        <v>66</v>
      </c>
      <c r="AF704" t="s">
        <v>56</v>
      </c>
      <c r="AG704" t="s">
        <v>56</v>
      </c>
      <c r="AH704" t="s">
        <v>56</v>
      </c>
      <c r="AI704" t="s">
        <v>56</v>
      </c>
      <c r="AJ704" t="s">
        <v>3292</v>
      </c>
      <c r="AK704" t="s">
        <v>3293</v>
      </c>
      <c r="AL704" t="s">
        <v>3294</v>
      </c>
      <c r="AM704" t="s">
        <v>3295</v>
      </c>
      <c r="AN704" t="s">
        <v>56</v>
      </c>
      <c r="AO704" t="s">
        <v>56</v>
      </c>
      <c r="AP704" t="s">
        <v>56</v>
      </c>
      <c r="AQ704" t="s">
        <v>71</v>
      </c>
      <c r="AR704" t="s">
        <v>56</v>
      </c>
      <c r="AS704" t="s">
        <v>56</v>
      </c>
      <c r="AT704" t="s">
        <v>56</v>
      </c>
      <c r="AU704" t="s">
        <v>56</v>
      </c>
      <c r="AV704" t="s">
        <v>56</v>
      </c>
      <c r="AW704" t="s">
        <v>56</v>
      </c>
      <c r="AX704">
        <v>4</v>
      </c>
    </row>
    <row r="705" spans="1:50" x14ac:dyDescent="0.25">
      <c r="A705" t="str">
        <f>"20200131118017175335"</f>
        <v>20200131118017175335</v>
      </c>
      <c r="B705" t="s">
        <v>110</v>
      </c>
      <c r="C705" t="s">
        <v>110</v>
      </c>
      <c r="D705" t="s">
        <v>3296</v>
      </c>
      <c r="E705" t="str">
        <f>"080010022301"</f>
        <v>080010022301</v>
      </c>
      <c r="F705" t="s">
        <v>52</v>
      </c>
      <c r="G705">
        <v>72125229</v>
      </c>
      <c r="H705" t="s">
        <v>112</v>
      </c>
      <c r="I705" t="s">
        <v>303</v>
      </c>
      <c r="J705">
        <v>3781924</v>
      </c>
      <c r="K705" t="s">
        <v>54</v>
      </c>
      <c r="L705">
        <v>72125229</v>
      </c>
      <c r="M705" t="s">
        <v>304</v>
      </c>
      <c r="N705" t="s">
        <v>56</v>
      </c>
      <c r="O705" t="s">
        <v>305</v>
      </c>
      <c r="P705" t="s">
        <v>306</v>
      </c>
      <c r="Q705" t="s">
        <v>56</v>
      </c>
      <c r="R705" t="s">
        <v>440</v>
      </c>
      <c r="S705">
        <v>1048319603</v>
      </c>
      <c r="T705" t="s">
        <v>3297</v>
      </c>
      <c r="U705" t="s">
        <v>3298</v>
      </c>
      <c r="V705" t="s">
        <v>793</v>
      </c>
      <c r="W705" t="s">
        <v>1305</v>
      </c>
      <c r="X705" t="s">
        <v>241</v>
      </c>
      <c r="Y705" t="s">
        <v>121</v>
      </c>
      <c r="Z705">
        <v>12</v>
      </c>
      <c r="AA705" t="s">
        <v>65</v>
      </c>
      <c r="AB705" t="s">
        <v>56</v>
      </c>
      <c r="AC705" t="s">
        <v>56</v>
      </c>
      <c r="AD705">
        <v>0</v>
      </c>
      <c r="AE705" t="s">
        <v>66</v>
      </c>
      <c r="AF705" t="s">
        <v>56</v>
      </c>
      <c r="AG705" t="s">
        <v>56</v>
      </c>
      <c r="AH705" t="s">
        <v>56</v>
      </c>
      <c r="AI705" t="s">
        <v>56</v>
      </c>
      <c r="AJ705" t="s">
        <v>3299</v>
      </c>
      <c r="AK705" t="s">
        <v>3300</v>
      </c>
      <c r="AL705" t="s">
        <v>56</v>
      </c>
      <c r="AM705" t="s">
        <v>56</v>
      </c>
      <c r="AN705" t="s">
        <v>56</v>
      </c>
      <c r="AO705" t="s">
        <v>56</v>
      </c>
      <c r="AP705" t="s">
        <v>56</v>
      </c>
      <c r="AQ705" t="s">
        <v>71</v>
      </c>
      <c r="AR705" t="s">
        <v>56</v>
      </c>
      <c r="AS705" t="s">
        <v>56</v>
      </c>
      <c r="AT705" t="s">
        <v>56</v>
      </c>
      <c r="AU705" t="s">
        <v>56</v>
      </c>
      <c r="AV705" t="s">
        <v>56</v>
      </c>
      <c r="AW705" t="s">
        <v>56</v>
      </c>
      <c r="AX705">
        <v>4</v>
      </c>
    </row>
    <row r="706" spans="1:50" x14ac:dyDescent="0.25">
      <c r="A706" t="str">
        <f>"20200130153017141440"</f>
        <v>20200130153017141440</v>
      </c>
      <c r="B706" t="s">
        <v>124</v>
      </c>
      <c r="C706" t="s">
        <v>124</v>
      </c>
      <c r="D706" t="s">
        <v>3301</v>
      </c>
      <c r="E706" t="str">
        <f>"200010083101"</f>
        <v>200010083101</v>
      </c>
      <c r="F706" t="s">
        <v>52</v>
      </c>
      <c r="G706">
        <v>900066797</v>
      </c>
      <c r="H706">
        <v>20001</v>
      </c>
      <c r="I706" t="s">
        <v>457</v>
      </c>
      <c r="J706" t="s">
        <v>458</v>
      </c>
      <c r="K706" t="s">
        <v>54</v>
      </c>
      <c r="L706">
        <v>49760462</v>
      </c>
      <c r="M706" t="s">
        <v>459</v>
      </c>
      <c r="N706" t="s">
        <v>117</v>
      </c>
      <c r="O706" t="s">
        <v>460</v>
      </c>
      <c r="P706" t="s">
        <v>403</v>
      </c>
      <c r="Q706">
        <v>8550</v>
      </c>
      <c r="R706" t="s">
        <v>237</v>
      </c>
      <c r="S706">
        <v>1065204132</v>
      </c>
      <c r="T706" t="s">
        <v>600</v>
      </c>
      <c r="U706" t="s">
        <v>995</v>
      </c>
      <c r="V706" t="s">
        <v>263</v>
      </c>
      <c r="W706" t="s">
        <v>1789</v>
      </c>
      <c r="X706" t="s">
        <v>407</v>
      </c>
      <c r="Y706" t="s">
        <v>86</v>
      </c>
      <c r="Z706">
        <v>12</v>
      </c>
      <c r="AA706" t="s">
        <v>65</v>
      </c>
      <c r="AB706" t="s">
        <v>56</v>
      </c>
      <c r="AC706" t="s">
        <v>56</v>
      </c>
      <c r="AD706">
        <v>0</v>
      </c>
      <c r="AE706" t="s">
        <v>66</v>
      </c>
      <c r="AF706" t="s">
        <v>56</v>
      </c>
      <c r="AG706" t="s">
        <v>56</v>
      </c>
      <c r="AH706" t="s">
        <v>56</v>
      </c>
      <c r="AI706" t="s">
        <v>56</v>
      </c>
      <c r="AJ706" t="s">
        <v>463</v>
      </c>
      <c r="AK706" t="s">
        <v>464</v>
      </c>
      <c r="AL706" t="s">
        <v>56</v>
      </c>
      <c r="AM706" t="s">
        <v>56</v>
      </c>
      <c r="AN706" t="s">
        <v>56</v>
      </c>
      <c r="AO706" t="s">
        <v>56</v>
      </c>
      <c r="AP706" t="s">
        <v>56</v>
      </c>
      <c r="AQ706" t="s">
        <v>71</v>
      </c>
      <c r="AR706" t="s">
        <v>56</v>
      </c>
      <c r="AS706" t="s">
        <v>56</v>
      </c>
      <c r="AT706" t="s">
        <v>56</v>
      </c>
      <c r="AU706" t="s">
        <v>56</v>
      </c>
      <c r="AV706" t="s">
        <v>56</v>
      </c>
      <c r="AW706" t="s">
        <v>56</v>
      </c>
      <c r="AX706">
        <v>4</v>
      </c>
    </row>
    <row r="707" spans="1:50" x14ac:dyDescent="0.25">
      <c r="A707" t="str">
        <f>"20200127199017056835"</f>
        <v>20200127199017056835</v>
      </c>
      <c r="B707" t="s">
        <v>190</v>
      </c>
      <c r="C707" t="s">
        <v>190</v>
      </c>
      <c r="D707" t="s">
        <v>3302</v>
      </c>
      <c r="E707" t="str">
        <f>"134300068301"</f>
        <v>134300068301</v>
      </c>
      <c r="F707" t="s">
        <v>52</v>
      </c>
      <c r="G707">
        <v>900827631</v>
      </c>
      <c r="H707">
        <v>13430</v>
      </c>
      <c r="I707" t="s">
        <v>258</v>
      </c>
      <c r="J707">
        <v>3145812515</v>
      </c>
      <c r="K707" t="s">
        <v>54</v>
      </c>
      <c r="L707">
        <v>78733522</v>
      </c>
      <c r="M707" t="s">
        <v>259</v>
      </c>
      <c r="N707" t="s">
        <v>223</v>
      </c>
      <c r="O707" t="s">
        <v>179</v>
      </c>
      <c r="P707" t="s">
        <v>260</v>
      </c>
      <c r="Q707">
        <v>23306</v>
      </c>
      <c r="R707" t="s">
        <v>54</v>
      </c>
      <c r="S707">
        <v>22935463</v>
      </c>
      <c r="T707" t="s">
        <v>541</v>
      </c>
      <c r="U707" t="s">
        <v>62</v>
      </c>
      <c r="V707" t="s">
        <v>775</v>
      </c>
      <c r="W707" t="s">
        <v>608</v>
      </c>
      <c r="X707" t="s">
        <v>183</v>
      </c>
      <c r="Y707" t="s">
        <v>101</v>
      </c>
      <c r="Z707">
        <v>12</v>
      </c>
      <c r="AA707" t="s">
        <v>65</v>
      </c>
      <c r="AB707" t="s">
        <v>56</v>
      </c>
      <c r="AC707" t="s">
        <v>56</v>
      </c>
      <c r="AD707">
        <v>0</v>
      </c>
      <c r="AE707" t="s">
        <v>66</v>
      </c>
      <c r="AF707" t="s">
        <v>56</v>
      </c>
      <c r="AG707" t="s">
        <v>56</v>
      </c>
      <c r="AH707" t="s">
        <v>56</v>
      </c>
      <c r="AI707" t="s">
        <v>56</v>
      </c>
      <c r="AJ707" t="s">
        <v>1696</v>
      </c>
      <c r="AK707" t="s">
        <v>1697</v>
      </c>
      <c r="AL707" t="s">
        <v>215</v>
      </c>
      <c r="AM707" t="s">
        <v>216</v>
      </c>
      <c r="AN707" t="s">
        <v>56</v>
      </c>
      <c r="AO707" t="s">
        <v>56</v>
      </c>
      <c r="AP707" t="s">
        <v>56</v>
      </c>
      <c r="AQ707" t="s">
        <v>71</v>
      </c>
      <c r="AR707" t="s">
        <v>56</v>
      </c>
      <c r="AS707" t="s">
        <v>56</v>
      </c>
      <c r="AT707" t="s">
        <v>56</v>
      </c>
      <c r="AU707" t="s">
        <v>56</v>
      </c>
      <c r="AV707" t="s">
        <v>56</v>
      </c>
      <c r="AW707" t="s">
        <v>56</v>
      </c>
      <c r="AX707">
        <v>4</v>
      </c>
    </row>
    <row r="708" spans="1:50" x14ac:dyDescent="0.25">
      <c r="A708" t="str">
        <f>"20200129167017116197"</f>
        <v>20200129167017116197</v>
      </c>
      <c r="B708" t="s">
        <v>72</v>
      </c>
      <c r="C708" t="s">
        <v>72</v>
      </c>
      <c r="D708" t="s">
        <v>3303</v>
      </c>
      <c r="E708" t="str">
        <f>"700010096901"</f>
        <v>700010096901</v>
      </c>
      <c r="F708" t="s">
        <v>52</v>
      </c>
      <c r="G708">
        <v>900118990</v>
      </c>
      <c r="H708">
        <v>70001</v>
      </c>
      <c r="I708" t="s">
        <v>869</v>
      </c>
      <c r="J708">
        <v>2761605</v>
      </c>
      <c r="K708" t="s">
        <v>54</v>
      </c>
      <c r="L708">
        <v>1104864752</v>
      </c>
      <c r="M708" t="s">
        <v>897</v>
      </c>
      <c r="N708" t="s">
        <v>1463</v>
      </c>
      <c r="O708" t="s">
        <v>1464</v>
      </c>
      <c r="P708" t="s">
        <v>1465</v>
      </c>
      <c r="Q708" t="s">
        <v>56</v>
      </c>
      <c r="R708" t="s">
        <v>54</v>
      </c>
      <c r="S708">
        <v>23020456</v>
      </c>
      <c r="T708" t="s">
        <v>1321</v>
      </c>
      <c r="U708" t="s">
        <v>62</v>
      </c>
      <c r="V708" t="s">
        <v>3304</v>
      </c>
      <c r="W708" t="s">
        <v>3160</v>
      </c>
      <c r="X708" t="s">
        <v>394</v>
      </c>
      <c r="Y708" t="s">
        <v>330</v>
      </c>
      <c r="Z708">
        <v>12</v>
      </c>
      <c r="AA708" t="s">
        <v>65</v>
      </c>
      <c r="AB708" t="s">
        <v>56</v>
      </c>
      <c r="AC708" t="s">
        <v>56</v>
      </c>
      <c r="AD708">
        <v>0</v>
      </c>
      <c r="AE708" t="s">
        <v>66</v>
      </c>
      <c r="AF708" t="s">
        <v>56</v>
      </c>
      <c r="AG708" t="s">
        <v>56</v>
      </c>
      <c r="AH708" t="s">
        <v>56</v>
      </c>
      <c r="AI708" t="s">
        <v>56</v>
      </c>
      <c r="AJ708" t="s">
        <v>3305</v>
      </c>
      <c r="AK708" t="s">
        <v>3306</v>
      </c>
      <c r="AL708" t="s">
        <v>56</v>
      </c>
      <c r="AM708" t="s">
        <v>56</v>
      </c>
      <c r="AN708" t="s">
        <v>56</v>
      </c>
      <c r="AO708" t="s">
        <v>56</v>
      </c>
      <c r="AP708" t="s">
        <v>56</v>
      </c>
      <c r="AQ708" t="s">
        <v>71</v>
      </c>
      <c r="AR708" t="s">
        <v>56</v>
      </c>
      <c r="AS708" t="s">
        <v>56</v>
      </c>
      <c r="AT708" t="s">
        <v>56</v>
      </c>
      <c r="AU708" t="s">
        <v>56</v>
      </c>
      <c r="AV708" t="s">
        <v>56</v>
      </c>
      <c r="AW708" t="s">
        <v>56</v>
      </c>
      <c r="AX708">
        <v>4</v>
      </c>
    </row>
    <row r="709" spans="1:50" x14ac:dyDescent="0.25">
      <c r="A709" t="str">
        <f>"20200129135017116086"</f>
        <v>20200129135017116086</v>
      </c>
      <c r="B709" t="s">
        <v>72</v>
      </c>
      <c r="C709" t="s">
        <v>72</v>
      </c>
      <c r="D709" t="s">
        <v>3307</v>
      </c>
      <c r="E709" t="str">
        <f>"700010096901"</f>
        <v>700010096901</v>
      </c>
      <c r="F709" t="s">
        <v>52</v>
      </c>
      <c r="G709">
        <v>900118990</v>
      </c>
      <c r="H709">
        <v>70001</v>
      </c>
      <c r="I709" t="s">
        <v>869</v>
      </c>
      <c r="J709">
        <v>2761605</v>
      </c>
      <c r="K709" t="s">
        <v>54</v>
      </c>
      <c r="L709">
        <v>1104864752</v>
      </c>
      <c r="M709" t="s">
        <v>897</v>
      </c>
      <c r="N709" t="s">
        <v>1463</v>
      </c>
      <c r="O709" t="s">
        <v>1464</v>
      </c>
      <c r="P709" t="s">
        <v>1465</v>
      </c>
      <c r="Q709" t="s">
        <v>56</v>
      </c>
      <c r="R709" t="s">
        <v>54</v>
      </c>
      <c r="S709">
        <v>23020456</v>
      </c>
      <c r="T709" t="s">
        <v>1321</v>
      </c>
      <c r="U709" t="s">
        <v>62</v>
      </c>
      <c r="V709" t="s">
        <v>3304</v>
      </c>
      <c r="W709" t="s">
        <v>3160</v>
      </c>
      <c r="X709" t="s">
        <v>394</v>
      </c>
      <c r="Y709" t="s">
        <v>330</v>
      </c>
      <c r="Z709">
        <v>12</v>
      </c>
      <c r="AA709" t="s">
        <v>65</v>
      </c>
      <c r="AB709" t="s">
        <v>56</v>
      </c>
      <c r="AC709" t="s">
        <v>56</v>
      </c>
      <c r="AD709">
        <v>0</v>
      </c>
      <c r="AE709" t="s">
        <v>66</v>
      </c>
      <c r="AF709" t="s">
        <v>56</v>
      </c>
      <c r="AG709" t="s">
        <v>56</v>
      </c>
      <c r="AH709" t="s">
        <v>56</v>
      </c>
      <c r="AI709" t="s">
        <v>56</v>
      </c>
      <c r="AJ709" t="s">
        <v>3308</v>
      </c>
      <c r="AK709" t="s">
        <v>3309</v>
      </c>
      <c r="AL709" t="s">
        <v>56</v>
      </c>
      <c r="AM709" t="s">
        <v>56</v>
      </c>
      <c r="AN709" t="s">
        <v>56</v>
      </c>
      <c r="AO709" t="s">
        <v>56</v>
      </c>
      <c r="AP709" t="s">
        <v>56</v>
      </c>
      <c r="AQ709" t="s">
        <v>71</v>
      </c>
      <c r="AR709" t="s">
        <v>56</v>
      </c>
      <c r="AS709" t="s">
        <v>56</v>
      </c>
      <c r="AT709" t="s">
        <v>56</v>
      </c>
      <c r="AU709" t="s">
        <v>56</v>
      </c>
      <c r="AV709" t="s">
        <v>56</v>
      </c>
      <c r="AW709" t="s">
        <v>56</v>
      </c>
      <c r="AX709">
        <v>4</v>
      </c>
    </row>
    <row r="710" spans="1:50" x14ac:dyDescent="0.25">
      <c r="A710" t="str">
        <f>"20200130156017138896"</f>
        <v>20200130156017138896</v>
      </c>
      <c r="B710" t="s">
        <v>124</v>
      </c>
      <c r="C710" t="s">
        <v>124</v>
      </c>
      <c r="D710" t="s">
        <v>3310</v>
      </c>
      <c r="E710" t="str">
        <f>"470580002301"</f>
        <v>470580002301</v>
      </c>
      <c r="F710" t="s">
        <v>52</v>
      </c>
      <c r="G710">
        <v>819001107</v>
      </c>
      <c r="H710">
        <v>47058</v>
      </c>
      <c r="I710" t="s">
        <v>626</v>
      </c>
      <c r="J710">
        <v>4258152</v>
      </c>
      <c r="K710" t="s">
        <v>54</v>
      </c>
      <c r="L710">
        <v>22585117</v>
      </c>
      <c r="M710" t="s">
        <v>577</v>
      </c>
      <c r="N710" t="s">
        <v>627</v>
      </c>
      <c r="O710" t="s">
        <v>194</v>
      </c>
      <c r="P710" t="s">
        <v>517</v>
      </c>
      <c r="Q710">
        <v>472587</v>
      </c>
      <c r="R710" t="s">
        <v>440</v>
      </c>
      <c r="S710">
        <v>1081004116</v>
      </c>
      <c r="T710" t="s">
        <v>55</v>
      </c>
      <c r="U710" t="s">
        <v>2776</v>
      </c>
      <c r="V710" t="s">
        <v>1294</v>
      </c>
      <c r="W710" t="s">
        <v>3311</v>
      </c>
      <c r="X710" t="s">
        <v>344</v>
      </c>
      <c r="Y710" t="s">
        <v>345</v>
      </c>
      <c r="Z710">
        <v>12</v>
      </c>
      <c r="AA710" t="s">
        <v>65</v>
      </c>
      <c r="AB710" t="s">
        <v>56</v>
      </c>
      <c r="AC710" t="s">
        <v>56</v>
      </c>
      <c r="AD710">
        <v>0</v>
      </c>
      <c r="AE710" t="s">
        <v>66</v>
      </c>
      <c r="AF710" t="s">
        <v>56</v>
      </c>
      <c r="AG710" t="s">
        <v>56</v>
      </c>
      <c r="AH710" t="s">
        <v>56</v>
      </c>
      <c r="AI710" t="s">
        <v>56</v>
      </c>
      <c r="AJ710" t="s">
        <v>1658</v>
      </c>
      <c r="AK710" t="s">
        <v>1659</v>
      </c>
      <c r="AL710" t="s">
        <v>56</v>
      </c>
      <c r="AM710" t="s">
        <v>56</v>
      </c>
      <c r="AN710" t="s">
        <v>56</v>
      </c>
      <c r="AO710" t="s">
        <v>56</v>
      </c>
      <c r="AP710" t="s">
        <v>56</v>
      </c>
      <c r="AQ710" t="s">
        <v>71</v>
      </c>
      <c r="AR710" t="s">
        <v>56</v>
      </c>
      <c r="AS710" t="s">
        <v>56</v>
      </c>
      <c r="AT710" t="s">
        <v>56</v>
      </c>
      <c r="AU710" t="s">
        <v>56</v>
      </c>
      <c r="AV710" t="s">
        <v>56</v>
      </c>
      <c r="AW710" t="s">
        <v>56</v>
      </c>
      <c r="AX710">
        <v>4</v>
      </c>
    </row>
    <row r="711" spans="1:50" x14ac:dyDescent="0.25">
      <c r="A711" t="str">
        <f>"20200126151017037968"</f>
        <v>20200126151017037968</v>
      </c>
      <c r="B711" t="s">
        <v>244</v>
      </c>
      <c r="C711" t="s">
        <v>244</v>
      </c>
      <c r="D711" t="s">
        <v>3312</v>
      </c>
      <c r="E711" t="str">
        <f>"700010177001"</f>
        <v>700010177001</v>
      </c>
      <c r="F711" t="s">
        <v>52</v>
      </c>
      <c r="G711">
        <v>901082722</v>
      </c>
      <c r="H711">
        <v>70001</v>
      </c>
      <c r="I711" t="s">
        <v>1290</v>
      </c>
      <c r="J711" t="s">
        <v>1291</v>
      </c>
      <c r="K711" t="s">
        <v>54</v>
      </c>
      <c r="L711">
        <v>79500988</v>
      </c>
      <c r="M711" t="s">
        <v>234</v>
      </c>
      <c r="N711" t="s">
        <v>76</v>
      </c>
      <c r="O711" t="s">
        <v>376</v>
      </c>
      <c r="P711" t="s">
        <v>1292</v>
      </c>
      <c r="Q711">
        <v>7014799</v>
      </c>
      <c r="R711" t="s">
        <v>54</v>
      </c>
      <c r="S711">
        <v>64544154</v>
      </c>
      <c r="T711" t="s">
        <v>3313</v>
      </c>
      <c r="U711" t="s">
        <v>424</v>
      </c>
      <c r="V711" t="s">
        <v>1524</v>
      </c>
      <c r="W711" t="s">
        <v>1842</v>
      </c>
      <c r="X711" t="s">
        <v>605</v>
      </c>
      <c r="Y711" t="s">
        <v>330</v>
      </c>
      <c r="Z711">
        <v>12</v>
      </c>
      <c r="AA711" t="s">
        <v>65</v>
      </c>
      <c r="AB711" t="s">
        <v>56</v>
      </c>
      <c r="AC711" t="s">
        <v>56</v>
      </c>
      <c r="AD711">
        <v>0</v>
      </c>
      <c r="AE711" t="s">
        <v>66</v>
      </c>
      <c r="AF711" t="s">
        <v>56</v>
      </c>
      <c r="AG711" t="s">
        <v>56</v>
      </c>
      <c r="AH711" t="s">
        <v>56</v>
      </c>
      <c r="AI711" t="s">
        <v>56</v>
      </c>
      <c r="AJ711" t="s">
        <v>414</v>
      </c>
      <c r="AK711" t="s">
        <v>415</v>
      </c>
      <c r="AL711" t="s">
        <v>56</v>
      </c>
      <c r="AM711" t="s">
        <v>56</v>
      </c>
      <c r="AN711" t="s">
        <v>56</v>
      </c>
      <c r="AO711" t="s">
        <v>56</v>
      </c>
      <c r="AP711" t="s">
        <v>56</v>
      </c>
      <c r="AQ711" t="s">
        <v>71</v>
      </c>
      <c r="AR711" t="s">
        <v>56</v>
      </c>
      <c r="AS711" t="s">
        <v>56</v>
      </c>
      <c r="AT711" t="s">
        <v>56</v>
      </c>
      <c r="AU711" t="s">
        <v>56</v>
      </c>
      <c r="AV711" t="s">
        <v>56</v>
      </c>
      <c r="AW711" t="s">
        <v>56</v>
      </c>
      <c r="AX711">
        <v>4</v>
      </c>
    </row>
    <row r="712" spans="1:50" x14ac:dyDescent="0.25">
      <c r="A712" t="str">
        <f>"20200131133017169557"</f>
        <v>20200131133017169557</v>
      </c>
      <c r="B712" t="s">
        <v>110</v>
      </c>
      <c r="C712" t="s">
        <v>110</v>
      </c>
      <c r="D712" t="s">
        <v>3314</v>
      </c>
      <c r="E712" t="str">
        <f>"134300077501"</f>
        <v>134300077501</v>
      </c>
      <c r="F712" t="s">
        <v>52</v>
      </c>
      <c r="G712">
        <v>823002800</v>
      </c>
      <c r="H712">
        <v>13430</v>
      </c>
      <c r="I712" t="s">
        <v>539</v>
      </c>
      <c r="J712">
        <v>3107315890</v>
      </c>
      <c r="K712" t="s">
        <v>54</v>
      </c>
      <c r="L712">
        <v>92520392</v>
      </c>
      <c r="M712" t="s">
        <v>540</v>
      </c>
      <c r="N712" t="s">
        <v>164</v>
      </c>
      <c r="O712" t="s">
        <v>376</v>
      </c>
      <c r="P712" t="s">
        <v>109</v>
      </c>
      <c r="Q712">
        <v>282</v>
      </c>
      <c r="R712" t="s">
        <v>237</v>
      </c>
      <c r="S712">
        <v>1102576737</v>
      </c>
      <c r="T712" t="s">
        <v>117</v>
      </c>
      <c r="U712" t="s">
        <v>196</v>
      </c>
      <c r="V712" t="s">
        <v>3315</v>
      </c>
      <c r="W712" t="s">
        <v>376</v>
      </c>
      <c r="X712" t="s">
        <v>330</v>
      </c>
      <c r="Y712" t="s">
        <v>330</v>
      </c>
      <c r="Z712">
        <v>12</v>
      </c>
      <c r="AA712" t="s">
        <v>65</v>
      </c>
      <c r="AB712" t="s">
        <v>56</v>
      </c>
      <c r="AC712" t="s">
        <v>56</v>
      </c>
      <c r="AD712">
        <v>0</v>
      </c>
      <c r="AE712" t="s">
        <v>66</v>
      </c>
      <c r="AF712" t="s">
        <v>56</v>
      </c>
      <c r="AG712" t="s">
        <v>56</v>
      </c>
      <c r="AH712" t="s">
        <v>56</v>
      </c>
      <c r="AI712" t="s">
        <v>56</v>
      </c>
      <c r="AJ712" t="s">
        <v>1135</v>
      </c>
      <c r="AK712" t="s">
        <v>1136</v>
      </c>
      <c r="AL712" t="s">
        <v>56</v>
      </c>
      <c r="AM712" t="s">
        <v>56</v>
      </c>
      <c r="AN712" t="s">
        <v>56</v>
      </c>
      <c r="AO712" t="s">
        <v>56</v>
      </c>
      <c r="AP712" t="s">
        <v>56</v>
      </c>
      <c r="AQ712" t="s">
        <v>71</v>
      </c>
      <c r="AR712" t="s">
        <v>56</v>
      </c>
      <c r="AS712" t="s">
        <v>56</v>
      </c>
      <c r="AT712" t="s">
        <v>56</v>
      </c>
      <c r="AU712" t="s">
        <v>56</v>
      </c>
      <c r="AV712" t="s">
        <v>56</v>
      </c>
      <c r="AW712" t="s">
        <v>56</v>
      </c>
      <c r="AX712">
        <v>4</v>
      </c>
    </row>
    <row r="713" spans="1:50" x14ac:dyDescent="0.25">
      <c r="A713" t="str">
        <f>"20200128111017074667"</f>
        <v>20200128111017074667</v>
      </c>
      <c r="B713" t="s">
        <v>151</v>
      </c>
      <c r="C713" t="s">
        <v>151</v>
      </c>
      <c r="D713" t="s">
        <v>3316</v>
      </c>
      <c r="E713" t="str">
        <f>"700010016301"</f>
        <v>700010016301</v>
      </c>
      <c r="F713" t="s">
        <v>52</v>
      </c>
      <c r="G713">
        <v>823002800</v>
      </c>
      <c r="H713">
        <v>70001</v>
      </c>
      <c r="I713" t="s">
        <v>603</v>
      </c>
      <c r="J713">
        <v>3126692716</v>
      </c>
      <c r="K713" t="s">
        <v>54</v>
      </c>
      <c r="L713">
        <v>55231988</v>
      </c>
      <c r="M713" t="s">
        <v>886</v>
      </c>
      <c r="N713" t="s">
        <v>56</v>
      </c>
      <c r="O713" t="s">
        <v>193</v>
      </c>
      <c r="P713" t="s">
        <v>805</v>
      </c>
      <c r="Q713">
        <v>161322009</v>
      </c>
      <c r="R713" t="s">
        <v>54</v>
      </c>
      <c r="S713">
        <v>50852397</v>
      </c>
      <c r="T713" t="s">
        <v>3317</v>
      </c>
      <c r="U713" t="s">
        <v>479</v>
      </c>
      <c r="V713" t="s">
        <v>3318</v>
      </c>
      <c r="W713" t="s">
        <v>99</v>
      </c>
      <c r="X713" t="s">
        <v>3319</v>
      </c>
      <c r="Y713" t="s">
        <v>330</v>
      </c>
      <c r="Z713">
        <v>11</v>
      </c>
      <c r="AA713" t="s">
        <v>87</v>
      </c>
      <c r="AB713" t="s">
        <v>56</v>
      </c>
      <c r="AC713" t="s">
        <v>56</v>
      </c>
      <c r="AD713">
        <v>0</v>
      </c>
      <c r="AE713" t="s">
        <v>66</v>
      </c>
      <c r="AF713" t="s">
        <v>56</v>
      </c>
      <c r="AG713" t="s">
        <v>56</v>
      </c>
      <c r="AH713" t="s">
        <v>56</v>
      </c>
      <c r="AI713" t="s">
        <v>56</v>
      </c>
      <c r="AJ713" t="s">
        <v>536</v>
      </c>
      <c r="AK713" t="s">
        <v>537</v>
      </c>
      <c r="AL713" t="s">
        <v>56</v>
      </c>
      <c r="AM713" t="s">
        <v>56</v>
      </c>
      <c r="AN713" t="s">
        <v>56</v>
      </c>
      <c r="AO713" t="s">
        <v>56</v>
      </c>
      <c r="AP713" t="s">
        <v>56</v>
      </c>
      <c r="AQ713" t="s">
        <v>71</v>
      </c>
      <c r="AR713" t="s">
        <v>56</v>
      </c>
      <c r="AS713" t="s">
        <v>56</v>
      </c>
      <c r="AT713" t="s">
        <v>56</v>
      </c>
      <c r="AU713" t="s">
        <v>56</v>
      </c>
      <c r="AV713" t="s">
        <v>56</v>
      </c>
      <c r="AW713" t="s">
        <v>56</v>
      </c>
      <c r="AX713">
        <v>4</v>
      </c>
    </row>
    <row r="714" spans="1:50" x14ac:dyDescent="0.25">
      <c r="A714" t="str">
        <f>"20200130180017144202"</f>
        <v>20200130180017144202</v>
      </c>
      <c r="B714" t="s">
        <v>124</v>
      </c>
      <c r="C714" t="s">
        <v>124</v>
      </c>
      <c r="D714" t="s">
        <v>3320</v>
      </c>
      <c r="E714" t="str">
        <f>"700010146401"</f>
        <v>700010146401</v>
      </c>
      <c r="F714" t="s">
        <v>52</v>
      </c>
      <c r="G714">
        <v>900581036</v>
      </c>
      <c r="H714">
        <v>70001</v>
      </c>
      <c r="I714" t="s">
        <v>387</v>
      </c>
      <c r="J714">
        <v>2807683</v>
      </c>
      <c r="K714" t="s">
        <v>54</v>
      </c>
      <c r="L714">
        <v>92508651</v>
      </c>
      <c r="M714" t="s">
        <v>388</v>
      </c>
      <c r="N714" t="s">
        <v>94</v>
      </c>
      <c r="O714" t="s">
        <v>389</v>
      </c>
      <c r="P714" t="s">
        <v>390</v>
      </c>
      <c r="Q714" t="s">
        <v>391</v>
      </c>
      <c r="R714" t="s">
        <v>54</v>
      </c>
      <c r="S714">
        <v>10876854</v>
      </c>
      <c r="T714" t="s">
        <v>3321</v>
      </c>
      <c r="U714" t="s">
        <v>132</v>
      </c>
      <c r="V714" t="s">
        <v>691</v>
      </c>
      <c r="W714" t="s">
        <v>2156</v>
      </c>
      <c r="X714" t="s">
        <v>330</v>
      </c>
      <c r="Y714" t="s">
        <v>330</v>
      </c>
      <c r="Z714">
        <v>12</v>
      </c>
      <c r="AA714" t="s">
        <v>65</v>
      </c>
      <c r="AB714" t="s">
        <v>56</v>
      </c>
      <c r="AC714" t="s">
        <v>56</v>
      </c>
      <c r="AD714">
        <v>0</v>
      </c>
      <c r="AE714" t="s">
        <v>66</v>
      </c>
      <c r="AF714" t="s">
        <v>56</v>
      </c>
      <c r="AG714" t="s">
        <v>56</v>
      </c>
      <c r="AH714" t="s">
        <v>56</v>
      </c>
      <c r="AI714" t="s">
        <v>56</v>
      </c>
      <c r="AJ714" t="s">
        <v>2374</v>
      </c>
      <c r="AK714" t="s">
        <v>2375</v>
      </c>
      <c r="AL714" t="s">
        <v>395</v>
      </c>
      <c r="AM714" t="s">
        <v>396</v>
      </c>
      <c r="AN714" t="s">
        <v>56</v>
      </c>
      <c r="AO714" t="s">
        <v>56</v>
      </c>
      <c r="AP714" t="s">
        <v>56</v>
      </c>
      <c r="AQ714" t="s">
        <v>71</v>
      </c>
      <c r="AR714" t="s">
        <v>56</v>
      </c>
      <c r="AS714" t="s">
        <v>56</v>
      </c>
      <c r="AT714" t="s">
        <v>56</v>
      </c>
      <c r="AU714" t="s">
        <v>56</v>
      </c>
      <c r="AV714" t="s">
        <v>56</v>
      </c>
      <c r="AW714" t="s">
        <v>56</v>
      </c>
      <c r="AX714">
        <v>4</v>
      </c>
    </row>
    <row r="715" spans="1:50" x14ac:dyDescent="0.25">
      <c r="A715" t="str">
        <f>"20200130139017144446"</f>
        <v>20200130139017144446</v>
      </c>
      <c r="B715" t="s">
        <v>124</v>
      </c>
      <c r="C715" t="s">
        <v>124</v>
      </c>
      <c r="D715" t="s">
        <v>3322</v>
      </c>
      <c r="E715" t="str">
        <f>"200010083101"</f>
        <v>200010083101</v>
      </c>
      <c r="F715" t="s">
        <v>52</v>
      </c>
      <c r="G715">
        <v>900066797</v>
      </c>
      <c r="H715">
        <v>20001</v>
      </c>
      <c r="I715" t="s">
        <v>457</v>
      </c>
      <c r="J715" t="s">
        <v>458</v>
      </c>
      <c r="K715" t="s">
        <v>54</v>
      </c>
      <c r="L715">
        <v>49760462</v>
      </c>
      <c r="M715" t="s">
        <v>459</v>
      </c>
      <c r="N715" t="s">
        <v>117</v>
      </c>
      <c r="O715" t="s">
        <v>460</v>
      </c>
      <c r="P715" t="s">
        <v>403</v>
      </c>
      <c r="Q715">
        <v>8550</v>
      </c>
      <c r="R715" t="s">
        <v>54</v>
      </c>
      <c r="S715">
        <v>49788412</v>
      </c>
      <c r="T715" t="s">
        <v>3323</v>
      </c>
      <c r="U715" t="s">
        <v>117</v>
      </c>
      <c r="V715" t="s">
        <v>376</v>
      </c>
      <c r="W715" t="s">
        <v>3324</v>
      </c>
      <c r="X715" t="s">
        <v>462</v>
      </c>
      <c r="Y715" t="s">
        <v>86</v>
      </c>
      <c r="Z715">
        <v>12</v>
      </c>
      <c r="AA715" t="s">
        <v>65</v>
      </c>
      <c r="AB715" t="s">
        <v>56</v>
      </c>
      <c r="AC715" t="s">
        <v>56</v>
      </c>
      <c r="AD715">
        <v>0</v>
      </c>
      <c r="AE715" t="s">
        <v>66</v>
      </c>
      <c r="AF715" t="s">
        <v>56</v>
      </c>
      <c r="AG715" t="s">
        <v>56</v>
      </c>
      <c r="AH715" t="s">
        <v>56</v>
      </c>
      <c r="AI715" t="s">
        <v>56</v>
      </c>
      <c r="AJ715" t="s">
        <v>463</v>
      </c>
      <c r="AK715" t="s">
        <v>464</v>
      </c>
      <c r="AL715" t="s">
        <v>56</v>
      </c>
      <c r="AM715" t="s">
        <v>56</v>
      </c>
      <c r="AN715" t="s">
        <v>56</v>
      </c>
      <c r="AO715" t="s">
        <v>56</v>
      </c>
      <c r="AP715" t="s">
        <v>56</v>
      </c>
      <c r="AQ715" t="s">
        <v>71</v>
      </c>
      <c r="AR715" t="s">
        <v>56</v>
      </c>
      <c r="AS715" t="s">
        <v>56</v>
      </c>
      <c r="AT715" t="s">
        <v>56</v>
      </c>
      <c r="AU715" t="s">
        <v>56</v>
      </c>
      <c r="AV715" t="s">
        <v>56</v>
      </c>
      <c r="AW715" t="s">
        <v>56</v>
      </c>
      <c r="AX715">
        <v>4</v>
      </c>
    </row>
    <row r="716" spans="1:50" x14ac:dyDescent="0.25">
      <c r="A716" t="str">
        <f>"20200127174017056879"</f>
        <v>20200127174017056879</v>
      </c>
      <c r="B716" t="s">
        <v>190</v>
      </c>
      <c r="C716" t="s">
        <v>190</v>
      </c>
      <c r="D716" t="s">
        <v>3325</v>
      </c>
      <c r="E716" t="str">
        <f>"134300049201"</f>
        <v>134300049201</v>
      </c>
      <c r="F716" t="s">
        <v>52</v>
      </c>
      <c r="G716">
        <v>900196347</v>
      </c>
      <c r="H716">
        <v>13430</v>
      </c>
      <c r="I716" t="s">
        <v>174</v>
      </c>
      <c r="J716" t="s">
        <v>175</v>
      </c>
      <c r="K716" t="s">
        <v>54</v>
      </c>
      <c r="L716">
        <v>1140817449</v>
      </c>
      <c r="M716" t="s">
        <v>477</v>
      </c>
      <c r="N716" t="s">
        <v>424</v>
      </c>
      <c r="O716" t="s">
        <v>109</v>
      </c>
      <c r="P716" t="s">
        <v>478</v>
      </c>
      <c r="Q716">
        <v>24345</v>
      </c>
      <c r="R716" t="s">
        <v>54</v>
      </c>
      <c r="S716">
        <v>22994757</v>
      </c>
      <c r="T716" t="s">
        <v>470</v>
      </c>
      <c r="U716" t="s">
        <v>117</v>
      </c>
      <c r="V716" t="s">
        <v>1414</v>
      </c>
      <c r="W716" t="s">
        <v>608</v>
      </c>
      <c r="X716" t="s">
        <v>183</v>
      </c>
      <c r="Y716" t="s">
        <v>101</v>
      </c>
      <c r="Z716">
        <v>11</v>
      </c>
      <c r="AA716" t="s">
        <v>87</v>
      </c>
      <c r="AB716" t="s">
        <v>56</v>
      </c>
      <c r="AC716" t="s">
        <v>56</v>
      </c>
      <c r="AD716">
        <v>0</v>
      </c>
      <c r="AE716" t="s">
        <v>66</v>
      </c>
      <c r="AF716" t="s">
        <v>56</v>
      </c>
      <c r="AG716" t="s">
        <v>56</v>
      </c>
      <c r="AH716" t="s">
        <v>56</v>
      </c>
      <c r="AI716" t="s">
        <v>56</v>
      </c>
      <c r="AJ716" t="s">
        <v>482</v>
      </c>
      <c r="AK716" t="s">
        <v>483</v>
      </c>
      <c r="AL716" t="s">
        <v>56</v>
      </c>
      <c r="AM716" t="s">
        <v>56</v>
      </c>
      <c r="AN716" t="s">
        <v>56</v>
      </c>
      <c r="AO716" t="s">
        <v>56</v>
      </c>
      <c r="AP716" t="s">
        <v>56</v>
      </c>
      <c r="AQ716" t="s">
        <v>71</v>
      </c>
      <c r="AR716" t="s">
        <v>56</v>
      </c>
      <c r="AS716" t="s">
        <v>56</v>
      </c>
      <c r="AT716" t="s">
        <v>56</v>
      </c>
      <c r="AU716" t="s">
        <v>56</v>
      </c>
      <c r="AV716" t="s">
        <v>56</v>
      </c>
      <c r="AW716" t="s">
        <v>56</v>
      </c>
      <c r="AX716">
        <v>4</v>
      </c>
    </row>
    <row r="717" spans="1:50" x14ac:dyDescent="0.25">
      <c r="A717" t="str">
        <f>"20200124118017006015"</f>
        <v>20200124118017006015</v>
      </c>
      <c r="B717" t="s">
        <v>201</v>
      </c>
      <c r="C717" t="s">
        <v>201</v>
      </c>
      <c r="D717" t="s">
        <v>3326</v>
      </c>
      <c r="E717" t="str">
        <f>"761000252401"</f>
        <v>761000252401</v>
      </c>
      <c r="F717" t="s">
        <v>52</v>
      </c>
      <c r="G717">
        <v>891900414</v>
      </c>
      <c r="H717">
        <v>76100</v>
      </c>
      <c r="I717" t="s">
        <v>3327</v>
      </c>
      <c r="J717">
        <v>2224314</v>
      </c>
      <c r="K717" t="s">
        <v>54</v>
      </c>
      <c r="L717">
        <v>1113040990</v>
      </c>
      <c r="M717" t="s">
        <v>3328</v>
      </c>
      <c r="N717" t="s">
        <v>56</v>
      </c>
      <c r="O717" t="s">
        <v>376</v>
      </c>
      <c r="P717" t="s">
        <v>560</v>
      </c>
      <c r="Q717">
        <v>1113040990</v>
      </c>
      <c r="R717" t="s">
        <v>54</v>
      </c>
      <c r="S717">
        <v>16290051</v>
      </c>
      <c r="T717" t="s">
        <v>360</v>
      </c>
      <c r="U717" t="s">
        <v>62</v>
      </c>
      <c r="V717" t="s">
        <v>3329</v>
      </c>
      <c r="W717" t="s">
        <v>62</v>
      </c>
      <c r="X717" t="s">
        <v>101</v>
      </c>
      <c r="Y717" t="s">
        <v>64</v>
      </c>
      <c r="Z717">
        <v>11</v>
      </c>
      <c r="AA717" t="s">
        <v>87</v>
      </c>
      <c r="AB717" t="s">
        <v>56</v>
      </c>
      <c r="AC717" t="s">
        <v>56</v>
      </c>
      <c r="AD717">
        <v>0</v>
      </c>
      <c r="AE717" t="s">
        <v>66</v>
      </c>
      <c r="AF717" t="s">
        <v>56</v>
      </c>
      <c r="AG717" t="s">
        <v>56</v>
      </c>
      <c r="AH717" t="s">
        <v>56</v>
      </c>
      <c r="AI717" t="s">
        <v>56</v>
      </c>
      <c r="AJ717" t="s">
        <v>199</v>
      </c>
      <c r="AK717" t="s">
        <v>200</v>
      </c>
      <c r="AL717" t="s">
        <v>3330</v>
      </c>
      <c r="AM717" t="s">
        <v>3331</v>
      </c>
      <c r="AN717" t="s">
        <v>1086</v>
      </c>
      <c r="AO717" t="s">
        <v>1087</v>
      </c>
      <c r="AP717" t="s">
        <v>56</v>
      </c>
      <c r="AQ717" t="s">
        <v>71</v>
      </c>
      <c r="AR717" t="s">
        <v>56</v>
      </c>
      <c r="AS717" t="s">
        <v>56</v>
      </c>
      <c r="AT717" t="s">
        <v>56</v>
      </c>
      <c r="AU717" t="s">
        <v>56</v>
      </c>
      <c r="AV717" t="s">
        <v>56</v>
      </c>
      <c r="AW717" t="s">
        <v>56</v>
      </c>
      <c r="AX717">
        <v>4</v>
      </c>
    </row>
    <row r="718" spans="1:50" x14ac:dyDescent="0.25">
      <c r="A718" t="str">
        <f>"20200130192017134985"</f>
        <v>20200130192017134985</v>
      </c>
      <c r="B718" t="s">
        <v>124</v>
      </c>
      <c r="C718" t="s">
        <v>124</v>
      </c>
      <c r="D718" t="s">
        <v>3332</v>
      </c>
      <c r="E718" t="str">
        <f>"080010330401"</f>
        <v>080010330401</v>
      </c>
      <c r="F718" t="s">
        <v>52</v>
      </c>
      <c r="G718">
        <v>802014564</v>
      </c>
      <c r="H718" t="s">
        <v>112</v>
      </c>
      <c r="I718" t="s">
        <v>933</v>
      </c>
      <c r="J718">
        <v>3575814</v>
      </c>
      <c r="K718" t="s">
        <v>54</v>
      </c>
      <c r="L718">
        <v>7461593</v>
      </c>
      <c r="M718" t="s">
        <v>165</v>
      </c>
      <c r="N718" t="s">
        <v>261</v>
      </c>
      <c r="O718" t="s">
        <v>2695</v>
      </c>
      <c r="P718" t="s">
        <v>2696</v>
      </c>
      <c r="Q718" t="s">
        <v>56</v>
      </c>
      <c r="R718" t="s">
        <v>54</v>
      </c>
      <c r="S718">
        <v>32571038</v>
      </c>
      <c r="T718" t="s">
        <v>3333</v>
      </c>
      <c r="U718" t="s">
        <v>62</v>
      </c>
      <c r="V718" t="s">
        <v>2103</v>
      </c>
      <c r="W718" t="s">
        <v>3334</v>
      </c>
      <c r="X718" t="s">
        <v>1470</v>
      </c>
      <c r="Y718" t="s">
        <v>121</v>
      </c>
      <c r="Z718">
        <v>12</v>
      </c>
      <c r="AA718" t="s">
        <v>65</v>
      </c>
      <c r="AB718" t="s">
        <v>56</v>
      </c>
      <c r="AC718" t="s">
        <v>56</v>
      </c>
      <c r="AD718">
        <v>0</v>
      </c>
      <c r="AE718" t="s">
        <v>66</v>
      </c>
      <c r="AF718" t="s">
        <v>56</v>
      </c>
      <c r="AG718" t="s">
        <v>56</v>
      </c>
      <c r="AH718" t="s">
        <v>56</v>
      </c>
      <c r="AI718" t="s">
        <v>56</v>
      </c>
      <c r="AJ718" t="s">
        <v>1948</v>
      </c>
      <c r="AK718" t="s">
        <v>1949</v>
      </c>
      <c r="AL718" t="s">
        <v>3335</v>
      </c>
      <c r="AM718" t="s">
        <v>3336</v>
      </c>
      <c r="AN718" t="s">
        <v>3337</v>
      </c>
      <c r="AO718" t="s">
        <v>3338</v>
      </c>
      <c r="AP718" t="s">
        <v>56</v>
      </c>
      <c r="AQ718" t="s">
        <v>71</v>
      </c>
      <c r="AR718" t="s">
        <v>56</v>
      </c>
      <c r="AS718" t="s">
        <v>56</v>
      </c>
      <c r="AT718" t="s">
        <v>56</v>
      </c>
      <c r="AU718" t="s">
        <v>56</v>
      </c>
      <c r="AV718" t="s">
        <v>56</v>
      </c>
      <c r="AW718" t="s">
        <v>56</v>
      </c>
      <c r="AX718">
        <v>4</v>
      </c>
    </row>
    <row r="719" spans="1:50" x14ac:dyDescent="0.25">
      <c r="A719" t="str">
        <f>"20200126125017037432"</f>
        <v>20200126125017037432</v>
      </c>
      <c r="B719" t="s">
        <v>244</v>
      </c>
      <c r="C719" t="s">
        <v>244</v>
      </c>
      <c r="D719" t="s">
        <v>3339</v>
      </c>
      <c r="E719" t="str">
        <f>"080010349401"</f>
        <v>080010349401</v>
      </c>
      <c r="F719" t="s">
        <v>52</v>
      </c>
      <c r="G719">
        <v>900458308</v>
      </c>
      <c r="H719" t="s">
        <v>112</v>
      </c>
      <c r="I719" t="s">
        <v>370</v>
      </c>
      <c r="J719" t="s">
        <v>371</v>
      </c>
      <c r="K719" t="s">
        <v>54</v>
      </c>
      <c r="L719">
        <v>1143378811</v>
      </c>
      <c r="M719" t="s">
        <v>372</v>
      </c>
      <c r="N719" t="s">
        <v>373</v>
      </c>
      <c r="O719" t="s">
        <v>109</v>
      </c>
      <c r="P719" t="s">
        <v>374</v>
      </c>
      <c r="Q719">
        <v>1143378811</v>
      </c>
      <c r="R719" t="s">
        <v>54</v>
      </c>
      <c r="S719">
        <v>1045727958</v>
      </c>
      <c r="T719" t="s">
        <v>76</v>
      </c>
      <c r="U719" t="s">
        <v>1189</v>
      </c>
      <c r="V719" t="s">
        <v>1400</v>
      </c>
      <c r="W719" t="s">
        <v>3159</v>
      </c>
      <c r="X719" t="s">
        <v>120</v>
      </c>
      <c r="Y719" t="s">
        <v>121</v>
      </c>
      <c r="Z719">
        <v>12</v>
      </c>
      <c r="AA719" t="s">
        <v>65</v>
      </c>
      <c r="AB719" t="s">
        <v>56</v>
      </c>
      <c r="AC719" t="s">
        <v>56</v>
      </c>
      <c r="AD719">
        <v>0</v>
      </c>
      <c r="AE719" t="s">
        <v>66</v>
      </c>
      <c r="AF719" t="s">
        <v>56</v>
      </c>
      <c r="AG719" t="s">
        <v>56</v>
      </c>
      <c r="AH719" t="s">
        <v>56</v>
      </c>
      <c r="AI719" t="s">
        <v>56</v>
      </c>
      <c r="AJ719" t="s">
        <v>356</v>
      </c>
      <c r="AK719" t="s">
        <v>357</v>
      </c>
      <c r="AL719" t="s">
        <v>255</v>
      </c>
      <c r="AM719" t="s">
        <v>256</v>
      </c>
      <c r="AN719" t="s">
        <v>56</v>
      </c>
      <c r="AO719" t="s">
        <v>56</v>
      </c>
      <c r="AP719" t="s">
        <v>56</v>
      </c>
      <c r="AQ719" t="s">
        <v>71</v>
      </c>
      <c r="AR719" t="s">
        <v>56</v>
      </c>
      <c r="AS719" t="s">
        <v>56</v>
      </c>
      <c r="AT719" t="s">
        <v>56</v>
      </c>
      <c r="AU719" t="s">
        <v>56</v>
      </c>
      <c r="AV719" t="s">
        <v>56</v>
      </c>
      <c r="AW719" t="s">
        <v>56</v>
      </c>
      <c r="AX719">
        <v>4</v>
      </c>
    </row>
    <row r="720" spans="1:50" x14ac:dyDescent="0.25">
      <c r="A720" t="str">
        <f>"20200126149017037427"</f>
        <v>20200126149017037427</v>
      </c>
      <c r="B720" t="s">
        <v>244</v>
      </c>
      <c r="C720" t="s">
        <v>244</v>
      </c>
      <c r="D720" t="s">
        <v>3340</v>
      </c>
      <c r="E720" t="str">
        <f>"080010349401"</f>
        <v>080010349401</v>
      </c>
      <c r="F720" t="s">
        <v>52</v>
      </c>
      <c r="G720">
        <v>900458308</v>
      </c>
      <c r="H720" t="s">
        <v>112</v>
      </c>
      <c r="I720" t="s">
        <v>370</v>
      </c>
      <c r="J720" t="s">
        <v>371</v>
      </c>
      <c r="K720" t="s">
        <v>54</v>
      </c>
      <c r="L720">
        <v>1143378811</v>
      </c>
      <c r="M720" t="s">
        <v>372</v>
      </c>
      <c r="N720" t="s">
        <v>373</v>
      </c>
      <c r="O720" t="s">
        <v>109</v>
      </c>
      <c r="P720" t="s">
        <v>374</v>
      </c>
      <c r="Q720">
        <v>1143378811</v>
      </c>
      <c r="R720" t="s">
        <v>54</v>
      </c>
      <c r="S720">
        <v>1045727958</v>
      </c>
      <c r="T720" t="s">
        <v>76</v>
      </c>
      <c r="U720" t="s">
        <v>1189</v>
      </c>
      <c r="V720" t="s">
        <v>1400</v>
      </c>
      <c r="W720" t="s">
        <v>3159</v>
      </c>
      <c r="X720" t="s">
        <v>120</v>
      </c>
      <c r="Y720" t="s">
        <v>121</v>
      </c>
      <c r="Z720">
        <v>12</v>
      </c>
      <c r="AA720" t="s">
        <v>65</v>
      </c>
      <c r="AB720" t="s">
        <v>56</v>
      </c>
      <c r="AC720" t="s">
        <v>56</v>
      </c>
      <c r="AD720">
        <v>0</v>
      </c>
      <c r="AE720" t="s">
        <v>66</v>
      </c>
      <c r="AF720" t="s">
        <v>56</v>
      </c>
      <c r="AG720" t="s">
        <v>56</v>
      </c>
      <c r="AH720" t="s">
        <v>56</v>
      </c>
      <c r="AI720" t="s">
        <v>56</v>
      </c>
      <c r="AJ720" t="s">
        <v>828</v>
      </c>
      <c r="AK720" t="s">
        <v>829</v>
      </c>
      <c r="AL720" t="s">
        <v>56</v>
      </c>
      <c r="AM720" t="s">
        <v>56</v>
      </c>
      <c r="AN720" t="s">
        <v>56</v>
      </c>
      <c r="AO720" t="s">
        <v>56</v>
      </c>
      <c r="AP720" t="s">
        <v>56</v>
      </c>
      <c r="AQ720" t="s">
        <v>71</v>
      </c>
      <c r="AR720" t="s">
        <v>56</v>
      </c>
      <c r="AS720" t="s">
        <v>56</v>
      </c>
      <c r="AT720" t="s">
        <v>56</v>
      </c>
      <c r="AU720" t="s">
        <v>56</v>
      </c>
      <c r="AV720" t="s">
        <v>56</v>
      </c>
      <c r="AW720" t="s">
        <v>56</v>
      </c>
      <c r="AX720">
        <v>4</v>
      </c>
    </row>
    <row r="721" spans="1:50" x14ac:dyDescent="0.25">
      <c r="A721" t="str">
        <f>"20200127141017044733"</f>
        <v>20200127141017044733</v>
      </c>
      <c r="B721" t="s">
        <v>190</v>
      </c>
      <c r="C721" t="s">
        <v>190</v>
      </c>
      <c r="D721" t="s">
        <v>3341</v>
      </c>
      <c r="E721" t="str">
        <f>"700010177001"</f>
        <v>700010177001</v>
      </c>
      <c r="F721" t="s">
        <v>52</v>
      </c>
      <c r="G721">
        <v>901082722</v>
      </c>
      <c r="H721">
        <v>70001</v>
      </c>
      <c r="I721" t="s">
        <v>1290</v>
      </c>
      <c r="J721" t="s">
        <v>1291</v>
      </c>
      <c r="K721" t="s">
        <v>54</v>
      </c>
      <c r="L721">
        <v>79500988</v>
      </c>
      <c r="M721" t="s">
        <v>234</v>
      </c>
      <c r="N721" t="s">
        <v>76</v>
      </c>
      <c r="O721" t="s">
        <v>376</v>
      </c>
      <c r="P721" t="s">
        <v>1292</v>
      </c>
      <c r="Q721">
        <v>7014799</v>
      </c>
      <c r="R721" t="s">
        <v>54</v>
      </c>
      <c r="S721">
        <v>6878531</v>
      </c>
      <c r="T721" t="s">
        <v>165</v>
      </c>
      <c r="U721" t="s">
        <v>155</v>
      </c>
      <c r="V721" t="s">
        <v>3342</v>
      </c>
      <c r="W721" t="s">
        <v>83</v>
      </c>
      <c r="X721" t="s">
        <v>605</v>
      </c>
      <c r="Y721" t="s">
        <v>330</v>
      </c>
      <c r="Z721">
        <v>12</v>
      </c>
      <c r="AA721" t="s">
        <v>65</v>
      </c>
      <c r="AB721" t="s">
        <v>56</v>
      </c>
      <c r="AC721" t="s">
        <v>56</v>
      </c>
      <c r="AD721">
        <v>0</v>
      </c>
      <c r="AE721" t="s">
        <v>66</v>
      </c>
      <c r="AF721" t="s">
        <v>56</v>
      </c>
      <c r="AG721" t="s">
        <v>56</v>
      </c>
      <c r="AH721" t="s">
        <v>56</v>
      </c>
      <c r="AI721" t="s">
        <v>56</v>
      </c>
      <c r="AJ721" t="s">
        <v>414</v>
      </c>
      <c r="AK721" t="s">
        <v>415</v>
      </c>
      <c r="AL721" t="s">
        <v>56</v>
      </c>
      <c r="AM721" t="s">
        <v>56</v>
      </c>
      <c r="AN721" t="s">
        <v>56</v>
      </c>
      <c r="AO721" t="s">
        <v>56</v>
      </c>
      <c r="AP721" t="s">
        <v>56</v>
      </c>
      <c r="AQ721" t="s">
        <v>71</v>
      </c>
      <c r="AR721" t="s">
        <v>56</v>
      </c>
      <c r="AS721" t="s">
        <v>56</v>
      </c>
      <c r="AT721" t="s">
        <v>56</v>
      </c>
      <c r="AU721" t="s">
        <v>56</v>
      </c>
      <c r="AV721" t="s">
        <v>56</v>
      </c>
      <c r="AW721" t="s">
        <v>56</v>
      </c>
      <c r="AX721">
        <v>4</v>
      </c>
    </row>
    <row r="722" spans="1:50" x14ac:dyDescent="0.25">
      <c r="A722" t="str">
        <f>"20200128181017091960"</f>
        <v>20200128181017091960</v>
      </c>
      <c r="B722" t="s">
        <v>151</v>
      </c>
      <c r="C722" t="s">
        <v>151</v>
      </c>
      <c r="D722" t="s">
        <v>3343</v>
      </c>
      <c r="E722" t="str">
        <f>"134300068301"</f>
        <v>134300068301</v>
      </c>
      <c r="F722" t="s">
        <v>52</v>
      </c>
      <c r="G722">
        <v>900827631</v>
      </c>
      <c r="H722">
        <v>13430</v>
      </c>
      <c r="I722" t="s">
        <v>258</v>
      </c>
      <c r="J722">
        <v>3145812515</v>
      </c>
      <c r="K722" t="s">
        <v>54</v>
      </c>
      <c r="L722">
        <v>78733522</v>
      </c>
      <c r="M722" t="s">
        <v>259</v>
      </c>
      <c r="N722" t="s">
        <v>223</v>
      </c>
      <c r="O722" t="s">
        <v>179</v>
      </c>
      <c r="P722" t="s">
        <v>260</v>
      </c>
      <c r="Q722">
        <v>23306</v>
      </c>
      <c r="R722" t="s">
        <v>54</v>
      </c>
      <c r="S722">
        <v>938449</v>
      </c>
      <c r="T722" t="s">
        <v>76</v>
      </c>
      <c r="U722" t="s">
        <v>62</v>
      </c>
      <c r="V722" t="s">
        <v>57</v>
      </c>
      <c r="W722" t="s">
        <v>403</v>
      </c>
      <c r="X722" t="s">
        <v>183</v>
      </c>
      <c r="Y722" t="s">
        <v>101</v>
      </c>
      <c r="Z722">
        <v>12</v>
      </c>
      <c r="AA722" t="s">
        <v>65</v>
      </c>
      <c r="AB722" t="s">
        <v>56</v>
      </c>
      <c r="AC722" t="s">
        <v>56</v>
      </c>
      <c r="AD722">
        <v>0</v>
      </c>
      <c r="AE722" t="s">
        <v>66</v>
      </c>
      <c r="AF722" t="s">
        <v>56</v>
      </c>
      <c r="AG722" t="s">
        <v>56</v>
      </c>
      <c r="AH722" t="s">
        <v>56</v>
      </c>
      <c r="AI722" t="s">
        <v>56</v>
      </c>
      <c r="AJ722" t="s">
        <v>267</v>
      </c>
      <c r="AK722" t="s">
        <v>268</v>
      </c>
      <c r="AL722" t="s">
        <v>56</v>
      </c>
      <c r="AM722" t="s">
        <v>56</v>
      </c>
      <c r="AN722" t="s">
        <v>56</v>
      </c>
      <c r="AO722" t="s">
        <v>56</v>
      </c>
      <c r="AP722" t="s">
        <v>56</v>
      </c>
      <c r="AQ722" t="s">
        <v>71</v>
      </c>
      <c r="AR722" t="s">
        <v>56</v>
      </c>
      <c r="AS722" t="s">
        <v>56</v>
      </c>
      <c r="AT722" t="s">
        <v>56</v>
      </c>
      <c r="AU722" t="s">
        <v>56</v>
      </c>
      <c r="AV722" t="s">
        <v>56</v>
      </c>
      <c r="AW722" t="s">
        <v>56</v>
      </c>
      <c r="AX722">
        <v>4</v>
      </c>
    </row>
    <row r="723" spans="1:50" x14ac:dyDescent="0.25">
      <c r="A723" t="str">
        <f>"20200129121017099656"</f>
        <v>20200129121017099656</v>
      </c>
      <c r="B723" t="s">
        <v>72</v>
      </c>
      <c r="C723" t="s">
        <v>72</v>
      </c>
      <c r="D723" t="s">
        <v>3344</v>
      </c>
      <c r="E723" t="str">
        <f>"087580001301"</f>
        <v>087580001301</v>
      </c>
      <c r="F723" t="s">
        <v>52</v>
      </c>
      <c r="G723">
        <v>890112801</v>
      </c>
      <c r="H723" t="s">
        <v>74</v>
      </c>
      <c r="I723" t="s">
        <v>75</v>
      </c>
      <c r="J723">
        <v>3715562</v>
      </c>
      <c r="K723" t="s">
        <v>54</v>
      </c>
      <c r="L723">
        <v>72252684</v>
      </c>
      <c r="M723" t="s">
        <v>132</v>
      </c>
      <c r="N723" t="s">
        <v>2481</v>
      </c>
      <c r="O723" t="s">
        <v>1478</v>
      </c>
      <c r="P723" t="s">
        <v>2482</v>
      </c>
      <c r="Q723">
        <v>72252684</v>
      </c>
      <c r="R723" t="s">
        <v>54</v>
      </c>
      <c r="S723">
        <v>5113115</v>
      </c>
      <c r="T723" t="s">
        <v>809</v>
      </c>
      <c r="U723" t="s">
        <v>62</v>
      </c>
      <c r="V723" t="s">
        <v>1911</v>
      </c>
      <c r="W723" t="s">
        <v>240</v>
      </c>
      <c r="X723" t="s">
        <v>1563</v>
      </c>
      <c r="Y723" t="s">
        <v>345</v>
      </c>
      <c r="Z723">
        <v>12</v>
      </c>
      <c r="AA723" t="s">
        <v>65</v>
      </c>
      <c r="AB723" t="s">
        <v>56</v>
      </c>
      <c r="AC723" t="s">
        <v>56</v>
      </c>
      <c r="AD723">
        <v>0</v>
      </c>
      <c r="AE723" t="s">
        <v>66</v>
      </c>
      <c r="AF723" t="s">
        <v>56</v>
      </c>
      <c r="AG723" t="s">
        <v>56</v>
      </c>
      <c r="AH723" t="s">
        <v>56</v>
      </c>
      <c r="AI723" t="s">
        <v>56</v>
      </c>
      <c r="AJ723" t="s">
        <v>365</v>
      </c>
      <c r="AK723" t="s">
        <v>366</v>
      </c>
      <c r="AL723" t="s">
        <v>56</v>
      </c>
      <c r="AM723" t="s">
        <v>56</v>
      </c>
      <c r="AN723" t="s">
        <v>56</v>
      </c>
      <c r="AO723" t="s">
        <v>56</v>
      </c>
      <c r="AP723" t="s">
        <v>56</v>
      </c>
      <c r="AQ723" t="s">
        <v>71</v>
      </c>
      <c r="AR723" t="s">
        <v>56</v>
      </c>
      <c r="AS723" t="s">
        <v>56</v>
      </c>
      <c r="AT723" t="s">
        <v>56</v>
      </c>
      <c r="AU723" t="s">
        <v>56</v>
      </c>
      <c r="AV723" t="s">
        <v>56</v>
      </c>
      <c r="AW723" t="s">
        <v>56</v>
      </c>
      <c r="AX723">
        <v>4</v>
      </c>
    </row>
    <row r="724" spans="1:50" x14ac:dyDescent="0.25">
      <c r="A724" t="str">
        <f>"20200131129017164373"</f>
        <v>20200131129017164373</v>
      </c>
      <c r="B724" t="s">
        <v>110</v>
      </c>
      <c r="C724" t="s">
        <v>110</v>
      </c>
      <c r="D724" t="s">
        <v>3345</v>
      </c>
      <c r="E724" t="str">
        <f>"080010054401"</f>
        <v>080010054401</v>
      </c>
      <c r="F724" t="s">
        <v>52</v>
      </c>
      <c r="G724">
        <v>800194798</v>
      </c>
      <c r="H724" t="s">
        <v>112</v>
      </c>
      <c r="I724" t="s">
        <v>616</v>
      </c>
      <c r="J724" t="s">
        <v>56</v>
      </c>
      <c r="K724" t="s">
        <v>54</v>
      </c>
      <c r="L724">
        <v>1128127284</v>
      </c>
      <c r="M724" t="s">
        <v>972</v>
      </c>
      <c r="N724" t="s">
        <v>59</v>
      </c>
      <c r="O724" t="s">
        <v>973</v>
      </c>
      <c r="P724" t="s">
        <v>974</v>
      </c>
      <c r="Q724" t="s">
        <v>975</v>
      </c>
      <c r="R724" t="s">
        <v>54</v>
      </c>
      <c r="S724">
        <v>22435123</v>
      </c>
      <c r="T724" t="s">
        <v>1940</v>
      </c>
      <c r="U724" t="s">
        <v>62</v>
      </c>
      <c r="V724" t="s">
        <v>57</v>
      </c>
      <c r="W724" t="s">
        <v>57</v>
      </c>
      <c r="X724" t="s">
        <v>241</v>
      </c>
      <c r="Y724" t="s">
        <v>121</v>
      </c>
      <c r="Z724">
        <v>22</v>
      </c>
      <c r="AA724" t="s">
        <v>102</v>
      </c>
      <c r="AB724">
        <v>0</v>
      </c>
      <c r="AC724" t="s">
        <v>66</v>
      </c>
      <c r="AD724">
        <v>0</v>
      </c>
      <c r="AE724" t="s">
        <v>66</v>
      </c>
      <c r="AF724" t="s">
        <v>56</v>
      </c>
      <c r="AG724" t="s">
        <v>56</v>
      </c>
      <c r="AH724" t="s">
        <v>56</v>
      </c>
      <c r="AI724" t="s">
        <v>56</v>
      </c>
      <c r="AJ724" t="s">
        <v>760</v>
      </c>
      <c r="AK724" t="s">
        <v>761</v>
      </c>
      <c r="AL724" t="s">
        <v>56</v>
      </c>
      <c r="AM724" t="s">
        <v>56</v>
      </c>
      <c r="AN724" t="s">
        <v>56</v>
      </c>
      <c r="AO724" t="s">
        <v>56</v>
      </c>
      <c r="AP724" t="s">
        <v>56</v>
      </c>
      <c r="AQ724" t="s">
        <v>71</v>
      </c>
      <c r="AR724" t="s">
        <v>56</v>
      </c>
      <c r="AS724" t="s">
        <v>56</v>
      </c>
      <c r="AT724" t="s">
        <v>56</v>
      </c>
      <c r="AU724" t="s">
        <v>56</v>
      </c>
      <c r="AV724" t="s">
        <v>56</v>
      </c>
      <c r="AW724" t="s">
        <v>56</v>
      </c>
      <c r="AX724">
        <v>4</v>
      </c>
    </row>
    <row r="725" spans="1:50" x14ac:dyDescent="0.25">
      <c r="A725" t="str">
        <f>"20200130149017150837"</f>
        <v>20200130149017150837</v>
      </c>
      <c r="B725" t="s">
        <v>124</v>
      </c>
      <c r="C725" t="s">
        <v>124</v>
      </c>
      <c r="D725" t="s">
        <v>3346</v>
      </c>
      <c r="E725" t="str">
        <f>"080010122201"</f>
        <v>080010122201</v>
      </c>
      <c r="F725" t="s">
        <v>52</v>
      </c>
      <c r="G725">
        <v>890116783</v>
      </c>
      <c r="H725" t="s">
        <v>112</v>
      </c>
      <c r="I725" t="s">
        <v>1796</v>
      </c>
      <c r="J725">
        <v>3781220</v>
      </c>
      <c r="K725" t="s">
        <v>54</v>
      </c>
      <c r="L725">
        <v>78018571</v>
      </c>
      <c r="M725" t="s">
        <v>291</v>
      </c>
      <c r="N725" t="s">
        <v>261</v>
      </c>
      <c r="O725" t="s">
        <v>1976</v>
      </c>
      <c r="P725" t="s">
        <v>293</v>
      </c>
      <c r="Q725" t="s">
        <v>1977</v>
      </c>
      <c r="R725" t="s">
        <v>54</v>
      </c>
      <c r="S725">
        <v>7470935</v>
      </c>
      <c r="T725" t="s">
        <v>132</v>
      </c>
      <c r="U725" t="s">
        <v>3347</v>
      </c>
      <c r="V725" t="s">
        <v>656</v>
      </c>
      <c r="W725" t="s">
        <v>1623</v>
      </c>
      <c r="X725" t="s">
        <v>299</v>
      </c>
      <c r="Y725" t="s">
        <v>121</v>
      </c>
      <c r="Z725">
        <v>12</v>
      </c>
      <c r="AA725" t="s">
        <v>65</v>
      </c>
      <c r="AB725" t="s">
        <v>56</v>
      </c>
      <c r="AC725" t="s">
        <v>56</v>
      </c>
      <c r="AD725">
        <v>0</v>
      </c>
      <c r="AE725" t="s">
        <v>66</v>
      </c>
      <c r="AF725" t="s">
        <v>56</v>
      </c>
      <c r="AG725" t="s">
        <v>56</v>
      </c>
      <c r="AH725" t="s">
        <v>56</v>
      </c>
      <c r="AI725" t="s">
        <v>56</v>
      </c>
      <c r="AJ725" t="s">
        <v>1801</v>
      </c>
      <c r="AK725" t="s">
        <v>1802</v>
      </c>
      <c r="AL725" t="s">
        <v>56</v>
      </c>
      <c r="AM725" t="s">
        <v>56</v>
      </c>
      <c r="AN725" t="s">
        <v>56</v>
      </c>
      <c r="AO725" t="s">
        <v>56</v>
      </c>
      <c r="AP725" t="s">
        <v>56</v>
      </c>
      <c r="AQ725" t="s">
        <v>71</v>
      </c>
      <c r="AR725" t="s">
        <v>56</v>
      </c>
      <c r="AS725" t="s">
        <v>56</v>
      </c>
      <c r="AT725" t="s">
        <v>56</v>
      </c>
      <c r="AU725" t="s">
        <v>56</v>
      </c>
      <c r="AV725" t="s">
        <v>56</v>
      </c>
      <c r="AW725" t="s">
        <v>56</v>
      </c>
      <c r="AX725">
        <v>4</v>
      </c>
    </row>
    <row r="726" spans="1:50" x14ac:dyDescent="0.25">
      <c r="A726" t="str">
        <f>"20200129132017127619"</f>
        <v>20200129132017127619</v>
      </c>
      <c r="B726" t="s">
        <v>72</v>
      </c>
      <c r="C726" t="s">
        <v>72</v>
      </c>
      <c r="D726" t="s">
        <v>3348</v>
      </c>
      <c r="E726" t="str">
        <f>"086380074501"</f>
        <v>086380074501</v>
      </c>
      <c r="F726" t="s">
        <v>52</v>
      </c>
      <c r="G726">
        <v>900080150</v>
      </c>
      <c r="H726" t="s">
        <v>246</v>
      </c>
      <c r="I726" t="s">
        <v>247</v>
      </c>
      <c r="J726">
        <v>8783805</v>
      </c>
      <c r="K726" t="s">
        <v>54</v>
      </c>
      <c r="L726">
        <v>32831753</v>
      </c>
      <c r="M726" t="s">
        <v>248</v>
      </c>
      <c r="N726" t="s">
        <v>205</v>
      </c>
      <c r="O726" t="s">
        <v>134</v>
      </c>
      <c r="P726" t="s">
        <v>249</v>
      </c>
      <c r="Q726">
        <v>231539</v>
      </c>
      <c r="R726" t="s">
        <v>54</v>
      </c>
      <c r="S726">
        <v>841694</v>
      </c>
      <c r="T726" t="s">
        <v>1841</v>
      </c>
      <c r="U726" t="s">
        <v>128</v>
      </c>
      <c r="V726" t="s">
        <v>568</v>
      </c>
      <c r="W726" t="s">
        <v>3349</v>
      </c>
      <c r="X726" t="s">
        <v>254</v>
      </c>
      <c r="Y726" t="s">
        <v>121</v>
      </c>
      <c r="Z726">
        <v>12</v>
      </c>
      <c r="AA726" t="s">
        <v>65</v>
      </c>
      <c r="AB726" t="s">
        <v>56</v>
      </c>
      <c r="AC726" t="s">
        <v>56</v>
      </c>
      <c r="AD726">
        <v>0</v>
      </c>
      <c r="AE726" t="s">
        <v>66</v>
      </c>
      <c r="AF726" t="s">
        <v>56</v>
      </c>
      <c r="AG726" t="s">
        <v>56</v>
      </c>
      <c r="AH726" t="s">
        <v>56</v>
      </c>
      <c r="AI726" t="s">
        <v>56</v>
      </c>
      <c r="AJ726" t="s">
        <v>255</v>
      </c>
      <c r="AK726" t="s">
        <v>256</v>
      </c>
      <c r="AL726" t="s">
        <v>56</v>
      </c>
      <c r="AM726" t="s">
        <v>56</v>
      </c>
      <c r="AN726" t="s">
        <v>56</v>
      </c>
      <c r="AO726" t="s">
        <v>56</v>
      </c>
      <c r="AP726" t="s">
        <v>56</v>
      </c>
      <c r="AQ726" t="s">
        <v>71</v>
      </c>
      <c r="AR726" t="s">
        <v>56</v>
      </c>
      <c r="AS726" t="s">
        <v>56</v>
      </c>
      <c r="AT726" t="s">
        <v>56</v>
      </c>
      <c r="AU726" t="s">
        <v>56</v>
      </c>
      <c r="AV726" t="s">
        <v>56</v>
      </c>
      <c r="AW726" t="s">
        <v>56</v>
      </c>
      <c r="AX726">
        <v>4</v>
      </c>
    </row>
    <row r="727" spans="1:50" x14ac:dyDescent="0.25">
      <c r="A727" t="str">
        <f>"20200127185017048383"</f>
        <v>20200127185017048383</v>
      </c>
      <c r="B727" t="s">
        <v>190</v>
      </c>
      <c r="C727" t="s">
        <v>190</v>
      </c>
      <c r="D727" t="s">
        <v>3350</v>
      </c>
      <c r="E727" t="str">
        <f>"700010111401"</f>
        <v>700010111401</v>
      </c>
      <c r="F727" t="s">
        <v>52</v>
      </c>
      <c r="G727">
        <v>900217343</v>
      </c>
      <c r="H727">
        <v>70001</v>
      </c>
      <c r="I727" t="s">
        <v>885</v>
      </c>
      <c r="J727">
        <v>2714280</v>
      </c>
      <c r="K727" t="s">
        <v>54</v>
      </c>
      <c r="L727">
        <v>55231988</v>
      </c>
      <c r="M727" t="s">
        <v>886</v>
      </c>
      <c r="N727" t="s">
        <v>56</v>
      </c>
      <c r="O727" t="s">
        <v>193</v>
      </c>
      <c r="P727" t="s">
        <v>805</v>
      </c>
      <c r="Q727">
        <v>161322009</v>
      </c>
      <c r="R727" t="s">
        <v>54</v>
      </c>
      <c r="S727">
        <v>92277158</v>
      </c>
      <c r="T727" t="s">
        <v>3351</v>
      </c>
      <c r="U727" t="s">
        <v>94</v>
      </c>
      <c r="V727" t="s">
        <v>1461</v>
      </c>
      <c r="W727" t="s">
        <v>3352</v>
      </c>
      <c r="X727" t="s">
        <v>1542</v>
      </c>
      <c r="Y727" t="s">
        <v>330</v>
      </c>
      <c r="Z727">
        <v>12</v>
      </c>
      <c r="AA727" t="s">
        <v>65</v>
      </c>
      <c r="AB727" t="s">
        <v>56</v>
      </c>
      <c r="AC727" t="s">
        <v>56</v>
      </c>
      <c r="AD727">
        <v>0</v>
      </c>
      <c r="AE727" t="s">
        <v>66</v>
      </c>
      <c r="AF727" t="s">
        <v>56</v>
      </c>
      <c r="AG727" t="s">
        <v>56</v>
      </c>
      <c r="AH727" t="s">
        <v>56</v>
      </c>
      <c r="AI727" t="s">
        <v>56</v>
      </c>
      <c r="AJ727" t="s">
        <v>536</v>
      </c>
      <c r="AK727" t="s">
        <v>537</v>
      </c>
      <c r="AL727" t="s">
        <v>56</v>
      </c>
      <c r="AM727" t="s">
        <v>56</v>
      </c>
      <c r="AN727" t="s">
        <v>56</v>
      </c>
      <c r="AO727" t="s">
        <v>56</v>
      </c>
      <c r="AP727" t="s">
        <v>56</v>
      </c>
      <c r="AQ727" t="s">
        <v>71</v>
      </c>
      <c r="AR727" t="s">
        <v>56</v>
      </c>
      <c r="AS727" t="s">
        <v>56</v>
      </c>
      <c r="AT727" t="s">
        <v>56</v>
      </c>
      <c r="AU727" t="s">
        <v>56</v>
      </c>
      <c r="AV727" t="s">
        <v>56</v>
      </c>
      <c r="AW727" t="s">
        <v>56</v>
      </c>
      <c r="AX727">
        <v>4</v>
      </c>
    </row>
    <row r="728" spans="1:50" x14ac:dyDescent="0.25">
      <c r="A728" t="str">
        <f>"20200128197017087872"</f>
        <v>20200128197017087872</v>
      </c>
      <c r="B728" t="s">
        <v>151</v>
      </c>
      <c r="C728" t="s">
        <v>151</v>
      </c>
      <c r="D728" t="s">
        <v>3353</v>
      </c>
      <c r="E728" t="str">
        <f>"660010211101"</f>
        <v>660010211101</v>
      </c>
      <c r="F728" t="s">
        <v>52</v>
      </c>
      <c r="G728">
        <v>900743259</v>
      </c>
      <c r="H728">
        <v>66001</v>
      </c>
      <c r="I728" t="s">
        <v>1405</v>
      </c>
      <c r="J728" t="s">
        <v>1406</v>
      </c>
      <c r="K728" t="s">
        <v>338</v>
      </c>
      <c r="L728">
        <v>515709</v>
      </c>
      <c r="M728" t="s">
        <v>2614</v>
      </c>
      <c r="N728" t="s">
        <v>791</v>
      </c>
      <c r="O728" t="s">
        <v>403</v>
      </c>
      <c r="P728" t="s">
        <v>2615</v>
      </c>
      <c r="Q728">
        <v>251544</v>
      </c>
      <c r="R728" t="s">
        <v>54</v>
      </c>
      <c r="S728">
        <v>29393257</v>
      </c>
      <c r="T728" t="s">
        <v>504</v>
      </c>
      <c r="U728" t="s">
        <v>3354</v>
      </c>
      <c r="V728" t="s">
        <v>2902</v>
      </c>
      <c r="W728" t="s">
        <v>533</v>
      </c>
      <c r="X728" t="s">
        <v>277</v>
      </c>
      <c r="Y728" t="s">
        <v>64</v>
      </c>
      <c r="Z728">
        <v>12</v>
      </c>
      <c r="AA728" t="s">
        <v>65</v>
      </c>
      <c r="AB728" t="s">
        <v>56</v>
      </c>
      <c r="AC728" t="s">
        <v>56</v>
      </c>
      <c r="AD728">
        <v>0</v>
      </c>
      <c r="AE728" t="s">
        <v>66</v>
      </c>
      <c r="AF728" t="s">
        <v>56</v>
      </c>
      <c r="AG728" t="s">
        <v>56</v>
      </c>
      <c r="AH728" t="s">
        <v>56</v>
      </c>
      <c r="AI728" t="s">
        <v>56</v>
      </c>
      <c r="AJ728" t="s">
        <v>536</v>
      </c>
      <c r="AK728" t="s">
        <v>537</v>
      </c>
      <c r="AL728" t="s">
        <v>56</v>
      </c>
      <c r="AM728" t="s">
        <v>56</v>
      </c>
      <c r="AN728" t="s">
        <v>56</v>
      </c>
      <c r="AO728" t="s">
        <v>56</v>
      </c>
      <c r="AP728" t="s">
        <v>56</v>
      </c>
      <c r="AQ728" t="s">
        <v>71</v>
      </c>
      <c r="AR728" t="s">
        <v>56</v>
      </c>
      <c r="AS728" t="s">
        <v>56</v>
      </c>
      <c r="AT728" t="s">
        <v>56</v>
      </c>
      <c r="AU728" t="s">
        <v>56</v>
      </c>
      <c r="AV728" t="s">
        <v>56</v>
      </c>
      <c r="AW728" t="s">
        <v>56</v>
      </c>
      <c r="AX728">
        <v>4</v>
      </c>
    </row>
    <row r="729" spans="1:50" x14ac:dyDescent="0.25">
      <c r="A729" t="str">
        <f>"20200126129017038122"</f>
        <v>20200126129017038122</v>
      </c>
      <c r="B729" t="s">
        <v>244</v>
      </c>
      <c r="C729" t="s">
        <v>244</v>
      </c>
      <c r="D729" t="s">
        <v>3355</v>
      </c>
      <c r="E729" t="str">
        <f>"760010360901"</f>
        <v>760010360901</v>
      </c>
      <c r="F729" t="s">
        <v>52</v>
      </c>
      <c r="G729">
        <v>890304155</v>
      </c>
      <c r="H729">
        <v>76001</v>
      </c>
      <c r="I729" t="s">
        <v>3356</v>
      </c>
      <c r="J729" t="s">
        <v>56</v>
      </c>
      <c r="K729" t="s">
        <v>54</v>
      </c>
      <c r="L729">
        <v>94476774</v>
      </c>
      <c r="M729" t="s">
        <v>107</v>
      </c>
      <c r="N729" t="s">
        <v>757</v>
      </c>
      <c r="O729" t="s">
        <v>2882</v>
      </c>
      <c r="P729" t="s">
        <v>402</v>
      </c>
      <c r="Q729">
        <v>94476774</v>
      </c>
      <c r="R729" t="s">
        <v>54</v>
      </c>
      <c r="S729">
        <v>16212657</v>
      </c>
      <c r="T729" t="s">
        <v>291</v>
      </c>
      <c r="U729" t="s">
        <v>261</v>
      </c>
      <c r="V729" t="s">
        <v>1848</v>
      </c>
      <c r="W729" t="s">
        <v>711</v>
      </c>
      <c r="X729" t="s">
        <v>277</v>
      </c>
      <c r="Y729" t="s">
        <v>64</v>
      </c>
      <c r="Z729">
        <v>22</v>
      </c>
      <c r="AA729" t="s">
        <v>102</v>
      </c>
      <c r="AB729">
        <v>0</v>
      </c>
      <c r="AC729" t="s">
        <v>66</v>
      </c>
      <c r="AD729">
        <v>0</v>
      </c>
      <c r="AE729" t="s">
        <v>66</v>
      </c>
      <c r="AF729" t="s">
        <v>56</v>
      </c>
      <c r="AG729" t="s">
        <v>56</v>
      </c>
      <c r="AH729" t="s">
        <v>56</v>
      </c>
      <c r="AI729" t="s">
        <v>56</v>
      </c>
      <c r="AJ729" t="s">
        <v>940</v>
      </c>
      <c r="AK729" t="s">
        <v>941</v>
      </c>
      <c r="AL729" t="s">
        <v>56</v>
      </c>
      <c r="AM729" t="s">
        <v>56</v>
      </c>
      <c r="AN729" t="s">
        <v>56</v>
      </c>
      <c r="AO729" t="s">
        <v>56</v>
      </c>
      <c r="AP729" t="s">
        <v>56</v>
      </c>
      <c r="AQ729" t="s">
        <v>71</v>
      </c>
      <c r="AR729" t="s">
        <v>56</v>
      </c>
      <c r="AS729" t="s">
        <v>56</v>
      </c>
      <c r="AT729" t="s">
        <v>56</v>
      </c>
      <c r="AU729" t="s">
        <v>56</v>
      </c>
      <c r="AV729" t="s">
        <v>56</v>
      </c>
      <c r="AW729" t="s">
        <v>56</v>
      </c>
      <c r="AX729">
        <v>4</v>
      </c>
    </row>
    <row r="730" spans="1:50" x14ac:dyDescent="0.25">
      <c r="A730" t="str">
        <f>"20200131110017174150"</f>
        <v>20200131110017174150</v>
      </c>
      <c r="B730" t="s">
        <v>110</v>
      </c>
      <c r="C730" t="s">
        <v>110</v>
      </c>
      <c r="D730" t="s">
        <v>2509</v>
      </c>
      <c r="E730" t="str">
        <f>"472450060501"</f>
        <v>472450060501</v>
      </c>
      <c r="F730" t="s">
        <v>52</v>
      </c>
      <c r="G730">
        <v>819003863</v>
      </c>
      <c r="H730">
        <v>47245</v>
      </c>
      <c r="I730" t="s">
        <v>3357</v>
      </c>
      <c r="J730">
        <v>4292805</v>
      </c>
      <c r="K730" t="s">
        <v>54</v>
      </c>
      <c r="L730">
        <v>5152966</v>
      </c>
      <c r="M730" t="s">
        <v>897</v>
      </c>
      <c r="N730" t="s">
        <v>291</v>
      </c>
      <c r="O730" t="s">
        <v>1922</v>
      </c>
      <c r="P730" t="s">
        <v>425</v>
      </c>
      <c r="Q730" t="s">
        <v>3358</v>
      </c>
      <c r="R730" t="s">
        <v>54</v>
      </c>
      <c r="S730">
        <v>8665621</v>
      </c>
      <c r="T730" t="s">
        <v>192</v>
      </c>
      <c r="U730" t="s">
        <v>94</v>
      </c>
      <c r="V730" t="s">
        <v>1587</v>
      </c>
      <c r="W730" t="s">
        <v>560</v>
      </c>
      <c r="X730" t="s">
        <v>2752</v>
      </c>
      <c r="Y730" t="s">
        <v>101</v>
      </c>
      <c r="Z730">
        <v>12</v>
      </c>
      <c r="AA730" t="s">
        <v>65</v>
      </c>
      <c r="AB730" t="s">
        <v>56</v>
      </c>
      <c r="AC730" t="s">
        <v>56</v>
      </c>
      <c r="AD730">
        <v>0</v>
      </c>
      <c r="AE730" t="s">
        <v>66</v>
      </c>
      <c r="AF730" t="s">
        <v>56</v>
      </c>
      <c r="AG730" t="s">
        <v>56</v>
      </c>
      <c r="AH730" t="s">
        <v>56</v>
      </c>
      <c r="AI730" t="s">
        <v>56</v>
      </c>
      <c r="AJ730" t="s">
        <v>3359</v>
      </c>
      <c r="AK730" t="s">
        <v>3360</v>
      </c>
      <c r="AL730" t="s">
        <v>215</v>
      </c>
      <c r="AM730" t="s">
        <v>216</v>
      </c>
      <c r="AN730" t="s">
        <v>56</v>
      </c>
      <c r="AO730" t="s">
        <v>56</v>
      </c>
      <c r="AP730" t="s">
        <v>56</v>
      </c>
      <c r="AQ730" t="s">
        <v>71</v>
      </c>
      <c r="AR730" t="s">
        <v>56</v>
      </c>
      <c r="AS730" t="s">
        <v>56</v>
      </c>
      <c r="AT730" t="s">
        <v>56</v>
      </c>
      <c r="AU730" t="s">
        <v>56</v>
      </c>
      <c r="AV730" t="s">
        <v>56</v>
      </c>
      <c r="AW730" t="s">
        <v>56</v>
      </c>
      <c r="AX730">
        <v>4</v>
      </c>
    </row>
    <row r="731" spans="1:50" x14ac:dyDescent="0.25">
      <c r="A731" t="str">
        <f>"20200131123017166551"</f>
        <v>20200131123017166551</v>
      </c>
      <c r="B731" t="s">
        <v>110</v>
      </c>
      <c r="C731" t="s">
        <v>110</v>
      </c>
      <c r="D731" t="s">
        <v>3361</v>
      </c>
      <c r="E731" t="str">
        <f>"470580002301"</f>
        <v>470580002301</v>
      </c>
      <c r="F731" t="s">
        <v>52</v>
      </c>
      <c r="G731">
        <v>819001107</v>
      </c>
      <c r="H731">
        <v>47058</v>
      </c>
      <c r="I731" t="s">
        <v>626</v>
      </c>
      <c r="J731">
        <v>4258152</v>
      </c>
      <c r="K731" t="s">
        <v>54</v>
      </c>
      <c r="L731">
        <v>22585117</v>
      </c>
      <c r="M731" t="s">
        <v>577</v>
      </c>
      <c r="N731" t="s">
        <v>627</v>
      </c>
      <c r="O731" t="s">
        <v>194</v>
      </c>
      <c r="P731" t="s">
        <v>517</v>
      </c>
      <c r="Q731">
        <v>472587</v>
      </c>
      <c r="R731" t="s">
        <v>54</v>
      </c>
      <c r="S731">
        <v>12598808</v>
      </c>
      <c r="T731" t="s">
        <v>1928</v>
      </c>
      <c r="U731" t="s">
        <v>164</v>
      </c>
      <c r="V731" t="s">
        <v>1878</v>
      </c>
      <c r="W731" t="s">
        <v>376</v>
      </c>
      <c r="X731" t="s">
        <v>344</v>
      </c>
      <c r="Y731" t="s">
        <v>345</v>
      </c>
      <c r="Z731">
        <v>11</v>
      </c>
      <c r="AA731" t="s">
        <v>87</v>
      </c>
      <c r="AB731" t="s">
        <v>56</v>
      </c>
      <c r="AC731" t="s">
        <v>56</v>
      </c>
      <c r="AD731">
        <v>0</v>
      </c>
      <c r="AE731" t="s">
        <v>66</v>
      </c>
      <c r="AF731" t="s">
        <v>56</v>
      </c>
      <c r="AG731" t="s">
        <v>56</v>
      </c>
      <c r="AH731" t="s">
        <v>56</v>
      </c>
      <c r="AI731" t="s">
        <v>56</v>
      </c>
      <c r="AJ731" t="s">
        <v>331</v>
      </c>
      <c r="AK731" t="s">
        <v>332</v>
      </c>
      <c r="AL731" t="s">
        <v>56</v>
      </c>
      <c r="AM731" t="s">
        <v>56</v>
      </c>
      <c r="AN731" t="s">
        <v>56</v>
      </c>
      <c r="AO731" t="s">
        <v>56</v>
      </c>
      <c r="AP731" t="s">
        <v>56</v>
      </c>
      <c r="AQ731" t="s">
        <v>71</v>
      </c>
      <c r="AR731" t="s">
        <v>56</v>
      </c>
      <c r="AS731" t="s">
        <v>56</v>
      </c>
      <c r="AT731" t="s">
        <v>56</v>
      </c>
      <c r="AU731" t="s">
        <v>56</v>
      </c>
      <c r="AV731" t="s">
        <v>56</v>
      </c>
      <c r="AW731" t="s">
        <v>56</v>
      </c>
      <c r="AX731">
        <v>4</v>
      </c>
    </row>
    <row r="732" spans="1:50" x14ac:dyDescent="0.25">
      <c r="A732" t="str">
        <f>"20200128100017084367"</f>
        <v>20200128100017084367</v>
      </c>
      <c r="B732" t="s">
        <v>151</v>
      </c>
      <c r="C732" t="s">
        <v>151</v>
      </c>
      <c r="D732" t="s">
        <v>3362</v>
      </c>
      <c r="E732" t="str">
        <f>"660010178901"</f>
        <v>660010178901</v>
      </c>
      <c r="F732" t="s">
        <v>52</v>
      </c>
      <c r="G732">
        <v>900526028</v>
      </c>
      <c r="H732">
        <v>66001</v>
      </c>
      <c r="I732" t="s">
        <v>3363</v>
      </c>
      <c r="J732">
        <v>3344090</v>
      </c>
      <c r="K732" t="s">
        <v>54</v>
      </c>
      <c r="L732">
        <v>10234203</v>
      </c>
      <c r="M732" t="s">
        <v>94</v>
      </c>
      <c r="N732" t="s">
        <v>282</v>
      </c>
      <c r="O732" t="s">
        <v>3364</v>
      </c>
      <c r="P732" t="s">
        <v>260</v>
      </c>
      <c r="Q732">
        <v>15347</v>
      </c>
      <c r="R732" t="s">
        <v>54</v>
      </c>
      <c r="S732">
        <v>40626608</v>
      </c>
      <c r="T732" t="s">
        <v>117</v>
      </c>
      <c r="U732" t="s">
        <v>3365</v>
      </c>
      <c r="V732" t="s">
        <v>3280</v>
      </c>
      <c r="W732" t="s">
        <v>405</v>
      </c>
      <c r="X732" t="s">
        <v>277</v>
      </c>
      <c r="Y732" t="s">
        <v>64</v>
      </c>
      <c r="Z732">
        <v>12</v>
      </c>
      <c r="AA732" t="s">
        <v>65</v>
      </c>
      <c r="AB732" t="s">
        <v>56</v>
      </c>
      <c r="AC732" t="s">
        <v>56</v>
      </c>
      <c r="AD732">
        <v>0</v>
      </c>
      <c r="AE732" t="s">
        <v>66</v>
      </c>
      <c r="AF732" t="s">
        <v>56</v>
      </c>
      <c r="AG732" t="s">
        <v>56</v>
      </c>
      <c r="AH732" t="s">
        <v>56</v>
      </c>
      <c r="AI732" t="s">
        <v>56</v>
      </c>
      <c r="AJ732" t="s">
        <v>3366</v>
      </c>
      <c r="AK732" t="s">
        <v>3367</v>
      </c>
      <c r="AL732" t="s">
        <v>395</v>
      </c>
      <c r="AM732" t="s">
        <v>396</v>
      </c>
      <c r="AN732" t="s">
        <v>56</v>
      </c>
      <c r="AO732" t="s">
        <v>56</v>
      </c>
      <c r="AP732" t="s">
        <v>56</v>
      </c>
      <c r="AQ732" t="s">
        <v>71</v>
      </c>
      <c r="AR732" t="s">
        <v>56</v>
      </c>
      <c r="AS732" t="s">
        <v>56</v>
      </c>
      <c r="AT732" t="s">
        <v>56</v>
      </c>
      <c r="AU732" t="s">
        <v>56</v>
      </c>
      <c r="AV732" t="s">
        <v>56</v>
      </c>
      <c r="AW732" t="s">
        <v>56</v>
      </c>
      <c r="AX732">
        <v>4</v>
      </c>
    </row>
    <row r="733" spans="1:50" x14ac:dyDescent="0.25">
      <c r="A733" t="str">
        <f>"20200124182017010388"</f>
        <v>20200124182017010388</v>
      </c>
      <c r="B733" t="s">
        <v>201</v>
      </c>
      <c r="C733" t="s">
        <v>201</v>
      </c>
      <c r="D733" t="s">
        <v>3368</v>
      </c>
      <c r="E733" t="str">
        <f>"761470681501"</f>
        <v>761470681501</v>
      </c>
      <c r="F733" t="s">
        <v>52</v>
      </c>
      <c r="G733">
        <v>830515000</v>
      </c>
      <c r="H733">
        <v>76147</v>
      </c>
      <c r="I733" t="s">
        <v>1217</v>
      </c>
      <c r="J733">
        <v>2145150</v>
      </c>
      <c r="K733" t="s">
        <v>54</v>
      </c>
      <c r="L733">
        <v>16231597</v>
      </c>
      <c r="M733" t="s">
        <v>1218</v>
      </c>
      <c r="N733" t="s">
        <v>1219</v>
      </c>
      <c r="O733" t="s">
        <v>1220</v>
      </c>
      <c r="P733" t="s">
        <v>1221</v>
      </c>
      <c r="Q733">
        <v>76257504</v>
      </c>
      <c r="R733" t="s">
        <v>54</v>
      </c>
      <c r="S733">
        <v>1382172</v>
      </c>
      <c r="T733" t="s">
        <v>76</v>
      </c>
      <c r="U733" t="s">
        <v>3369</v>
      </c>
      <c r="V733" t="s">
        <v>249</v>
      </c>
      <c r="W733" t="s">
        <v>109</v>
      </c>
      <c r="X733" t="s">
        <v>573</v>
      </c>
      <c r="Y733" t="s">
        <v>64</v>
      </c>
      <c r="Z733">
        <v>12</v>
      </c>
      <c r="AA733" t="s">
        <v>65</v>
      </c>
      <c r="AB733" t="s">
        <v>56</v>
      </c>
      <c r="AC733" t="s">
        <v>56</v>
      </c>
      <c r="AD733">
        <v>0</v>
      </c>
      <c r="AE733" t="s">
        <v>66</v>
      </c>
      <c r="AF733" t="s">
        <v>56</v>
      </c>
      <c r="AG733" t="s">
        <v>56</v>
      </c>
      <c r="AH733" t="s">
        <v>56</v>
      </c>
      <c r="AI733" t="s">
        <v>56</v>
      </c>
      <c r="AJ733" t="s">
        <v>669</v>
      </c>
      <c r="AK733" t="s">
        <v>670</v>
      </c>
      <c r="AL733" t="s">
        <v>56</v>
      </c>
      <c r="AM733" t="s">
        <v>56</v>
      </c>
      <c r="AN733" t="s">
        <v>56</v>
      </c>
      <c r="AO733" t="s">
        <v>56</v>
      </c>
      <c r="AP733" t="s">
        <v>56</v>
      </c>
      <c r="AQ733" t="s">
        <v>71</v>
      </c>
      <c r="AR733" t="s">
        <v>56</v>
      </c>
      <c r="AS733" t="s">
        <v>56</v>
      </c>
      <c r="AT733" t="s">
        <v>56</v>
      </c>
      <c r="AU733" t="s">
        <v>56</v>
      </c>
      <c r="AV733" t="s">
        <v>56</v>
      </c>
      <c r="AW733" t="s">
        <v>56</v>
      </c>
      <c r="AX733">
        <v>4</v>
      </c>
    </row>
    <row r="734" spans="1:50" x14ac:dyDescent="0.25">
      <c r="A734" t="str">
        <f>"20200130126017140781"</f>
        <v>20200130126017140781</v>
      </c>
      <c r="B734" t="s">
        <v>124</v>
      </c>
      <c r="C734" t="s">
        <v>124</v>
      </c>
      <c r="D734" t="s">
        <v>3370</v>
      </c>
      <c r="E734" t="str">
        <f>"200010038901"</f>
        <v>200010038901</v>
      </c>
      <c r="F734" t="s">
        <v>52</v>
      </c>
      <c r="G734">
        <v>824004867</v>
      </c>
      <c r="H734">
        <v>20001</v>
      </c>
      <c r="I734" t="s">
        <v>1232</v>
      </c>
      <c r="J734" t="s">
        <v>1233</v>
      </c>
      <c r="K734" t="s">
        <v>54</v>
      </c>
      <c r="L734">
        <v>73009095</v>
      </c>
      <c r="M734" t="s">
        <v>127</v>
      </c>
      <c r="N734" t="s">
        <v>1012</v>
      </c>
      <c r="O734" t="s">
        <v>364</v>
      </c>
      <c r="P734" t="s">
        <v>1234</v>
      </c>
      <c r="Q734">
        <v>73009095</v>
      </c>
      <c r="R734" t="s">
        <v>54</v>
      </c>
      <c r="S734">
        <v>77032170</v>
      </c>
      <c r="T734" t="s">
        <v>1549</v>
      </c>
      <c r="U734" t="s">
        <v>272</v>
      </c>
      <c r="V734" t="s">
        <v>1221</v>
      </c>
      <c r="W734" t="s">
        <v>1221</v>
      </c>
      <c r="X734" t="s">
        <v>462</v>
      </c>
      <c r="Y734" t="s">
        <v>86</v>
      </c>
      <c r="Z734">
        <v>12</v>
      </c>
      <c r="AA734" t="s">
        <v>65</v>
      </c>
      <c r="AB734" t="s">
        <v>56</v>
      </c>
      <c r="AC734" t="s">
        <v>56</v>
      </c>
      <c r="AD734">
        <v>0</v>
      </c>
      <c r="AE734" t="s">
        <v>66</v>
      </c>
      <c r="AF734" t="s">
        <v>56</v>
      </c>
      <c r="AG734" t="s">
        <v>56</v>
      </c>
      <c r="AH734" t="s">
        <v>56</v>
      </c>
      <c r="AI734" t="s">
        <v>56</v>
      </c>
      <c r="AJ734" t="s">
        <v>536</v>
      </c>
      <c r="AK734" t="s">
        <v>537</v>
      </c>
      <c r="AL734" t="s">
        <v>56</v>
      </c>
      <c r="AM734" t="s">
        <v>56</v>
      </c>
      <c r="AN734" t="s">
        <v>56</v>
      </c>
      <c r="AO734" t="s">
        <v>56</v>
      </c>
      <c r="AP734" t="s">
        <v>56</v>
      </c>
      <c r="AQ734" t="s">
        <v>71</v>
      </c>
      <c r="AR734" t="s">
        <v>56</v>
      </c>
      <c r="AS734" t="s">
        <v>56</v>
      </c>
      <c r="AT734" t="s">
        <v>56</v>
      </c>
      <c r="AU734" t="s">
        <v>56</v>
      </c>
      <c r="AV734" t="s">
        <v>56</v>
      </c>
      <c r="AW734" t="s">
        <v>56</v>
      </c>
      <c r="AX734">
        <v>4</v>
      </c>
    </row>
    <row r="735" spans="1:50" x14ac:dyDescent="0.25">
      <c r="A735" t="str">
        <f>"20200124176017006588"</f>
        <v>20200124176017006588</v>
      </c>
      <c r="B735" t="s">
        <v>201</v>
      </c>
      <c r="C735" t="s">
        <v>201</v>
      </c>
      <c r="D735" t="s">
        <v>3371</v>
      </c>
      <c r="E735" t="str">
        <f>"087580001301"</f>
        <v>087580001301</v>
      </c>
      <c r="F735" t="s">
        <v>52</v>
      </c>
      <c r="G735">
        <v>890112801</v>
      </c>
      <c r="H735" t="s">
        <v>74</v>
      </c>
      <c r="I735" t="s">
        <v>75</v>
      </c>
      <c r="J735">
        <v>3715562</v>
      </c>
      <c r="K735" t="s">
        <v>54</v>
      </c>
      <c r="L735">
        <v>72345557</v>
      </c>
      <c r="M735" t="s">
        <v>76</v>
      </c>
      <c r="N735" t="s">
        <v>77</v>
      </c>
      <c r="O735" t="s">
        <v>78</v>
      </c>
      <c r="P735" t="s">
        <v>79</v>
      </c>
      <c r="Q735" t="s">
        <v>80</v>
      </c>
      <c r="R735" t="s">
        <v>54</v>
      </c>
      <c r="S735">
        <v>3768406</v>
      </c>
      <c r="T735" t="s">
        <v>2095</v>
      </c>
      <c r="U735" t="s">
        <v>76</v>
      </c>
      <c r="V735" t="s">
        <v>3372</v>
      </c>
      <c r="W735" t="s">
        <v>220</v>
      </c>
      <c r="X735" t="s">
        <v>299</v>
      </c>
      <c r="Y735" t="s">
        <v>121</v>
      </c>
      <c r="Z735">
        <v>22</v>
      </c>
      <c r="AA735" t="s">
        <v>102</v>
      </c>
      <c r="AB735">
        <v>0</v>
      </c>
      <c r="AC735" t="s">
        <v>66</v>
      </c>
      <c r="AD735">
        <v>0</v>
      </c>
      <c r="AE735" t="s">
        <v>66</v>
      </c>
      <c r="AF735" t="s">
        <v>56</v>
      </c>
      <c r="AG735" t="s">
        <v>56</v>
      </c>
      <c r="AH735" t="s">
        <v>56</v>
      </c>
      <c r="AI735" t="s">
        <v>56</v>
      </c>
      <c r="AJ735" t="s">
        <v>88</v>
      </c>
      <c r="AK735" t="s">
        <v>89</v>
      </c>
      <c r="AL735" t="s">
        <v>56</v>
      </c>
      <c r="AM735" t="s">
        <v>56</v>
      </c>
      <c r="AN735" t="s">
        <v>56</v>
      </c>
      <c r="AO735" t="s">
        <v>56</v>
      </c>
      <c r="AP735" t="s">
        <v>56</v>
      </c>
      <c r="AQ735" t="s">
        <v>71</v>
      </c>
      <c r="AR735" t="s">
        <v>56</v>
      </c>
      <c r="AS735" t="s">
        <v>56</v>
      </c>
      <c r="AT735" t="s">
        <v>56</v>
      </c>
      <c r="AU735" t="s">
        <v>56</v>
      </c>
      <c r="AV735" t="s">
        <v>56</v>
      </c>
      <c r="AW735" t="s">
        <v>56</v>
      </c>
      <c r="AX735">
        <v>4</v>
      </c>
    </row>
    <row r="736" spans="1:50" x14ac:dyDescent="0.25">
      <c r="A736" t="str">
        <f>"20200129144017111075"</f>
        <v>20200129144017111075</v>
      </c>
      <c r="B736" t="s">
        <v>72</v>
      </c>
      <c r="C736" t="s">
        <v>72</v>
      </c>
      <c r="D736" t="s">
        <v>3373</v>
      </c>
      <c r="E736" t="str">
        <f>"087580001301"</f>
        <v>087580001301</v>
      </c>
      <c r="F736" t="s">
        <v>52</v>
      </c>
      <c r="G736">
        <v>890112801</v>
      </c>
      <c r="H736" t="s">
        <v>74</v>
      </c>
      <c r="I736" t="s">
        <v>75</v>
      </c>
      <c r="J736">
        <v>3715562</v>
      </c>
      <c r="K736" t="s">
        <v>54</v>
      </c>
      <c r="L736">
        <v>72292042</v>
      </c>
      <c r="M736" t="s">
        <v>219</v>
      </c>
      <c r="N736" t="s">
        <v>76</v>
      </c>
      <c r="O736" t="s">
        <v>324</v>
      </c>
      <c r="P736" t="s">
        <v>412</v>
      </c>
      <c r="Q736">
        <v>72292042</v>
      </c>
      <c r="R736" t="s">
        <v>54</v>
      </c>
      <c r="S736">
        <v>3768406</v>
      </c>
      <c r="T736" t="s">
        <v>2095</v>
      </c>
      <c r="U736" t="s">
        <v>76</v>
      </c>
      <c r="V736" t="s">
        <v>3372</v>
      </c>
      <c r="W736" t="s">
        <v>220</v>
      </c>
      <c r="X736" t="s">
        <v>299</v>
      </c>
      <c r="Y736" t="s">
        <v>121</v>
      </c>
      <c r="Z736">
        <v>11</v>
      </c>
      <c r="AA736" t="s">
        <v>87</v>
      </c>
      <c r="AB736" t="s">
        <v>56</v>
      </c>
      <c r="AC736" t="s">
        <v>56</v>
      </c>
      <c r="AD736">
        <v>0</v>
      </c>
      <c r="AE736" t="s">
        <v>66</v>
      </c>
      <c r="AF736" t="s">
        <v>56</v>
      </c>
      <c r="AG736" t="s">
        <v>56</v>
      </c>
      <c r="AH736" t="s">
        <v>56</v>
      </c>
      <c r="AI736" t="s">
        <v>56</v>
      </c>
      <c r="AJ736" t="s">
        <v>88</v>
      </c>
      <c r="AK736" t="s">
        <v>89</v>
      </c>
      <c r="AL736" t="s">
        <v>56</v>
      </c>
      <c r="AM736" t="s">
        <v>56</v>
      </c>
      <c r="AN736" t="s">
        <v>56</v>
      </c>
      <c r="AO736" t="s">
        <v>56</v>
      </c>
      <c r="AP736" t="s">
        <v>56</v>
      </c>
      <c r="AQ736" t="s">
        <v>71</v>
      </c>
      <c r="AR736" t="s">
        <v>56</v>
      </c>
      <c r="AS736" t="s">
        <v>56</v>
      </c>
      <c r="AT736" t="s">
        <v>56</v>
      </c>
      <c r="AU736" t="s">
        <v>56</v>
      </c>
      <c r="AV736" t="s">
        <v>56</v>
      </c>
      <c r="AW736" t="s">
        <v>56</v>
      </c>
      <c r="AX736">
        <v>4</v>
      </c>
    </row>
    <row r="737" spans="1:50" x14ac:dyDescent="0.25">
      <c r="A737" t="str">
        <f>"20200129171017111311"</f>
        <v>20200129171017111311</v>
      </c>
      <c r="B737" t="s">
        <v>72</v>
      </c>
      <c r="C737" t="s">
        <v>72</v>
      </c>
      <c r="D737" t="s">
        <v>3374</v>
      </c>
      <c r="E737" t="str">
        <f>"087580001301"</f>
        <v>087580001301</v>
      </c>
      <c r="F737" t="s">
        <v>52</v>
      </c>
      <c r="G737">
        <v>890112801</v>
      </c>
      <c r="H737" t="s">
        <v>74</v>
      </c>
      <c r="I737" t="s">
        <v>75</v>
      </c>
      <c r="J737">
        <v>3715562</v>
      </c>
      <c r="K737" t="s">
        <v>54</v>
      </c>
      <c r="L737">
        <v>72292042</v>
      </c>
      <c r="M737" t="s">
        <v>219</v>
      </c>
      <c r="N737" t="s">
        <v>76</v>
      </c>
      <c r="O737" t="s">
        <v>324</v>
      </c>
      <c r="P737" t="s">
        <v>412</v>
      </c>
      <c r="Q737">
        <v>72292042</v>
      </c>
      <c r="R737" t="s">
        <v>54</v>
      </c>
      <c r="S737">
        <v>3768406</v>
      </c>
      <c r="T737" t="s">
        <v>2095</v>
      </c>
      <c r="U737" t="s">
        <v>76</v>
      </c>
      <c r="V737" t="s">
        <v>3372</v>
      </c>
      <c r="W737" t="s">
        <v>220</v>
      </c>
      <c r="X737" t="s">
        <v>299</v>
      </c>
      <c r="Y737" t="s">
        <v>121</v>
      </c>
      <c r="Z737">
        <v>11</v>
      </c>
      <c r="AA737" t="s">
        <v>87</v>
      </c>
      <c r="AB737" t="s">
        <v>56</v>
      </c>
      <c r="AC737" t="s">
        <v>56</v>
      </c>
      <c r="AD737">
        <v>0</v>
      </c>
      <c r="AE737" t="s">
        <v>66</v>
      </c>
      <c r="AF737" t="s">
        <v>56</v>
      </c>
      <c r="AG737" t="s">
        <v>56</v>
      </c>
      <c r="AH737" t="s">
        <v>56</v>
      </c>
      <c r="AI737" t="s">
        <v>56</v>
      </c>
      <c r="AJ737" t="s">
        <v>88</v>
      </c>
      <c r="AK737" t="s">
        <v>89</v>
      </c>
      <c r="AL737" t="s">
        <v>56</v>
      </c>
      <c r="AM737" t="s">
        <v>56</v>
      </c>
      <c r="AN737" t="s">
        <v>56</v>
      </c>
      <c r="AO737" t="s">
        <v>56</v>
      </c>
      <c r="AP737" t="s">
        <v>56</v>
      </c>
      <c r="AQ737" t="s">
        <v>71</v>
      </c>
      <c r="AR737" t="s">
        <v>56</v>
      </c>
      <c r="AS737" t="s">
        <v>56</v>
      </c>
      <c r="AT737" t="s">
        <v>56</v>
      </c>
      <c r="AU737" t="s">
        <v>56</v>
      </c>
      <c r="AV737" t="s">
        <v>56</v>
      </c>
      <c r="AW737" t="s">
        <v>56</v>
      </c>
      <c r="AX737">
        <v>4</v>
      </c>
    </row>
    <row r="738" spans="1:50" x14ac:dyDescent="0.25">
      <c r="A738" t="str">
        <f>"20200129182017111574"</f>
        <v>20200129182017111574</v>
      </c>
      <c r="B738" t="s">
        <v>72</v>
      </c>
      <c r="C738" t="s">
        <v>72</v>
      </c>
      <c r="D738" t="s">
        <v>3375</v>
      </c>
      <c r="E738" t="str">
        <f>"087580001301"</f>
        <v>087580001301</v>
      </c>
      <c r="F738" t="s">
        <v>52</v>
      </c>
      <c r="G738">
        <v>890112801</v>
      </c>
      <c r="H738" t="s">
        <v>74</v>
      </c>
      <c r="I738" t="s">
        <v>75</v>
      </c>
      <c r="J738">
        <v>3715562</v>
      </c>
      <c r="K738" t="s">
        <v>54</v>
      </c>
      <c r="L738">
        <v>72292042</v>
      </c>
      <c r="M738" t="s">
        <v>219</v>
      </c>
      <c r="N738" t="s">
        <v>76</v>
      </c>
      <c r="O738" t="s">
        <v>324</v>
      </c>
      <c r="P738" t="s">
        <v>412</v>
      </c>
      <c r="Q738">
        <v>72292042</v>
      </c>
      <c r="R738" t="s">
        <v>54</v>
      </c>
      <c r="S738">
        <v>3768406</v>
      </c>
      <c r="T738" t="s">
        <v>2095</v>
      </c>
      <c r="U738" t="s">
        <v>76</v>
      </c>
      <c r="V738" t="s">
        <v>3372</v>
      </c>
      <c r="W738" t="s">
        <v>220</v>
      </c>
      <c r="X738" t="s">
        <v>299</v>
      </c>
      <c r="Y738" t="s">
        <v>121</v>
      </c>
      <c r="Z738">
        <v>11</v>
      </c>
      <c r="AA738" t="s">
        <v>87</v>
      </c>
      <c r="AB738" t="s">
        <v>56</v>
      </c>
      <c r="AC738" t="s">
        <v>56</v>
      </c>
      <c r="AD738">
        <v>0</v>
      </c>
      <c r="AE738" t="s">
        <v>66</v>
      </c>
      <c r="AF738" t="s">
        <v>56</v>
      </c>
      <c r="AG738" t="s">
        <v>56</v>
      </c>
      <c r="AH738" t="s">
        <v>56</v>
      </c>
      <c r="AI738" t="s">
        <v>56</v>
      </c>
      <c r="AJ738" t="s">
        <v>88</v>
      </c>
      <c r="AK738" t="s">
        <v>89</v>
      </c>
      <c r="AL738" t="s">
        <v>56</v>
      </c>
      <c r="AM738" t="s">
        <v>56</v>
      </c>
      <c r="AN738" t="s">
        <v>56</v>
      </c>
      <c r="AO738" t="s">
        <v>56</v>
      </c>
      <c r="AP738" t="s">
        <v>56</v>
      </c>
      <c r="AQ738" t="s">
        <v>71</v>
      </c>
      <c r="AR738" t="s">
        <v>56</v>
      </c>
      <c r="AS738" t="s">
        <v>56</v>
      </c>
      <c r="AT738" t="s">
        <v>56</v>
      </c>
      <c r="AU738" t="s">
        <v>56</v>
      </c>
      <c r="AV738" t="s">
        <v>56</v>
      </c>
      <c r="AW738" t="s">
        <v>56</v>
      </c>
      <c r="AX738">
        <v>4</v>
      </c>
    </row>
    <row r="739" spans="1:50" x14ac:dyDescent="0.25">
      <c r="A739" t="str">
        <f>"20200126197017037530"</f>
        <v>20200126197017037530</v>
      </c>
      <c r="B739" t="s">
        <v>244</v>
      </c>
      <c r="C739" t="s">
        <v>244</v>
      </c>
      <c r="D739" t="s">
        <v>3376</v>
      </c>
      <c r="E739" t="str">
        <f>"080010349401"</f>
        <v>080010349401</v>
      </c>
      <c r="F739" t="s">
        <v>52</v>
      </c>
      <c r="G739">
        <v>900458308</v>
      </c>
      <c r="H739" t="s">
        <v>112</v>
      </c>
      <c r="I739" t="s">
        <v>370</v>
      </c>
      <c r="J739" t="s">
        <v>371</v>
      </c>
      <c r="K739" t="s">
        <v>54</v>
      </c>
      <c r="L739">
        <v>1143378811</v>
      </c>
      <c r="M739" t="s">
        <v>372</v>
      </c>
      <c r="N739" t="s">
        <v>373</v>
      </c>
      <c r="O739" t="s">
        <v>109</v>
      </c>
      <c r="P739" t="s">
        <v>374</v>
      </c>
      <c r="Q739">
        <v>1143378811</v>
      </c>
      <c r="R739" t="s">
        <v>54</v>
      </c>
      <c r="S739">
        <v>921420</v>
      </c>
      <c r="T739" t="s">
        <v>3377</v>
      </c>
      <c r="U739" t="s">
        <v>272</v>
      </c>
      <c r="V739" t="s">
        <v>225</v>
      </c>
      <c r="W739" t="s">
        <v>1335</v>
      </c>
      <c r="X739" t="s">
        <v>120</v>
      </c>
      <c r="Y739" t="s">
        <v>121</v>
      </c>
      <c r="Z739">
        <v>12</v>
      </c>
      <c r="AA739" t="s">
        <v>65</v>
      </c>
      <c r="AB739" t="s">
        <v>56</v>
      </c>
      <c r="AC739" t="s">
        <v>56</v>
      </c>
      <c r="AD739">
        <v>0</v>
      </c>
      <c r="AE739" t="s">
        <v>66</v>
      </c>
      <c r="AF739" t="s">
        <v>56</v>
      </c>
      <c r="AG739" t="s">
        <v>56</v>
      </c>
      <c r="AH739" t="s">
        <v>56</v>
      </c>
      <c r="AI739" t="s">
        <v>56</v>
      </c>
      <c r="AJ739" t="s">
        <v>356</v>
      </c>
      <c r="AK739" t="s">
        <v>357</v>
      </c>
      <c r="AL739" t="s">
        <v>255</v>
      </c>
      <c r="AM739" t="s">
        <v>256</v>
      </c>
      <c r="AN739" t="s">
        <v>56</v>
      </c>
      <c r="AO739" t="s">
        <v>56</v>
      </c>
      <c r="AP739" t="s">
        <v>56</v>
      </c>
      <c r="AQ739" t="s">
        <v>71</v>
      </c>
      <c r="AR739" t="s">
        <v>56</v>
      </c>
      <c r="AS739" t="s">
        <v>56</v>
      </c>
      <c r="AT739" t="s">
        <v>56</v>
      </c>
      <c r="AU739" t="s">
        <v>56</v>
      </c>
      <c r="AV739" t="s">
        <v>56</v>
      </c>
      <c r="AW739" t="s">
        <v>56</v>
      </c>
      <c r="AX739">
        <v>4</v>
      </c>
    </row>
    <row r="740" spans="1:50" x14ac:dyDescent="0.25">
      <c r="A740" t="str">
        <f>"20200126146017037534"</f>
        <v>20200126146017037534</v>
      </c>
      <c r="B740" t="s">
        <v>244</v>
      </c>
      <c r="C740" t="s">
        <v>244</v>
      </c>
      <c r="D740" t="s">
        <v>3378</v>
      </c>
      <c r="E740" t="str">
        <f>"080010349401"</f>
        <v>080010349401</v>
      </c>
      <c r="F740" t="s">
        <v>52</v>
      </c>
      <c r="G740">
        <v>900458308</v>
      </c>
      <c r="H740" t="s">
        <v>112</v>
      </c>
      <c r="I740" t="s">
        <v>370</v>
      </c>
      <c r="J740" t="s">
        <v>371</v>
      </c>
      <c r="K740" t="s">
        <v>54</v>
      </c>
      <c r="L740">
        <v>1143378811</v>
      </c>
      <c r="M740" t="s">
        <v>372</v>
      </c>
      <c r="N740" t="s">
        <v>373</v>
      </c>
      <c r="O740" t="s">
        <v>109</v>
      </c>
      <c r="P740" t="s">
        <v>374</v>
      </c>
      <c r="Q740">
        <v>1143378811</v>
      </c>
      <c r="R740" t="s">
        <v>54</v>
      </c>
      <c r="S740">
        <v>921420</v>
      </c>
      <c r="T740" t="s">
        <v>3377</v>
      </c>
      <c r="U740" t="s">
        <v>272</v>
      </c>
      <c r="V740" t="s">
        <v>225</v>
      </c>
      <c r="W740" t="s">
        <v>1335</v>
      </c>
      <c r="X740" t="s">
        <v>120</v>
      </c>
      <c r="Y740" t="s">
        <v>121</v>
      </c>
      <c r="Z740">
        <v>12</v>
      </c>
      <c r="AA740" t="s">
        <v>65</v>
      </c>
      <c r="AB740" t="s">
        <v>56</v>
      </c>
      <c r="AC740" t="s">
        <v>56</v>
      </c>
      <c r="AD740">
        <v>0</v>
      </c>
      <c r="AE740" t="s">
        <v>66</v>
      </c>
      <c r="AF740" t="s">
        <v>56</v>
      </c>
      <c r="AG740" t="s">
        <v>56</v>
      </c>
      <c r="AH740" t="s">
        <v>56</v>
      </c>
      <c r="AI740" t="s">
        <v>56</v>
      </c>
      <c r="AJ740" t="s">
        <v>828</v>
      </c>
      <c r="AK740" t="s">
        <v>829</v>
      </c>
      <c r="AL740" t="s">
        <v>56</v>
      </c>
      <c r="AM740" t="s">
        <v>56</v>
      </c>
      <c r="AN740" t="s">
        <v>56</v>
      </c>
      <c r="AO740" t="s">
        <v>56</v>
      </c>
      <c r="AP740" t="s">
        <v>56</v>
      </c>
      <c r="AQ740" t="s">
        <v>71</v>
      </c>
      <c r="AR740" t="s">
        <v>56</v>
      </c>
      <c r="AS740" t="s">
        <v>56</v>
      </c>
      <c r="AT740" t="s">
        <v>56</v>
      </c>
      <c r="AU740" t="s">
        <v>56</v>
      </c>
      <c r="AV740" t="s">
        <v>56</v>
      </c>
      <c r="AW740" t="s">
        <v>56</v>
      </c>
      <c r="AX740">
        <v>4</v>
      </c>
    </row>
    <row r="741" spans="1:50" x14ac:dyDescent="0.25">
      <c r="A741" t="str">
        <f>"20200131127017175398"</f>
        <v>20200131127017175398</v>
      </c>
      <c r="B741" t="s">
        <v>110</v>
      </c>
      <c r="C741" t="s">
        <v>110</v>
      </c>
      <c r="D741" t="s">
        <v>3379</v>
      </c>
      <c r="E741" t="str">
        <f>"761470681501"</f>
        <v>761470681501</v>
      </c>
      <c r="F741" t="s">
        <v>52</v>
      </c>
      <c r="G741">
        <v>830515000</v>
      </c>
      <c r="H741">
        <v>76147</v>
      </c>
      <c r="I741" t="s">
        <v>1217</v>
      </c>
      <c r="J741">
        <v>2145150</v>
      </c>
      <c r="K741" t="s">
        <v>54</v>
      </c>
      <c r="L741">
        <v>16231597</v>
      </c>
      <c r="M741" t="s">
        <v>1218</v>
      </c>
      <c r="N741" t="s">
        <v>1219</v>
      </c>
      <c r="O741" t="s">
        <v>1220</v>
      </c>
      <c r="P741" t="s">
        <v>1221</v>
      </c>
      <c r="Q741">
        <v>76257504</v>
      </c>
      <c r="R741" t="s">
        <v>54</v>
      </c>
      <c r="S741">
        <v>10063821</v>
      </c>
      <c r="T741" t="s">
        <v>164</v>
      </c>
      <c r="U741" t="s">
        <v>916</v>
      </c>
      <c r="V741" t="s">
        <v>848</v>
      </c>
      <c r="W741" t="s">
        <v>3380</v>
      </c>
      <c r="X741" t="s">
        <v>63</v>
      </c>
      <c r="Y741" t="s">
        <v>64</v>
      </c>
      <c r="Z741">
        <v>12</v>
      </c>
      <c r="AA741" t="s">
        <v>65</v>
      </c>
      <c r="AB741" t="s">
        <v>56</v>
      </c>
      <c r="AC741" t="s">
        <v>56</v>
      </c>
      <c r="AD741">
        <v>0</v>
      </c>
      <c r="AE741" t="s">
        <v>66</v>
      </c>
      <c r="AF741" t="s">
        <v>56</v>
      </c>
      <c r="AG741" t="s">
        <v>56</v>
      </c>
      <c r="AH741" t="s">
        <v>56</v>
      </c>
      <c r="AI741" t="s">
        <v>56</v>
      </c>
      <c r="AJ741" t="s">
        <v>940</v>
      </c>
      <c r="AK741" t="s">
        <v>941</v>
      </c>
      <c r="AL741" t="s">
        <v>56</v>
      </c>
      <c r="AM741" t="s">
        <v>56</v>
      </c>
      <c r="AN741" t="s">
        <v>56</v>
      </c>
      <c r="AO741" t="s">
        <v>56</v>
      </c>
      <c r="AP741" t="s">
        <v>56</v>
      </c>
      <c r="AQ741" t="s">
        <v>71</v>
      </c>
      <c r="AR741" t="s">
        <v>56</v>
      </c>
      <c r="AS741" t="s">
        <v>56</v>
      </c>
      <c r="AT741" t="s">
        <v>56</v>
      </c>
      <c r="AU741" t="s">
        <v>56</v>
      </c>
      <c r="AV741" t="s">
        <v>56</v>
      </c>
      <c r="AW741" t="s">
        <v>56</v>
      </c>
      <c r="AX741">
        <v>4</v>
      </c>
    </row>
    <row r="742" spans="1:50" x14ac:dyDescent="0.25">
      <c r="A742" t="str">
        <f>"20200128129017083164"</f>
        <v>20200128129017083164</v>
      </c>
      <c r="B742" t="s">
        <v>151</v>
      </c>
      <c r="C742" t="s">
        <v>151</v>
      </c>
      <c r="D742" t="s">
        <v>3381</v>
      </c>
      <c r="E742" t="str">
        <f>"700010146401"</f>
        <v>700010146401</v>
      </c>
      <c r="F742" t="s">
        <v>52</v>
      </c>
      <c r="G742">
        <v>900581036</v>
      </c>
      <c r="H742">
        <v>70001</v>
      </c>
      <c r="I742" t="s">
        <v>387</v>
      </c>
      <c r="J742">
        <v>2807683</v>
      </c>
      <c r="K742" t="s">
        <v>54</v>
      </c>
      <c r="L742">
        <v>92508651</v>
      </c>
      <c r="M742" t="s">
        <v>388</v>
      </c>
      <c r="N742" t="s">
        <v>94</v>
      </c>
      <c r="O742" t="s">
        <v>389</v>
      </c>
      <c r="P742" t="s">
        <v>390</v>
      </c>
      <c r="Q742" t="s">
        <v>391</v>
      </c>
      <c r="R742" t="s">
        <v>54</v>
      </c>
      <c r="S742">
        <v>33084531</v>
      </c>
      <c r="T742" t="s">
        <v>667</v>
      </c>
      <c r="U742" t="s">
        <v>419</v>
      </c>
      <c r="V742" t="s">
        <v>2009</v>
      </c>
      <c r="W742" t="s">
        <v>449</v>
      </c>
      <c r="X742" t="s">
        <v>1635</v>
      </c>
      <c r="Y742" t="s">
        <v>330</v>
      </c>
      <c r="Z742">
        <v>12</v>
      </c>
      <c r="AA742" t="s">
        <v>65</v>
      </c>
      <c r="AB742" t="s">
        <v>56</v>
      </c>
      <c r="AC742" t="s">
        <v>56</v>
      </c>
      <c r="AD742">
        <v>0</v>
      </c>
      <c r="AE742" t="s">
        <v>66</v>
      </c>
      <c r="AF742" t="s">
        <v>56</v>
      </c>
      <c r="AG742" t="s">
        <v>56</v>
      </c>
      <c r="AH742" t="s">
        <v>56</v>
      </c>
      <c r="AI742" t="s">
        <v>56</v>
      </c>
      <c r="AJ742" t="s">
        <v>747</v>
      </c>
      <c r="AK742" t="s">
        <v>748</v>
      </c>
      <c r="AL742" t="s">
        <v>56</v>
      </c>
      <c r="AM742" t="s">
        <v>56</v>
      </c>
      <c r="AN742" t="s">
        <v>56</v>
      </c>
      <c r="AO742" t="s">
        <v>56</v>
      </c>
      <c r="AP742" t="s">
        <v>56</v>
      </c>
      <c r="AQ742" t="s">
        <v>71</v>
      </c>
      <c r="AR742" t="s">
        <v>56</v>
      </c>
      <c r="AS742" t="s">
        <v>56</v>
      </c>
      <c r="AT742" t="s">
        <v>56</v>
      </c>
      <c r="AU742" t="s">
        <v>56</v>
      </c>
      <c r="AV742" t="s">
        <v>56</v>
      </c>
      <c r="AW742" t="s">
        <v>56</v>
      </c>
      <c r="AX742">
        <v>4</v>
      </c>
    </row>
    <row r="743" spans="1:50" x14ac:dyDescent="0.25">
      <c r="A743" t="str">
        <f>"20200127177017060865"</f>
        <v>20200127177017060865</v>
      </c>
      <c r="B743" t="s">
        <v>190</v>
      </c>
      <c r="C743" t="s">
        <v>190</v>
      </c>
      <c r="D743" t="s">
        <v>3382</v>
      </c>
      <c r="E743" t="str">
        <f>"761470851601"</f>
        <v>761470851601</v>
      </c>
      <c r="F743" t="s">
        <v>52</v>
      </c>
      <c r="G743">
        <v>900472731</v>
      </c>
      <c r="H743">
        <v>76147</v>
      </c>
      <c r="I743" t="s">
        <v>53</v>
      </c>
      <c r="J743">
        <v>2146686</v>
      </c>
      <c r="K743" t="s">
        <v>54</v>
      </c>
      <c r="L743">
        <v>1140888144</v>
      </c>
      <c r="M743" t="s">
        <v>1100</v>
      </c>
      <c r="N743" t="s">
        <v>1006</v>
      </c>
      <c r="O743" t="s">
        <v>364</v>
      </c>
      <c r="P743" t="s">
        <v>1101</v>
      </c>
      <c r="Q743">
        <v>1140888144</v>
      </c>
      <c r="R743" t="s">
        <v>54</v>
      </c>
      <c r="S743">
        <v>29137817</v>
      </c>
      <c r="T743" t="s">
        <v>3383</v>
      </c>
      <c r="U743" t="s">
        <v>62</v>
      </c>
      <c r="V743" t="s">
        <v>405</v>
      </c>
      <c r="W743" t="s">
        <v>449</v>
      </c>
      <c r="X743" t="s">
        <v>453</v>
      </c>
      <c r="Y743" t="s">
        <v>64</v>
      </c>
      <c r="Z743">
        <v>21</v>
      </c>
      <c r="AA743" t="s">
        <v>1103</v>
      </c>
      <c r="AB743" t="s">
        <v>56</v>
      </c>
      <c r="AC743" t="s">
        <v>56</v>
      </c>
      <c r="AD743">
        <v>0</v>
      </c>
      <c r="AE743" t="s">
        <v>66</v>
      </c>
      <c r="AF743" t="s">
        <v>56</v>
      </c>
      <c r="AG743" t="s">
        <v>56</v>
      </c>
      <c r="AH743" t="s">
        <v>56</v>
      </c>
      <c r="AI743" t="s">
        <v>56</v>
      </c>
      <c r="AJ743" t="s">
        <v>3384</v>
      </c>
      <c r="AK743" t="s">
        <v>3385</v>
      </c>
      <c r="AL743" t="s">
        <v>3004</v>
      </c>
      <c r="AM743" t="s">
        <v>3005</v>
      </c>
      <c r="AN743" t="s">
        <v>56</v>
      </c>
      <c r="AO743" t="s">
        <v>56</v>
      </c>
      <c r="AP743" t="s">
        <v>56</v>
      </c>
      <c r="AQ743" t="s">
        <v>71</v>
      </c>
      <c r="AR743" t="s">
        <v>56</v>
      </c>
      <c r="AS743" t="s">
        <v>56</v>
      </c>
      <c r="AT743" t="s">
        <v>56</v>
      </c>
      <c r="AU743" t="s">
        <v>56</v>
      </c>
      <c r="AV743" t="s">
        <v>56</v>
      </c>
      <c r="AW743" t="s">
        <v>56</v>
      </c>
      <c r="AX743">
        <v>4</v>
      </c>
    </row>
    <row r="744" spans="1:50" x14ac:dyDescent="0.25">
      <c r="A744" t="str">
        <f>"20200130119017137645"</f>
        <v>20200130119017137645</v>
      </c>
      <c r="B744" t="s">
        <v>124</v>
      </c>
      <c r="C744" t="s">
        <v>124</v>
      </c>
      <c r="D744" t="s">
        <v>3386</v>
      </c>
      <c r="E744" t="str">
        <f>"200010067601"</f>
        <v>200010067601</v>
      </c>
      <c r="F744" t="s">
        <v>52</v>
      </c>
      <c r="G744">
        <v>824005694</v>
      </c>
      <c r="H744">
        <v>20001</v>
      </c>
      <c r="I744" t="s">
        <v>153</v>
      </c>
      <c r="J744">
        <v>5885989</v>
      </c>
      <c r="K744" t="s">
        <v>54</v>
      </c>
      <c r="L744">
        <v>40936825</v>
      </c>
      <c r="M744" t="s">
        <v>1688</v>
      </c>
      <c r="N744" t="s">
        <v>275</v>
      </c>
      <c r="O744" t="s">
        <v>425</v>
      </c>
      <c r="P744" t="s">
        <v>1689</v>
      </c>
      <c r="Q744">
        <v>200466</v>
      </c>
      <c r="R744" t="s">
        <v>54</v>
      </c>
      <c r="S744">
        <v>49736505</v>
      </c>
      <c r="T744" t="s">
        <v>1555</v>
      </c>
      <c r="U744" t="s">
        <v>3387</v>
      </c>
      <c r="V744" t="s">
        <v>1478</v>
      </c>
      <c r="W744" t="s">
        <v>119</v>
      </c>
      <c r="X744" t="s">
        <v>462</v>
      </c>
      <c r="Y744" t="s">
        <v>86</v>
      </c>
      <c r="Z744">
        <v>11</v>
      </c>
      <c r="AA744" t="s">
        <v>87</v>
      </c>
      <c r="AB744" t="s">
        <v>56</v>
      </c>
      <c r="AC744" t="s">
        <v>56</v>
      </c>
      <c r="AD744">
        <v>0</v>
      </c>
      <c r="AE744" t="s">
        <v>66</v>
      </c>
      <c r="AF744" t="s">
        <v>56</v>
      </c>
      <c r="AG744" t="s">
        <v>56</v>
      </c>
      <c r="AH744" t="s">
        <v>56</v>
      </c>
      <c r="AI744" t="s">
        <v>56</v>
      </c>
      <c r="AJ744" t="s">
        <v>1691</v>
      </c>
      <c r="AK744" t="s">
        <v>1692</v>
      </c>
      <c r="AL744" t="s">
        <v>56</v>
      </c>
      <c r="AM744" t="s">
        <v>56</v>
      </c>
      <c r="AN744" t="s">
        <v>56</v>
      </c>
      <c r="AO744" t="s">
        <v>56</v>
      </c>
      <c r="AP744" t="s">
        <v>56</v>
      </c>
      <c r="AQ744" t="s">
        <v>71</v>
      </c>
      <c r="AR744" t="s">
        <v>56</v>
      </c>
      <c r="AS744" t="s">
        <v>56</v>
      </c>
      <c r="AT744" t="s">
        <v>56</v>
      </c>
      <c r="AU744" t="s">
        <v>56</v>
      </c>
      <c r="AV744" t="s">
        <v>56</v>
      </c>
      <c r="AW744" t="s">
        <v>56</v>
      </c>
      <c r="AX744">
        <v>4</v>
      </c>
    </row>
    <row r="745" spans="1:50" x14ac:dyDescent="0.25">
      <c r="A745" t="str">
        <f>"20200124130017017440"</f>
        <v>20200124130017017440</v>
      </c>
      <c r="B745" t="s">
        <v>201</v>
      </c>
      <c r="C745" t="s">
        <v>201</v>
      </c>
      <c r="D745" t="s">
        <v>3388</v>
      </c>
      <c r="E745" t="str">
        <f>"080010445438"</f>
        <v>080010445438</v>
      </c>
      <c r="F745" t="s">
        <v>52</v>
      </c>
      <c r="G745">
        <v>901139193</v>
      </c>
      <c r="H745" t="s">
        <v>112</v>
      </c>
      <c r="I745" t="s">
        <v>1771</v>
      </c>
      <c r="J745">
        <v>3781483</v>
      </c>
      <c r="K745" t="s">
        <v>54</v>
      </c>
      <c r="L745">
        <v>1064979833</v>
      </c>
      <c r="M745" t="s">
        <v>1766</v>
      </c>
      <c r="N745" t="s">
        <v>2200</v>
      </c>
      <c r="O745" t="s">
        <v>1735</v>
      </c>
      <c r="P745" t="s">
        <v>2925</v>
      </c>
      <c r="Q745" t="s">
        <v>2926</v>
      </c>
      <c r="R745" t="s">
        <v>54</v>
      </c>
      <c r="S745">
        <v>4012448</v>
      </c>
      <c r="T745" t="s">
        <v>261</v>
      </c>
      <c r="U745" t="s">
        <v>62</v>
      </c>
      <c r="V745" t="s">
        <v>3389</v>
      </c>
      <c r="W745" t="s">
        <v>263</v>
      </c>
      <c r="X745" t="s">
        <v>120</v>
      </c>
      <c r="Y745" t="s">
        <v>121</v>
      </c>
      <c r="Z745">
        <v>22</v>
      </c>
      <c r="AA745" t="s">
        <v>102</v>
      </c>
      <c r="AB745">
        <v>0</v>
      </c>
      <c r="AC745" t="s">
        <v>66</v>
      </c>
      <c r="AD745">
        <v>0</v>
      </c>
      <c r="AE745" t="s">
        <v>66</v>
      </c>
      <c r="AF745" t="s">
        <v>56</v>
      </c>
      <c r="AG745" t="s">
        <v>56</v>
      </c>
      <c r="AH745" t="s">
        <v>56</v>
      </c>
      <c r="AI745" t="s">
        <v>56</v>
      </c>
      <c r="AJ745" t="s">
        <v>3064</v>
      </c>
      <c r="AK745" t="s">
        <v>3065</v>
      </c>
      <c r="AL745" t="s">
        <v>56</v>
      </c>
      <c r="AM745" t="s">
        <v>56</v>
      </c>
      <c r="AN745" t="s">
        <v>56</v>
      </c>
      <c r="AO745" t="s">
        <v>56</v>
      </c>
      <c r="AP745" t="s">
        <v>56</v>
      </c>
      <c r="AQ745" t="s">
        <v>71</v>
      </c>
      <c r="AR745" t="s">
        <v>56</v>
      </c>
      <c r="AS745" t="s">
        <v>56</v>
      </c>
      <c r="AT745" t="s">
        <v>56</v>
      </c>
      <c r="AU745" t="s">
        <v>56</v>
      </c>
      <c r="AV745" t="s">
        <v>56</v>
      </c>
      <c r="AW745" t="s">
        <v>56</v>
      </c>
      <c r="AX745">
        <v>4</v>
      </c>
    </row>
    <row r="746" spans="1:50" x14ac:dyDescent="0.25">
      <c r="A746" t="str">
        <f>"20200127114017051526"</f>
        <v>20200127114017051526</v>
      </c>
      <c r="B746" t="s">
        <v>190</v>
      </c>
      <c r="C746" t="s">
        <v>190</v>
      </c>
      <c r="D746" t="s">
        <v>3390</v>
      </c>
      <c r="E746" t="str">
        <f>"768340465201"</f>
        <v>768340465201</v>
      </c>
      <c r="F746" t="s">
        <v>52</v>
      </c>
      <c r="G746">
        <v>891901158</v>
      </c>
      <c r="H746">
        <v>76834</v>
      </c>
      <c r="I746" t="s">
        <v>3391</v>
      </c>
      <c r="J746" t="s">
        <v>3392</v>
      </c>
      <c r="K746" t="s">
        <v>54</v>
      </c>
      <c r="L746">
        <v>66719879</v>
      </c>
      <c r="M746" t="s">
        <v>117</v>
      </c>
      <c r="N746" t="s">
        <v>548</v>
      </c>
      <c r="O746" t="s">
        <v>1282</v>
      </c>
      <c r="P746" t="s">
        <v>655</v>
      </c>
      <c r="Q746">
        <v>55037</v>
      </c>
      <c r="R746" t="s">
        <v>54</v>
      </c>
      <c r="S746">
        <v>29375806</v>
      </c>
      <c r="T746" t="s">
        <v>342</v>
      </c>
      <c r="U746" t="s">
        <v>62</v>
      </c>
      <c r="V746" t="s">
        <v>99</v>
      </c>
      <c r="W746" t="s">
        <v>3393</v>
      </c>
      <c r="X746" t="s">
        <v>63</v>
      </c>
      <c r="Y746" t="s">
        <v>64</v>
      </c>
      <c r="Z746">
        <v>22</v>
      </c>
      <c r="AA746" t="s">
        <v>102</v>
      </c>
      <c r="AB746">
        <v>0</v>
      </c>
      <c r="AC746" t="s">
        <v>66</v>
      </c>
      <c r="AD746">
        <v>0</v>
      </c>
      <c r="AE746" t="s">
        <v>66</v>
      </c>
      <c r="AF746" t="s">
        <v>56</v>
      </c>
      <c r="AG746" t="s">
        <v>56</v>
      </c>
      <c r="AH746" t="s">
        <v>56</v>
      </c>
      <c r="AI746" t="s">
        <v>56</v>
      </c>
      <c r="AJ746" t="s">
        <v>3394</v>
      </c>
      <c r="AK746" t="s">
        <v>3395</v>
      </c>
      <c r="AL746" t="s">
        <v>2662</v>
      </c>
      <c r="AM746" t="s">
        <v>2663</v>
      </c>
      <c r="AN746" t="s">
        <v>56</v>
      </c>
      <c r="AO746" t="s">
        <v>56</v>
      </c>
      <c r="AP746" t="s">
        <v>56</v>
      </c>
      <c r="AQ746" t="s">
        <v>71</v>
      </c>
      <c r="AR746" t="s">
        <v>56</v>
      </c>
      <c r="AS746" t="s">
        <v>56</v>
      </c>
      <c r="AT746" t="s">
        <v>56</v>
      </c>
      <c r="AU746" t="s">
        <v>56</v>
      </c>
      <c r="AV746" t="s">
        <v>56</v>
      </c>
      <c r="AW746" t="s">
        <v>56</v>
      </c>
      <c r="AX746">
        <v>4</v>
      </c>
    </row>
    <row r="747" spans="1:50" x14ac:dyDescent="0.25">
      <c r="A747" t="str">
        <f>"20200127111017042649"</f>
        <v>20200127111017042649</v>
      </c>
      <c r="B747" t="s">
        <v>190</v>
      </c>
      <c r="C747" t="s">
        <v>190</v>
      </c>
      <c r="D747" t="s">
        <v>3396</v>
      </c>
      <c r="E747" t="str">
        <f>"086850011001"</f>
        <v>086850011001</v>
      </c>
      <c r="F747" t="s">
        <v>52</v>
      </c>
      <c r="G747">
        <v>800174123</v>
      </c>
      <c r="H747" t="s">
        <v>433</v>
      </c>
      <c r="I747" t="s">
        <v>434</v>
      </c>
      <c r="J747">
        <v>8790494</v>
      </c>
      <c r="K747" t="s">
        <v>54</v>
      </c>
      <c r="L747">
        <v>55313670</v>
      </c>
      <c r="M747" t="s">
        <v>2119</v>
      </c>
      <c r="N747" t="s">
        <v>56</v>
      </c>
      <c r="O747" t="s">
        <v>3013</v>
      </c>
      <c r="P747" t="s">
        <v>2882</v>
      </c>
      <c r="Q747">
        <v>55313670</v>
      </c>
      <c r="R747" t="s">
        <v>54</v>
      </c>
      <c r="S747">
        <v>3867930</v>
      </c>
      <c r="T747" t="s">
        <v>76</v>
      </c>
      <c r="U747" t="s">
        <v>107</v>
      </c>
      <c r="V747" t="s">
        <v>3397</v>
      </c>
      <c r="W747" t="s">
        <v>376</v>
      </c>
      <c r="X747" t="s">
        <v>443</v>
      </c>
      <c r="Y747" t="s">
        <v>121</v>
      </c>
      <c r="Z747">
        <v>12</v>
      </c>
      <c r="AA747" t="s">
        <v>65</v>
      </c>
      <c r="AB747" t="s">
        <v>56</v>
      </c>
      <c r="AC747" t="s">
        <v>56</v>
      </c>
      <c r="AD747">
        <v>0</v>
      </c>
      <c r="AE747" t="s">
        <v>66</v>
      </c>
      <c r="AF747" t="s">
        <v>56</v>
      </c>
      <c r="AG747" t="s">
        <v>56</v>
      </c>
      <c r="AH747" t="s">
        <v>56</v>
      </c>
      <c r="AI747" t="s">
        <v>56</v>
      </c>
      <c r="AJ747" t="s">
        <v>1061</v>
      </c>
      <c r="AK747" t="s">
        <v>1062</v>
      </c>
      <c r="AL747" t="s">
        <v>255</v>
      </c>
      <c r="AM747" t="s">
        <v>256</v>
      </c>
      <c r="AN747" t="s">
        <v>56</v>
      </c>
      <c r="AO747" t="s">
        <v>56</v>
      </c>
      <c r="AP747" t="s">
        <v>56</v>
      </c>
      <c r="AQ747" t="s">
        <v>71</v>
      </c>
      <c r="AR747" t="s">
        <v>56</v>
      </c>
      <c r="AS747" t="s">
        <v>56</v>
      </c>
      <c r="AT747" t="s">
        <v>56</v>
      </c>
      <c r="AU747" t="s">
        <v>56</v>
      </c>
      <c r="AV747" t="s">
        <v>56</v>
      </c>
      <c r="AW747" t="s">
        <v>56</v>
      </c>
      <c r="AX747">
        <v>4</v>
      </c>
    </row>
    <row r="748" spans="1:50" x14ac:dyDescent="0.25">
      <c r="A748" t="str">
        <f>"20200130180017141450"</f>
        <v>20200130180017141450</v>
      </c>
      <c r="B748" t="s">
        <v>124</v>
      </c>
      <c r="C748" t="s">
        <v>124</v>
      </c>
      <c r="D748" t="s">
        <v>3398</v>
      </c>
      <c r="E748" t="str">
        <f>"761470728201"</f>
        <v>761470728201</v>
      </c>
      <c r="F748" t="s">
        <v>52</v>
      </c>
      <c r="G748">
        <v>900247710</v>
      </c>
      <c r="H748">
        <v>76147</v>
      </c>
      <c r="I748" t="s">
        <v>526</v>
      </c>
      <c r="J748">
        <v>2108988</v>
      </c>
      <c r="K748" t="s">
        <v>54</v>
      </c>
      <c r="L748">
        <v>18615571</v>
      </c>
      <c r="M748" t="s">
        <v>164</v>
      </c>
      <c r="N748" t="s">
        <v>527</v>
      </c>
      <c r="O748" t="s">
        <v>528</v>
      </c>
      <c r="P748" t="s">
        <v>249</v>
      </c>
      <c r="Q748" t="s">
        <v>529</v>
      </c>
      <c r="R748" t="s">
        <v>54</v>
      </c>
      <c r="S748">
        <v>10067299</v>
      </c>
      <c r="T748" t="s">
        <v>76</v>
      </c>
      <c r="U748" t="s">
        <v>1841</v>
      </c>
      <c r="V748" t="s">
        <v>364</v>
      </c>
      <c r="W748" t="s">
        <v>3399</v>
      </c>
      <c r="X748" t="s">
        <v>1337</v>
      </c>
      <c r="Y748" t="s">
        <v>64</v>
      </c>
      <c r="Z748">
        <v>12</v>
      </c>
      <c r="AA748" t="s">
        <v>65</v>
      </c>
      <c r="AB748" t="s">
        <v>56</v>
      </c>
      <c r="AC748" t="s">
        <v>56</v>
      </c>
      <c r="AD748">
        <v>0</v>
      </c>
      <c r="AE748" t="s">
        <v>66</v>
      </c>
      <c r="AF748" t="s">
        <v>56</v>
      </c>
      <c r="AG748" t="s">
        <v>56</v>
      </c>
      <c r="AH748" t="s">
        <v>56</v>
      </c>
      <c r="AI748" t="s">
        <v>56</v>
      </c>
      <c r="AJ748" t="s">
        <v>536</v>
      </c>
      <c r="AK748" t="s">
        <v>537</v>
      </c>
      <c r="AL748" t="s">
        <v>56</v>
      </c>
      <c r="AM748" t="s">
        <v>56</v>
      </c>
      <c r="AN748" t="s">
        <v>56</v>
      </c>
      <c r="AO748" t="s">
        <v>56</v>
      </c>
      <c r="AP748" t="s">
        <v>56</v>
      </c>
      <c r="AQ748" t="s">
        <v>71</v>
      </c>
      <c r="AR748" t="s">
        <v>56</v>
      </c>
      <c r="AS748" t="s">
        <v>56</v>
      </c>
      <c r="AT748" t="s">
        <v>56</v>
      </c>
      <c r="AU748" t="s">
        <v>56</v>
      </c>
      <c r="AV748" t="s">
        <v>56</v>
      </c>
      <c r="AW748" t="s">
        <v>56</v>
      </c>
      <c r="AX748">
        <v>4</v>
      </c>
    </row>
    <row r="749" spans="1:50" x14ac:dyDescent="0.25">
      <c r="A749" t="str">
        <f>"20200130138017146024"</f>
        <v>20200130138017146024</v>
      </c>
      <c r="B749" t="s">
        <v>124</v>
      </c>
      <c r="C749" t="s">
        <v>124</v>
      </c>
      <c r="D749" t="s">
        <v>3400</v>
      </c>
      <c r="E749" t="str">
        <f>"080010003601"</f>
        <v>080010003601</v>
      </c>
      <c r="F749" t="s">
        <v>52</v>
      </c>
      <c r="G749">
        <v>802000955</v>
      </c>
      <c r="H749" t="s">
        <v>112</v>
      </c>
      <c r="I749" t="s">
        <v>218</v>
      </c>
      <c r="J749" t="s">
        <v>56</v>
      </c>
      <c r="K749" t="s">
        <v>54</v>
      </c>
      <c r="L749">
        <v>1051357508</v>
      </c>
      <c r="M749" t="s">
        <v>644</v>
      </c>
      <c r="N749" t="s">
        <v>645</v>
      </c>
      <c r="O749" t="s">
        <v>646</v>
      </c>
      <c r="P749" t="s">
        <v>647</v>
      </c>
      <c r="Q749">
        <v>81153</v>
      </c>
      <c r="R749" t="s">
        <v>54</v>
      </c>
      <c r="S749">
        <v>23172048</v>
      </c>
      <c r="T749" t="s">
        <v>2031</v>
      </c>
      <c r="U749" t="s">
        <v>600</v>
      </c>
      <c r="V749" t="s">
        <v>115</v>
      </c>
      <c r="W749" t="s">
        <v>3401</v>
      </c>
      <c r="X749" t="s">
        <v>120</v>
      </c>
      <c r="Y749" t="s">
        <v>121</v>
      </c>
      <c r="Z749">
        <v>12</v>
      </c>
      <c r="AA749" t="s">
        <v>65</v>
      </c>
      <c r="AB749" t="s">
        <v>56</v>
      </c>
      <c r="AC749" t="s">
        <v>56</v>
      </c>
      <c r="AD749">
        <v>0</v>
      </c>
      <c r="AE749" t="s">
        <v>66</v>
      </c>
      <c r="AF749" t="s">
        <v>56</v>
      </c>
      <c r="AG749" t="s">
        <v>56</v>
      </c>
      <c r="AH749" t="s">
        <v>56</v>
      </c>
      <c r="AI749" t="s">
        <v>56</v>
      </c>
      <c r="AJ749" t="s">
        <v>228</v>
      </c>
      <c r="AK749" t="s">
        <v>229</v>
      </c>
      <c r="AL749" t="s">
        <v>545</v>
      </c>
      <c r="AM749" t="s">
        <v>546</v>
      </c>
      <c r="AN749" t="s">
        <v>56</v>
      </c>
      <c r="AO749" t="s">
        <v>56</v>
      </c>
      <c r="AP749" t="s">
        <v>56</v>
      </c>
      <c r="AQ749" t="s">
        <v>71</v>
      </c>
      <c r="AR749" t="s">
        <v>56</v>
      </c>
      <c r="AS749" t="s">
        <v>56</v>
      </c>
      <c r="AT749" t="s">
        <v>56</v>
      </c>
      <c r="AU749" t="s">
        <v>56</v>
      </c>
      <c r="AV749" t="s">
        <v>56</v>
      </c>
      <c r="AW749" t="s">
        <v>56</v>
      </c>
      <c r="AX749">
        <v>4</v>
      </c>
    </row>
    <row r="750" spans="1:50" x14ac:dyDescent="0.25">
      <c r="A750" t="str">
        <f>"20200129190017109278"</f>
        <v>20200129190017109278</v>
      </c>
      <c r="B750" t="s">
        <v>72</v>
      </c>
      <c r="C750" t="s">
        <v>72</v>
      </c>
      <c r="D750" t="s">
        <v>3402</v>
      </c>
      <c r="E750" t="str">
        <f>"134300290801"</f>
        <v>134300290801</v>
      </c>
      <c r="F750" t="s">
        <v>52</v>
      </c>
      <c r="G750">
        <v>800033723</v>
      </c>
      <c r="H750">
        <v>13430</v>
      </c>
      <c r="I750" t="s">
        <v>1672</v>
      </c>
      <c r="J750">
        <v>3187117423</v>
      </c>
      <c r="K750" t="s">
        <v>54</v>
      </c>
      <c r="L750">
        <v>92499913</v>
      </c>
      <c r="M750" t="s">
        <v>164</v>
      </c>
      <c r="N750" t="s">
        <v>234</v>
      </c>
      <c r="O750" t="s">
        <v>726</v>
      </c>
      <c r="P750" t="s">
        <v>1673</v>
      </c>
      <c r="Q750">
        <v>1337</v>
      </c>
      <c r="R750" t="s">
        <v>54</v>
      </c>
      <c r="S750">
        <v>22945211</v>
      </c>
      <c r="T750" t="s">
        <v>117</v>
      </c>
      <c r="U750" t="s">
        <v>1032</v>
      </c>
      <c r="V750" t="s">
        <v>426</v>
      </c>
      <c r="W750" t="s">
        <v>3403</v>
      </c>
      <c r="X750" t="s">
        <v>183</v>
      </c>
      <c r="Y750" t="s">
        <v>101</v>
      </c>
      <c r="Z750">
        <v>12</v>
      </c>
      <c r="AA750" t="s">
        <v>65</v>
      </c>
      <c r="AB750" t="s">
        <v>56</v>
      </c>
      <c r="AC750" t="s">
        <v>56</v>
      </c>
      <c r="AD750">
        <v>0</v>
      </c>
      <c r="AE750" t="s">
        <v>66</v>
      </c>
      <c r="AF750" t="s">
        <v>56</v>
      </c>
      <c r="AG750" t="s">
        <v>56</v>
      </c>
      <c r="AH750" t="s">
        <v>56</v>
      </c>
      <c r="AI750" t="s">
        <v>56</v>
      </c>
      <c r="AJ750" t="s">
        <v>1676</v>
      </c>
      <c r="AK750" t="s">
        <v>1677</v>
      </c>
      <c r="AL750" t="s">
        <v>56</v>
      </c>
      <c r="AM750" t="s">
        <v>56</v>
      </c>
      <c r="AN750" t="s">
        <v>56</v>
      </c>
      <c r="AO750" t="s">
        <v>56</v>
      </c>
      <c r="AP750" t="s">
        <v>56</v>
      </c>
      <c r="AQ750" t="s">
        <v>71</v>
      </c>
      <c r="AR750" t="s">
        <v>56</v>
      </c>
      <c r="AS750" t="s">
        <v>56</v>
      </c>
      <c r="AT750" t="s">
        <v>56</v>
      </c>
      <c r="AU750" t="s">
        <v>56</v>
      </c>
      <c r="AV750" t="s">
        <v>56</v>
      </c>
      <c r="AW750" t="s">
        <v>56</v>
      </c>
      <c r="AX750">
        <v>4</v>
      </c>
    </row>
    <row r="751" spans="1:50" x14ac:dyDescent="0.25">
      <c r="A751" t="str">
        <f>"20200126140017038056"</f>
        <v>20200126140017038056</v>
      </c>
      <c r="B751" t="s">
        <v>244</v>
      </c>
      <c r="C751" t="s">
        <v>244</v>
      </c>
      <c r="D751" t="s">
        <v>3404</v>
      </c>
      <c r="E751" t="str">
        <f>"700010177001"</f>
        <v>700010177001</v>
      </c>
      <c r="F751" t="s">
        <v>52</v>
      </c>
      <c r="G751">
        <v>901082722</v>
      </c>
      <c r="H751">
        <v>70001</v>
      </c>
      <c r="I751" t="s">
        <v>1290</v>
      </c>
      <c r="J751" t="s">
        <v>1291</v>
      </c>
      <c r="K751" t="s">
        <v>54</v>
      </c>
      <c r="L751">
        <v>79500988</v>
      </c>
      <c r="M751" t="s">
        <v>234</v>
      </c>
      <c r="N751" t="s">
        <v>76</v>
      </c>
      <c r="O751" t="s">
        <v>376</v>
      </c>
      <c r="P751" t="s">
        <v>1292</v>
      </c>
      <c r="Q751">
        <v>7014799</v>
      </c>
      <c r="R751" t="s">
        <v>54</v>
      </c>
      <c r="S751">
        <v>92516195</v>
      </c>
      <c r="T751" t="s">
        <v>3321</v>
      </c>
      <c r="U751" t="s">
        <v>62</v>
      </c>
      <c r="V751" t="s">
        <v>343</v>
      </c>
      <c r="W751" t="s">
        <v>315</v>
      </c>
      <c r="X751" t="s">
        <v>605</v>
      </c>
      <c r="Y751" t="s">
        <v>330</v>
      </c>
      <c r="Z751">
        <v>12</v>
      </c>
      <c r="AA751" t="s">
        <v>65</v>
      </c>
      <c r="AB751" t="s">
        <v>56</v>
      </c>
      <c r="AC751" t="s">
        <v>56</v>
      </c>
      <c r="AD751">
        <v>0</v>
      </c>
      <c r="AE751" t="s">
        <v>66</v>
      </c>
      <c r="AF751" t="s">
        <v>56</v>
      </c>
      <c r="AG751" t="s">
        <v>56</v>
      </c>
      <c r="AH751" t="s">
        <v>56</v>
      </c>
      <c r="AI751" t="s">
        <v>56</v>
      </c>
      <c r="AJ751" t="s">
        <v>414</v>
      </c>
      <c r="AK751" t="s">
        <v>415</v>
      </c>
      <c r="AL751" t="s">
        <v>56</v>
      </c>
      <c r="AM751" t="s">
        <v>56</v>
      </c>
      <c r="AN751" t="s">
        <v>56</v>
      </c>
      <c r="AO751" t="s">
        <v>56</v>
      </c>
      <c r="AP751" t="s">
        <v>56</v>
      </c>
      <c r="AQ751" t="s">
        <v>71</v>
      </c>
      <c r="AR751" t="s">
        <v>56</v>
      </c>
      <c r="AS751" t="s">
        <v>56</v>
      </c>
      <c r="AT751" t="s">
        <v>56</v>
      </c>
      <c r="AU751" t="s">
        <v>56</v>
      </c>
      <c r="AV751" t="s">
        <v>56</v>
      </c>
      <c r="AW751" t="s">
        <v>56</v>
      </c>
      <c r="AX751">
        <v>4</v>
      </c>
    </row>
    <row r="752" spans="1:50" x14ac:dyDescent="0.25">
      <c r="A752" t="str">
        <f>"20200130168017138985"</f>
        <v>20200130168017138985</v>
      </c>
      <c r="B752" t="s">
        <v>124</v>
      </c>
      <c r="C752" t="s">
        <v>124</v>
      </c>
      <c r="D752" t="s">
        <v>3405</v>
      </c>
      <c r="E752" t="str">
        <f>"200010023201"</f>
        <v>200010023201</v>
      </c>
      <c r="F752" t="s">
        <v>52</v>
      </c>
      <c r="G752">
        <v>77028533</v>
      </c>
      <c r="H752">
        <v>20001</v>
      </c>
      <c r="I752" t="s">
        <v>990</v>
      </c>
      <c r="J752">
        <v>5804242</v>
      </c>
      <c r="K752" t="s">
        <v>54</v>
      </c>
      <c r="L752">
        <v>77028533</v>
      </c>
      <c r="M752" t="s">
        <v>991</v>
      </c>
      <c r="N752" t="s">
        <v>56</v>
      </c>
      <c r="O752" t="s">
        <v>992</v>
      </c>
      <c r="P752" t="s">
        <v>993</v>
      </c>
      <c r="Q752" t="s">
        <v>56</v>
      </c>
      <c r="R752" t="s">
        <v>54</v>
      </c>
      <c r="S752">
        <v>26902274</v>
      </c>
      <c r="T752" t="s">
        <v>2721</v>
      </c>
      <c r="U752" t="s">
        <v>62</v>
      </c>
      <c r="V752" t="s">
        <v>1168</v>
      </c>
      <c r="W752" t="s">
        <v>564</v>
      </c>
      <c r="X752" t="s">
        <v>462</v>
      </c>
      <c r="Y752" t="s">
        <v>86</v>
      </c>
      <c r="Z752">
        <v>11</v>
      </c>
      <c r="AA752" t="s">
        <v>87</v>
      </c>
      <c r="AB752" t="s">
        <v>56</v>
      </c>
      <c r="AC752" t="s">
        <v>56</v>
      </c>
      <c r="AD752">
        <v>0</v>
      </c>
      <c r="AE752" t="s">
        <v>66</v>
      </c>
      <c r="AF752" t="s">
        <v>56</v>
      </c>
      <c r="AG752" t="s">
        <v>56</v>
      </c>
      <c r="AH752" t="s">
        <v>56</v>
      </c>
      <c r="AI752" t="s">
        <v>56</v>
      </c>
      <c r="AJ752" t="s">
        <v>310</v>
      </c>
      <c r="AK752" t="s">
        <v>311</v>
      </c>
      <c r="AL752" t="s">
        <v>56</v>
      </c>
      <c r="AM752" t="s">
        <v>56</v>
      </c>
      <c r="AN752" t="s">
        <v>56</v>
      </c>
      <c r="AO752" t="s">
        <v>56</v>
      </c>
      <c r="AP752" t="s">
        <v>56</v>
      </c>
      <c r="AQ752" t="s">
        <v>71</v>
      </c>
      <c r="AR752" t="s">
        <v>56</v>
      </c>
      <c r="AS752" t="s">
        <v>56</v>
      </c>
      <c r="AT752" t="s">
        <v>56</v>
      </c>
      <c r="AU752" t="s">
        <v>56</v>
      </c>
      <c r="AV752" t="s">
        <v>56</v>
      </c>
      <c r="AW752" t="s">
        <v>56</v>
      </c>
      <c r="AX752">
        <v>4</v>
      </c>
    </row>
    <row r="753" spans="1:50" x14ac:dyDescent="0.25">
      <c r="A753" t="str">
        <f>"20200124131017002071"</f>
        <v>20200124131017002071</v>
      </c>
      <c r="B753" t="s">
        <v>201</v>
      </c>
      <c r="C753" t="s">
        <v>201</v>
      </c>
      <c r="D753" t="s">
        <v>3406</v>
      </c>
      <c r="E753" t="str">
        <f>"470010065001"</f>
        <v>470010065001</v>
      </c>
      <c r="F753" t="s">
        <v>52</v>
      </c>
      <c r="G753">
        <v>891780185</v>
      </c>
      <c r="H753">
        <v>47001</v>
      </c>
      <c r="I753" t="s">
        <v>1509</v>
      </c>
      <c r="J753" t="s">
        <v>1510</v>
      </c>
      <c r="K753" t="s">
        <v>338</v>
      </c>
      <c r="L753">
        <v>574063</v>
      </c>
      <c r="M753" t="s">
        <v>897</v>
      </c>
      <c r="N753" t="s">
        <v>291</v>
      </c>
      <c r="O753" t="s">
        <v>3407</v>
      </c>
      <c r="P753" t="s">
        <v>3408</v>
      </c>
      <c r="Q753">
        <v>574063</v>
      </c>
      <c r="R753" t="s">
        <v>54</v>
      </c>
      <c r="S753">
        <v>85272884</v>
      </c>
      <c r="T753" t="s">
        <v>3409</v>
      </c>
      <c r="U753" t="s">
        <v>62</v>
      </c>
      <c r="V753" t="s">
        <v>636</v>
      </c>
      <c r="W753" t="s">
        <v>2476</v>
      </c>
      <c r="X753" t="s">
        <v>1172</v>
      </c>
      <c r="Y753" t="s">
        <v>345</v>
      </c>
      <c r="Z753">
        <v>11</v>
      </c>
      <c r="AA753" t="s">
        <v>87</v>
      </c>
      <c r="AB753" t="s">
        <v>56</v>
      </c>
      <c r="AC753" t="s">
        <v>56</v>
      </c>
      <c r="AD753">
        <v>0</v>
      </c>
      <c r="AE753" t="s">
        <v>66</v>
      </c>
      <c r="AF753" t="s">
        <v>56</v>
      </c>
      <c r="AG753" t="s">
        <v>56</v>
      </c>
      <c r="AH753" t="s">
        <v>56</v>
      </c>
      <c r="AI753" t="s">
        <v>56</v>
      </c>
      <c r="AJ753" t="s">
        <v>3410</v>
      </c>
      <c r="AK753" t="s">
        <v>3411</v>
      </c>
      <c r="AL753" t="s">
        <v>56</v>
      </c>
      <c r="AM753" t="s">
        <v>56</v>
      </c>
      <c r="AN753" t="s">
        <v>56</v>
      </c>
      <c r="AO753" t="s">
        <v>56</v>
      </c>
      <c r="AP753" t="s">
        <v>56</v>
      </c>
      <c r="AQ753" t="s">
        <v>71</v>
      </c>
      <c r="AR753" t="s">
        <v>56</v>
      </c>
      <c r="AS753" t="s">
        <v>56</v>
      </c>
      <c r="AT753" t="s">
        <v>56</v>
      </c>
      <c r="AU753" t="s">
        <v>56</v>
      </c>
      <c r="AV753" t="s">
        <v>56</v>
      </c>
      <c r="AW753" t="s">
        <v>56</v>
      </c>
      <c r="AX753">
        <v>4</v>
      </c>
    </row>
    <row r="754" spans="1:50" x14ac:dyDescent="0.25">
      <c r="A754" t="str">
        <f>"20200131191017160493"</f>
        <v>20200131191017160493</v>
      </c>
      <c r="B754" t="s">
        <v>110</v>
      </c>
      <c r="C754" t="s">
        <v>110</v>
      </c>
      <c r="D754" t="s">
        <v>3412</v>
      </c>
      <c r="E754" t="str">
        <f>"700010146401"</f>
        <v>700010146401</v>
      </c>
      <c r="F754" t="s">
        <v>52</v>
      </c>
      <c r="G754">
        <v>900581036</v>
      </c>
      <c r="H754">
        <v>70001</v>
      </c>
      <c r="I754" t="s">
        <v>387</v>
      </c>
      <c r="J754">
        <v>2807683</v>
      </c>
      <c r="K754" t="s">
        <v>54</v>
      </c>
      <c r="L754">
        <v>92508651</v>
      </c>
      <c r="M754" t="s">
        <v>388</v>
      </c>
      <c r="N754" t="s">
        <v>94</v>
      </c>
      <c r="O754" t="s">
        <v>389</v>
      </c>
      <c r="P754" t="s">
        <v>390</v>
      </c>
      <c r="Q754" t="s">
        <v>391</v>
      </c>
      <c r="R754" t="s">
        <v>54</v>
      </c>
      <c r="S754">
        <v>64867262</v>
      </c>
      <c r="T754" t="s">
        <v>145</v>
      </c>
      <c r="U754" t="s">
        <v>1327</v>
      </c>
      <c r="V754" t="s">
        <v>1025</v>
      </c>
      <c r="W754" t="s">
        <v>939</v>
      </c>
      <c r="X754" t="s">
        <v>1454</v>
      </c>
      <c r="Y754" t="s">
        <v>330</v>
      </c>
      <c r="Z754">
        <v>12</v>
      </c>
      <c r="AA754" t="s">
        <v>65</v>
      </c>
      <c r="AB754" t="s">
        <v>56</v>
      </c>
      <c r="AC754" t="s">
        <v>56</v>
      </c>
      <c r="AD754">
        <v>0</v>
      </c>
      <c r="AE754" t="s">
        <v>66</v>
      </c>
      <c r="AF754" t="s">
        <v>56</v>
      </c>
      <c r="AG754" t="s">
        <v>56</v>
      </c>
      <c r="AH754" t="s">
        <v>56</v>
      </c>
      <c r="AI754" t="s">
        <v>56</v>
      </c>
      <c r="AJ754" t="s">
        <v>2126</v>
      </c>
      <c r="AK754" t="s">
        <v>2127</v>
      </c>
      <c r="AL754" t="s">
        <v>1612</v>
      </c>
      <c r="AM754" t="s">
        <v>1613</v>
      </c>
      <c r="AN754" t="s">
        <v>56</v>
      </c>
      <c r="AO754" t="s">
        <v>56</v>
      </c>
      <c r="AP754" t="s">
        <v>56</v>
      </c>
      <c r="AQ754" t="s">
        <v>71</v>
      </c>
      <c r="AR754" t="s">
        <v>56</v>
      </c>
      <c r="AS754" t="s">
        <v>56</v>
      </c>
      <c r="AT754" t="s">
        <v>56</v>
      </c>
      <c r="AU754" t="s">
        <v>56</v>
      </c>
      <c r="AV754" t="s">
        <v>56</v>
      </c>
      <c r="AW754" t="s">
        <v>56</v>
      </c>
      <c r="AX754">
        <v>4</v>
      </c>
    </row>
    <row r="755" spans="1:50" x14ac:dyDescent="0.25">
      <c r="A755" t="str">
        <f>"20200131166017171341"</f>
        <v>20200131166017171341</v>
      </c>
      <c r="B755" t="s">
        <v>110</v>
      </c>
      <c r="C755" t="s">
        <v>110</v>
      </c>
      <c r="D755" t="s">
        <v>3413</v>
      </c>
      <c r="E755" t="str">
        <f>"080010030801"</f>
        <v>080010030801</v>
      </c>
      <c r="F755" t="s">
        <v>52</v>
      </c>
      <c r="G755">
        <v>800218024</v>
      </c>
      <c r="H755" t="s">
        <v>112</v>
      </c>
      <c r="I755" t="s">
        <v>1534</v>
      </c>
      <c r="J755">
        <v>3852808</v>
      </c>
      <c r="K755" t="s">
        <v>54</v>
      </c>
      <c r="L755">
        <v>19345831</v>
      </c>
      <c r="M755" t="s">
        <v>423</v>
      </c>
      <c r="N755" t="s">
        <v>261</v>
      </c>
      <c r="O755" t="s">
        <v>1535</v>
      </c>
      <c r="P755" t="s">
        <v>1536</v>
      </c>
      <c r="Q755" t="s">
        <v>1537</v>
      </c>
      <c r="R755" t="s">
        <v>54</v>
      </c>
      <c r="S755">
        <v>7466817</v>
      </c>
      <c r="T755" t="s">
        <v>3414</v>
      </c>
      <c r="U755" t="s">
        <v>128</v>
      </c>
      <c r="V755" t="s">
        <v>2212</v>
      </c>
      <c r="W755" t="s">
        <v>1185</v>
      </c>
      <c r="X755" t="s">
        <v>120</v>
      </c>
      <c r="Y755" t="s">
        <v>121</v>
      </c>
      <c r="Z755">
        <v>12</v>
      </c>
      <c r="AA755" t="s">
        <v>65</v>
      </c>
      <c r="AB755" t="s">
        <v>56</v>
      </c>
      <c r="AC755" t="s">
        <v>56</v>
      </c>
      <c r="AD755">
        <v>0</v>
      </c>
      <c r="AE755" t="s">
        <v>66</v>
      </c>
      <c r="AF755" t="s">
        <v>56</v>
      </c>
      <c r="AG755" t="s">
        <v>56</v>
      </c>
      <c r="AH755" t="s">
        <v>56</v>
      </c>
      <c r="AI755" t="s">
        <v>56</v>
      </c>
      <c r="AJ755" t="s">
        <v>2444</v>
      </c>
      <c r="AK755" t="s">
        <v>2445</v>
      </c>
      <c r="AL755" t="s">
        <v>56</v>
      </c>
      <c r="AM755" t="s">
        <v>56</v>
      </c>
      <c r="AN755" t="s">
        <v>56</v>
      </c>
      <c r="AO755" t="s">
        <v>56</v>
      </c>
      <c r="AP755" t="s">
        <v>56</v>
      </c>
      <c r="AQ755" t="s">
        <v>71</v>
      </c>
      <c r="AR755" t="s">
        <v>56</v>
      </c>
      <c r="AS755" t="s">
        <v>56</v>
      </c>
      <c r="AT755" t="s">
        <v>56</v>
      </c>
      <c r="AU755" t="s">
        <v>56</v>
      </c>
      <c r="AV755" t="s">
        <v>56</v>
      </c>
      <c r="AW755" t="s">
        <v>56</v>
      </c>
      <c r="AX755">
        <v>4</v>
      </c>
    </row>
    <row r="756" spans="1:50" x14ac:dyDescent="0.25">
      <c r="A756" t="str">
        <f>"20200127166017044825"</f>
        <v>20200127166017044825</v>
      </c>
      <c r="B756" t="s">
        <v>190</v>
      </c>
      <c r="C756" t="s">
        <v>190</v>
      </c>
      <c r="D756" t="s">
        <v>3415</v>
      </c>
      <c r="E756" t="str">
        <f>"080010409201"</f>
        <v>080010409201</v>
      </c>
      <c r="F756" t="s">
        <v>52</v>
      </c>
      <c r="G756">
        <v>900448414</v>
      </c>
      <c r="H756" t="s">
        <v>112</v>
      </c>
      <c r="I756" t="s">
        <v>785</v>
      </c>
      <c r="J756">
        <v>3545674</v>
      </c>
      <c r="K756" t="s">
        <v>54</v>
      </c>
      <c r="L756">
        <v>64552066</v>
      </c>
      <c r="M756" t="s">
        <v>786</v>
      </c>
      <c r="N756" t="s">
        <v>787</v>
      </c>
      <c r="O756" t="s">
        <v>788</v>
      </c>
      <c r="P756" t="s">
        <v>789</v>
      </c>
      <c r="Q756">
        <v>12159</v>
      </c>
      <c r="R756" t="s">
        <v>54</v>
      </c>
      <c r="S756">
        <v>42403655</v>
      </c>
      <c r="T756" t="s">
        <v>1379</v>
      </c>
      <c r="U756" t="s">
        <v>3416</v>
      </c>
      <c r="V756" t="s">
        <v>3417</v>
      </c>
      <c r="W756" t="s">
        <v>996</v>
      </c>
      <c r="X756" t="s">
        <v>120</v>
      </c>
      <c r="Y756" t="s">
        <v>121</v>
      </c>
      <c r="Z756">
        <v>12</v>
      </c>
      <c r="AA756" t="s">
        <v>65</v>
      </c>
      <c r="AB756" t="s">
        <v>56</v>
      </c>
      <c r="AC756" t="s">
        <v>56</v>
      </c>
      <c r="AD756">
        <v>0</v>
      </c>
      <c r="AE756" t="s">
        <v>66</v>
      </c>
      <c r="AF756" t="s">
        <v>56</v>
      </c>
      <c r="AG756" t="s">
        <v>56</v>
      </c>
      <c r="AH756" t="s">
        <v>56</v>
      </c>
      <c r="AI756" t="s">
        <v>56</v>
      </c>
      <c r="AJ756" t="s">
        <v>794</v>
      </c>
      <c r="AK756" t="s">
        <v>795</v>
      </c>
      <c r="AL756" t="s">
        <v>56</v>
      </c>
      <c r="AM756" t="s">
        <v>56</v>
      </c>
      <c r="AN756" t="s">
        <v>56</v>
      </c>
      <c r="AO756" t="s">
        <v>56</v>
      </c>
      <c r="AP756" t="s">
        <v>56</v>
      </c>
      <c r="AQ756" t="s">
        <v>71</v>
      </c>
      <c r="AR756" t="s">
        <v>56</v>
      </c>
      <c r="AS756" t="s">
        <v>56</v>
      </c>
      <c r="AT756" t="s">
        <v>56</v>
      </c>
      <c r="AU756" t="s">
        <v>56</v>
      </c>
      <c r="AV756" t="s">
        <v>56</v>
      </c>
      <c r="AW756" t="s">
        <v>56</v>
      </c>
      <c r="AX756">
        <v>4</v>
      </c>
    </row>
    <row r="757" spans="1:50" x14ac:dyDescent="0.25">
      <c r="A757" t="str">
        <f>"20200130156017149758"</f>
        <v>20200130156017149758</v>
      </c>
      <c r="B757" t="s">
        <v>124</v>
      </c>
      <c r="C757" t="s">
        <v>124</v>
      </c>
      <c r="D757" t="s">
        <v>3418</v>
      </c>
      <c r="E757" t="str">
        <f>"761470728201"</f>
        <v>761470728201</v>
      </c>
      <c r="F757" t="s">
        <v>52</v>
      </c>
      <c r="G757">
        <v>900247710</v>
      </c>
      <c r="H757">
        <v>76147</v>
      </c>
      <c r="I757" t="s">
        <v>526</v>
      </c>
      <c r="J757">
        <v>2108988</v>
      </c>
      <c r="K757" t="s">
        <v>54</v>
      </c>
      <c r="L757">
        <v>18615571</v>
      </c>
      <c r="M757" t="s">
        <v>164</v>
      </c>
      <c r="N757" t="s">
        <v>527</v>
      </c>
      <c r="O757" t="s">
        <v>528</v>
      </c>
      <c r="P757" t="s">
        <v>249</v>
      </c>
      <c r="Q757" t="s">
        <v>529</v>
      </c>
      <c r="R757" t="s">
        <v>54</v>
      </c>
      <c r="S757">
        <v>1004153912</v>
      </c>
      <c r="T757" t="s">
        <v>3419</v>
      </c>
      <c r="U757" t="s">
        <v>3420</v>
      </c>
      <c r="V757" t="s">
        <v>1060</v>
      </c>
      <c r="W757" t="s">
        <v>3421</v>
      </c>
      <c r="X757" t="s">
        <v>277</v>
      </c>
      <c r="Y757" t="s">
        <v>64</v>
      </c>
      <c r="Z757">
        <v>12</v>
      </c>
      <c r="AA757" t="s">
        <v>65</v>
      </c>
      <c r="AB757" t="s">
        <v>56</v>
      </c>
      <c r="AC757" t="s">
        <v>56</v>
      </c>
      <c r="AD757">
        <v>0</v>
      </c>
      <c r="AE757" t="s">
        <v>66</v>
      </c>
      <c r="AF757" t="s">
        <v>56</v>
      </c>
      <c r="AG757" t="s">
        <v>56</v>
      </c>
      <c r="AH757" t="s">
        <v>56</v>
      </c>
      <c r="AI757" t="s">
        <v>56</v>
      </c>
      <c r="AJ757" t="s">
        <v>536</v>
      </c>
      <c r="AK757" t="s">
        <v>537</v>
      </c>
      <c r="AL757" t="s">
        <v>56</v>
      </c>
      <c r="AM757" t="s">
        <v>56</v>
      </c>
      <c r="AN757" t="s">
        <v>56</v>
      </c>
      <c r="AO757" t="s">
        <v>56</v>
      </c>
      <c r="AP757" t="s">
        <v>56</v>
      </c>
      <c r="AQ757" t="s">
        <v>71</v>
      </c>
      <c r="AR757" t="s">
        <v>56</v>
      </c>
      <c r="AS757" t="s">
        <v>56</v>
      </c>
      <c r="AT757" t="s">
        <v>56</v>
      </c>
      <c r="AU757" t="s">
        <v>56</v>
      </c>
      <c r="AV757" t="s">
        <v>56</v>
      </c>
      <c r="AW757" t="s">
        <v>56</v>
      </c>
      <c r="AX757">
        <v>4</v>
      </c>
    </row>
    <row r="758" spans="1:50" x14ac:dyDescent="0.25">
      <c r="A758" t="str">
        <f>"20200130116017148551"</f>
        <v>20200130116017148551</v>
      </c>
      <c r="B758" t="s">
        <v>124</v>
      </c>
      <c r="C758" t="s">
        <v>124</v>
      </c>
      <c r="D758" t="s">
        <v>3422</v>
      </c>
      <c r="E758" t="str">
        <f>"700010003801"</f>
        <v>700010003801</v>
      </c>
      <c r="F758" t="s">
        <v>52</v>
      </c>
      <c r="G758">
        <v>823003317</v>
      </c>
      <c r="H758">
        <v>70001</v>
      </c>
      <c r="I758" t="s">
        <v>323</v>
      </c>
      <c r="J758">
        <v>2818471</v>
      </c>
      <c r="K758" t="s">
        <v>54</v>
      </c>
      <c r="L758">
        <v>64549528</v>
      </c>
      <c r="M758" t="s">
        <v>2721</v>
      </c>
      <c r="N758" t="s">
        <v>3423</v>
      </c>
      <c r="O758" t="s">
        <v>3424</v>
      </c>
      <c r="P758" t="s">
        <v>608</v>
      </c>
      <c r="Q758">
        <v>1668</v>
      </c>
      <c r="R758" t="s">
        <v>54</v>
      </c>
      <c r="S758">
        <v>23068593</v>
      </c>
      <c r="T758" t="s">
        <v>2745</v>
      </c>
      <c r="U758" t="s">
        <v>117</v>
      </c>
      <c r="V758" t="s">
        <v>649</v>
      </c>
      <c r="W758" t="s">
        <v>197</v>
      </c>
      <c r="X758" t="s">
        <v>3319</v>
      </c>
      <c r="Y758" t="s">
        <v>330</v>
      </c>
      <c r="Z758">
        <v>12</v>
      </c>
      <c r="AA758" t="s">
        <v>65</v>
      </c>
      <c r="AB758" t="s">
        <v>56</v>
      </c>
      <c r="AC758" t="s">
        <v>56</v>
      </c>
      <c r="AD758">
        <v>0</v>
      </c>
      <c r="AE758" t="s">
        <v>66</v>
      </c>
      <c r="AF758" t="s">
        <v>56</v>
      </c>
      <c r="AG758" t="s">
        <v>56</v>
      </c>
      <c r="AH758" t="s">
        <v>56</v>
      </c>
      <c r="AI758" t="s">
        <v>56</v>
      </c>
      <c r="AJ758" t="s">
        <v>122</v>
      </c>
      <c r="AK758" t="s">
        <v>123</v>
      </c>
      <c r="AL758" t="s">
        <v>3425</v>
      </c>
      <c r="AM758" t="s">
        <v>3426</v>
      </c>
      <c r="AN758" t="s">
        <v>56</v>
      </c>
      <c r="AO758" t="s">
        <v>56</v>
      </c>
      <c r="AP758" t="s">
        <v>56</v>
      </c>
      <c r="AQ758" t="s">
        <v>71</v>
      </c>
      <c r="AR758" t="s">
        <v>56</v>
      </c>
      <c r="AS758" t="s">
        <v>56</v>
      </c>
      <c r="AT758" t="s">
        <v>56</v>
      </c>
      <c r="AU758" t="s">
        <v>56</v>
      </c>
      <c r="AV758" t="s">
        <v>56</v>
      </c>
      <c r="AW758" t="s">
        <v>56</v>
      </c>
      <c r="AX758">
        <v>4</v>
      </c>
    </row>
    <row r="759" spans="1:50" x14ac:dyDescent="0.25">
      <c r="A759" t="str">
        <f>"20200124184016999984"</f>
        <v>20200124184016999984</v>
      </c>
      <c r="B759" t="s">
        <v>201</v>
      </c>
      <c r="C759" t="s">
        <v>201</v>
      </c>
      <c r="D759" t="s">
        <v>3427</v>
      </c>
      <c r="E759" t="str">
        <f>"200010001801"</f>
        <v>200010001801</v>
      </c>
      <c r="F759" t="s">
        <v>52</v>
      </c>
      <c r="G759">
        <v>900008328</v>
      </c>
      <c r="H759">
        <v>20001</v>
      </c>
      <c r="I759" t="s">
        <v>336</v>
      </c>
      <c r="J759" t="s">
        <v>337</v>
      </c>
      <c r="K759" t="s">
        <v>54</v>
      </c>
      <c r="L759">
        <v>49795929</v>
      </c>
      <c r="M759" t="s">
        <v>2576</v>
      </c>
      <c r="N759" t="s">
        <v>205</v>
      </c>
      <c r="O759" t="s">
        <v>2882</v>
      </c>
      <c r="P759" t="s">
        <v>108</v>
      </c>
      <c r="Q759">
        <v>7932004</v>
      </c>
      <c r="R759" t="s">
        <v>237</v>
      </c>
      <c r="S759">
        <v>1062804071</v>
      </c>
      <c r="T759" t="s">
        <v>1747</v>
      </c>
      <c r="U759" t="s">
        <v>205</v>
      </c>
      <c r="V759" t="s">
        <v>560</v>
      </c>
      <c r="W759" t="s">
        <v>119</v>
      </c>
      <c r="X759" t="s">
        <v>660</v>
      </c>
      <c r="Y759" t="s">
        <v>86</v>
      </c>
      <c r="Z759">
        <v>11</v>
      </c>
      <c r="AA759" t="s">
        <v>87</v>
      </c>
      <c r="AB759" t="s">
        <v>56</v>
      </c>
      <c r="AC759" t="s">
        <v>56</v>
      </c>
      <c r="AD759">
        <v>0</v>
      </c>
      <c r="AE759" t="s">
        <v>66</v>
      </c>
      <c r="AF759" t="s">
        <v>56</v>
      </c>
      <c r="AG759" t="s">
        <v>56</v>
      </c>
      <c r="AH759" t="s">
        <v>56</v>
      </c>
      <c r="AI759" t="s">
        <v>56</v>
      </c>
      <c r="AJ759" t="s">
        <v>2794</v>
      </c>
      <c r="AK759" t="s">
        <v>2795</v>
      </c>
      <c r="AL759" t="s">
        <v>56</v>
      </c>
      <c r="AM759" t="s">
        <v>56</v>
      </c>
      <c r="AN759" t="s">
        <v>56</v>
      </c>
      <c r="AO759" t="s">
        <v>56</v>
      </c>
      <c r="AP759" t="s">
        <v>56</v>
      </c>
      <c r="AQ759" t="s">
        <v>71</v>
      </c>
      <c r="AR759" t="s">
        <v>56</v>
      </c>
      <c r="AS759" t="s">
        <v>56</v>
      </c>
      <c r="AT759" t="s">
        <v>56</v>
      </c>
      <c r="AU759" t="s">
        <v>56</v>
      </c>
      <c r="AV759" t="s">
        <v>56</v>
      </c>
      <c r="AW759" t="s">
        <v>56</v>
      </c>
      <c r="AX759">
        <v>4</v>
      </c>
    </row>
    <row r="760" spans="1:50" x14ac:dyDescent="0.25">
      <c r="A760" t="str">
        <f>"20200130179017129676"</f>
        <v>20200130179017129676</v>
      </c>
      <c r="B760" t="s">
        <v>124</v>
      </c>
      <c r="C760" t="s">
        <v>124</v>
      </c>
      <c r="D760" t="s">
        <v>3428</v>
      </c>
      <c r="E760" t="str">
        <f>"130010118701"</f>
        <v>130010118701</v>
      </c>
      <c r="F760" t="s">
        <v>52</v>
      </c>
      <c r="G760">
        <v>890480135</v>
      </c>
      <c r="H760">
        <v>13001</v>
      </c>
      <c r="I760" t="s">
        <v>1442</v>
      </c>
      <c r="J760" t="s">
        <v>1443</v>
      </c>
      <c r="K760" t="s">
        <v>54</v>
      </c>
      <c r="L760">
        <v>3808883</v>
      </c>
      <c r="M760" t="s">
        <v>233</v>
      </c>
      <c r="N760" t="s">
        <v>56</v>
      </c>
      <c r="O760" t="s">
        <v>1239</v>
      </c>
      <c r="P760" t="s">
        <v>1025</v>
      </c>
      <c r="Q760">
        <v>7857</v>
      </c>
      <c r="R760" t="s">
        <v>237</v>
      </c>
      <c r="S760">
        <v>1052731596</v>
      </c>
      <c r="T760" t="s">
        <v>2475</v>
      </c>
      <c r="U760" t="s">
        <v>519</v>
      </c>
      <c r="V760" t="s">
        <v>3429</v>
      </c>
      <c r="W760" t="s">
        <v>938</v>
      </c>
      <c r="X760" t="s">
        <v>1239</v>
      </c>
      <c r="Y760" t="s">
        <v>101</v>
      </c>
      <c r="Z760">
        <v>12</v>
      </c>
      <c r="AA760" t="s">
        <v>65</v>
      </c>
      <c r="AB760" t="s">
        <v>56</v>
      </c>
      <c r="AC760" t="s">
        <v>56</v>
      </c>
      <c r="AD760">
        <v>0</v>
      </c>
      <c r="AE760" t="s">
        <v>66</v>
      </c>
      <c r="AF760" t="s">
        <v>56</v>
      </c>
      <c r="AG760" t="s">
        <v>56</v>
      </c>
      <c r="AH760" t="s">
        <v>56</v>
      </c>
      <c r="AI760" t="s">
        <v>56</v>
      </c>
      <c r="AJ760" t="s">
        <v>2202</v>
      </c>
      <c r="AK760" t="s">
        <v>2203</v>
      </c>
      <c r="AL760" t="s">
        <v>56</v>
      </c>
      <c r="AM760" t="s">
        <v>56</v>
      </c>
      <c r="AN760" t="s">
        <v>56</v>
      </c>
      <c r="AO760" t="s">
        <v>56</v>
      </c>
      <c r="AP760" t="s">
        <v>56</v>
      </c>
      <c r="AQ760" t="s">
        <v>71</v>
      </c>
      <c r="AR760" t="s">
        <v>56</v>
      </c>
      <c r="AS760" t="s">
        <v>56</v>
      </c>
      <c r="AT760" t="s">
        <v>56</v>
      </c>
      <c r="AU760" t="s">
        <v>56</v>
      </c>
      <c r="AV760" t="s">
        <v>56</v>
      </c>
      <c r="AW760" t="s">
        <v>56</v>
      </c>
      <c r="AX760">
        <v>4</v>
      </c>
    </row>
    <row r="761" spans="1:50" x14ac:dyDescent="0.25">
      <c r="A761" t="str">
        <f>"20200128190017076004"</f>
        <v>20200128190017076004</v>
      </c>
      <c r="B761" t="s">
        <v>151</v>
      </c>
      <c r="C761" t="s">
        <v>151</v>
      </c>
      <c r="D761" t="s">
        <v>3430</v>
      </c>
      <c r="E761" t="str">
        <f>"087580053302"</f>
        <v>087580053302</v>
      </c>
      <c r="F761" t="s">
        <v>52</v>
      </c>
      <c r="G761">
        <v>800033723</v>
      </c>
      <c r="H761" t="s">
        <v>74</v>
      </c>
      <c r="I761" t="s">
        <v>3431</v>
      </c>
      <c r="J761">
        <v>3857970</v>
      </c>
      <c r="K761" t="s">
        <v>54</v>
      </c>
      <c r="L761">
        <v>45761704</v>
      </c>
      <c r="M761" t="s">
        <v>470</v>
      </c>
      <c r="N761" t="s">
        <v>3432</v>
      </c>
      <c r="O761" t="s">
        <v>3349</v>
      </c>
      <c r="P761" t="s">
        <v>99</v>
      </c>
      <c r="Q761" t="s">
        <v>56</v>
      </c>
      <c r="R761" t="s">
        <v>237</v>
      </c>
      <c r="S761">
        <v>1080671710</v>
      </c>
      <c r="T761" t="s">
        <v>250</v>
      </c>
      <c r="U761" t="s">
        <v>132</v>
      </c>
      <c r="V761" t="s">
        <v>240</v>
      </c>
      <c r="W761" t="s">
        <v>3433</v>
      </c>
      <c r="X761" t="s">
        <v>1563</v>
      </c>
      <c r="Y761" t="s">
        <v>345</v>
      </c>
      <c r="Z761">
        <v>11</v>
      </c>
      <c r="AA761" t="s">
        <v>87</v>
      </c>
      <c r="AB761" t="s">
        <v>56</v>
      </c>
      <c r="AC761" t="s">
        <v>56</v>
      </c>
      <c r="AD761">
        <v>0</v>
      </c>
      <c r="AE761" t="s">
        <v>66</v>
      </c>
      <c r="AF761" t="s">
        <v>56</v>
      </c>
      <c r="AG761" t="s">
        <v>56</v>
      </c>
      <c r="AH761" t="s">
        <v>56</v>
      </c>
      <c r="AI761" t="s">
        <v>56</v>
      </c>
      <c r="AJ761" t="s">
        <v>2672</v>
      </c>
      <c r="AK761" t="s">
        <v>2673</v>
      </c>
      <c r="AL761" t="s">
        <v>56</v>
      </c>
      <c r="AM761" t="s">
        <v>56</v>
      </c>
      <c r="AN761" t="s">
        <v>56</v>
      </c>
      <c r="AO761" t="s">
        <v>56</v>
      </c>
      <c r="AP761" t="s">
        <v>56</v>
      </c>
      <c r="AQ761" t="s">
        <v>71</v>
      </c>
      <c r="AR761" t="s">
        <v>56</v>
      </c>
      <c r="AS761" t="s">
        <v>56</v>
      </c>
      <c r="AT761" t="s">
        <v>56</v>
      </c>
      <c r="AU761" t="s">
        <v>56</v>
      </c>
      <c r="AV761" t="s">
        <v>56</v>
      </c>
      <c r="AW761" t="s">
        <v>56</v>
      </c>
      <c r="AX761">
        <v>4</v>
      </c>
    </row>
    <row r="762" spans="1:50" x14ac:dyDescent="0.25">
      <c r="A762" t="str">
        <f>"20200128166017076215"</f>
        <v>20200128166017076215</v>
      </c>
      <c r="B762" t="s">
        <v>151</v>
      </c>
      <c r="C762" t="s">
        <v>151</v>
      </c>
      <c r="D762" t="s">
        <v>3434</v>
      </c>
      <c r="E762" t="str">
        <f>"087580053302"</f>
        <v>087580053302</v>
      </c>
      <c r="F762" t="s">
        <v>52</v>
      </c>
      <c r="G762">
        <v>800033723</v>
      </c>
      <c r="H762" t="s">
        <v>74</v>
      </c>
      <c r="I762" t="s">
        <v>3431</v>
      </c>
      <c r="J762">
        <v>3857970</v>
      </c>
      <c r="K762" t="s">
        <v>54</v>
      </c>
      <c r="L762">
        <v>45761704</v>
      </c>
      <c r="M762" t="s">
        <v>470</v>
      </c>
      <c r="N762" t="s">
        <v>3432</v>
      </c>
      <c r="O762" t="s">
        <v>3349</v>
      </c>
      <c r="P762" t="s">
        <v>99</v>
      </c>
      <c r="Q762" t="s">
        <v>56</v>
      </c>
      <c r="R762" t="s">
        <v>237</v>
      </c>
      <c r="S762">
        <v>1080671710</v>
      </c>
      <c r="T762" t="s">
        <v>250</v>
      </c>
      <c r="U762" t="s">
        <v>132</v>
      </c>
      <c r="V762" t="s">
        <v>240</v>
      </c>
      <c r="W762" t="s">
        <v>3433</v>
      </c>
      <c r="X762" t="s">
        <v>1563</v>
      </c>
      <c r="Y762" t="s">
        <v>345</v>
      </c>
      <c r="Z762">
        <v>11</v>
      </c>
      <c r="AA762" t="s">
        <v>87</v>
      </c>
      <c r="AB762" t="s">
        <v>56</v>
      </c>
      <c r="AC762" t="s">
        <v>56</v>
      </c>
      <c r="AD762">
        <v>0</v>
      </c>
      <c r="AE762" t="s">
        <v>66</v>
      </c>
      <c r="AF762" t="s">
        <v>56</v>
      </c>
      <c r="AG762" t="s">
        <v>56</v>
      </c>
      <c r="AH762" t="s">
        <v>56</v>
      </c>
      <c r="AI762" t="s">
        <v>56</v>
      </c>
      <c r="AJ762" t="s">
        <v>2672</v>
      </c>
      <c r="AK762" t="s">
        <v>2673</v>
      </c>
      <c r="AL762" t="s">
        <v>56</v>
      </c>
      <c r="AM762" t="s">
        <v>56</v>
      </c>
      <c r="AN762" t="s">
        <v>56</v>
      </c>
      <c r="AO762" t="s">
        <v>56</v>
      </c>
      <c r="AP762" t="s">
        <v>56</v>
      </c>
      <c r="AQ762" t="s">
        <v>71</v>
      </c>
      <c r="AR762" t="s">
        <v>56</v>
      </c>
      <c r="AS762" t="s">
        <v>56</v>
      </c>
      <c r="AT762" t="s">
        <v>56</v>
      </c>
      <c r="AU762" t="s">
        <v>56</v>
      </c>
      <c r="AV762" t="s">
        <v>56</v>
      </c>
      <c r="AW762" t="s">
        <v>56</v>
      </c>
      <c r="AX762">
        <v>4</v>
      </c>
    </row>
    <row r="763" spans="1:50" x14ac:dyDescent="0.25">
      <c r="A763" t="str">
        <f>"20200131171017166567"</f>
        <v>20200131171017166567</v>
      </c>
      <c r="B763" t="s">
        <v>110</v>
      </c>
      <c r="C763" t="s">
        <v>110</v>
      </c>
      <c r="D763" t="s">
        <v>3435</v>
      </c>
      <c r="E763" t="str">
        <f>"080010022301"</f>
        <v>080010022301</v>
      </c>
      <c r="F763" t="s">
        <v>52</v>
      </c>
      <c r="G763">
        <v>72125229</v>
      </c>
      <c r="H763" t="s">
        <v>112</v>
      </c>
      <c r="I763" t="s">
        <v>303</v>
      </c>
      <c r="J763">
        <v>3781924</v>
      </c>
      <c r="K763" t="s">
        <v>54</v>
      </c>
      <c r="L763">
        <v>72125229</v>
      </c>
      <c r="M763" t="s">
        <v>304</v>
      </c>
      <c r="N763" t="s">
        <v>56</v>
      </c>
      <c r="O763" t="s">
        <v>305</v>
      </c>
      <c r="P763" t="s">
        <v>306</v>
      </c>
      <c r="Q763" t="s">
        <v>56</v>
      </c>
      <c r="R763" t="s">
        <v>54</v>
      </c>
      <c r="S763">
        <v>8801756</v>
      </c>
      <c r="T763" t="s">
        <v>250</v>
      </c>
      <c r="U763" t="s">
        <v>132</v>
      </c>
      <c r="V763" t="s">
        <v>1108</v>
      </c>
      <c r="W763" t="s">
        <v>2882</v>
      </c>
      <c r="X763" t="s">
        <v>120</v>
      </c>
      <c r="Y763" t="s">
        <v>121</v>
      </c>
      <c r="Z763">
        <v>12</v>
      </c>
      <c r="AA763" t="s">
        <v>65</v>
      </c>
      <c r="AB763" t="s">
        <v>56</v>
      </c>
      <c r="AC763" t="s">
        <v>56</v>
      </c>
      <c r="AD763">
        <v>0</v>
      </c>
      <c r="AE763" t="s">
        <v>66</v>
      </c>
      <c r="AF763" t="s">
        <v>56</v>
      </c>
      <c r="AG763" t="s">
        <v>56</v>
      </c>
      <c r="AH763" t="s">
        <v>56</v>
      </c>
      <c r="AI763" t="s">
        <v>56</v>
      </c>
      <c r="AJ763" t="s">
        <v>942</v>
      </c>
      <c r="AK763" t="s">
        <v>943</v>
      </c>
      <c r="AL763" t="s">
        <v>56</v>
      </c>
      <c r="AM763" t="s">
        <v>56</v>
      </c>
      <c r="AN763" t="s">
        <v>56</v>
      </c>
      <c r="AO763" t="s">
        <v>56</v>
      </c>
      <c r="AP763" t="s">
        <v>56</v>
      </c>
      <c r="AQ763" t="s">
        <v>71</v>
      </c>
      <c r="AR763" t="s">
        <v>56</v>
      </c>
      <c r="AS763" t="s">
        <v>56</v>
      </c>
      <c r="AT763" t="s">
        <v>56</v>
      </c>
      <c r="AU763" t="s">
        <v>56</v>
      </c>
      <c r="AV763" t="s">
        <v>56</v>
      </c>
      <c r="AW763" t="s">
        <v>56</v>
      </c>
      <c r="AX763">
        <v>4</v>
      </c>
    </row>
    <row r="764" spans="1:50" x14ac:dyDescent="0.25">
      <c r="A764" t="str">
        <f>"20200128120017093022"</f>
        <v>20200128120017093022</v>
      </c>
      <c r="B764" t="s">
        <v>151</v>
      </c>
      <c r="C764" t="s">
        <v>151</v>
      </c>
      <c r="D764" t="s">
        <v>3436</v>
      </c>
      <c r="E764" t="str">
        <f>"080010409201"</f>
        <v>080010409201</v>
      </c>
      <c r="F764" t="s">
        <v>52</v>
      </c>
      <c r="G764">
        <v>900448414</v>
      </c>
      <c r="H764" t="s">
        <v>112</v>
      </c>
      <c r="I764" t="s">
        <v>785</v>
      </c>
      <c r="J764">
        <v>3545674</v>
      </c>
      <c r="K764" t="s">
        <v>54</v>
      </c>
      <c r="L764">
        <v>85470076</v>
      </c>
      <c r="M764" t="s">
        <v>916</v>
      </c>
      <c r="N764" t="s">
        <v>1115</v>
      </c>
      <c r="O764" t="s">
        <v>274</v>
      </c>
      <c r="P764" t="s">
        <v>1116</v>
      </c>
      <c r="Q764">
        <v>2110</v>
      </c>
      <c r="R764" t="s">
        <v>54</v>
      </c>
      <c r="S764">
        <v>6575999</v>
      </c>
      <c r="T764" t="s">
        <v>281</v>
      </c>
      <c r="U764" t="s">
        <v>3437</v>
      </c>
      <c r="V764" t="s">
        <v>129</v>
      </c>
      <c r="W764" t="s">
        <v>3438</v>
      </c>
      <c r="X764" t="s">
        <v>120</v>
      </c>
      <c r="Y764" t="s">
        <v>121</v>
      </c>
      <c r="Z764">
        <v>12</v>
      </c>
      <c r="AA764" t="s">
        <v>65</v>
      </c>
      <c r="AB764" t="s">
        <v>56</v>
      </c>
      <c r="AC764" t="s">
        <v>56</v>
      </c>
      <c r="AD764">
        <v>0</v>
      </c>
      <c r="AE764" t="s">
        <v>66</v>
      </c>
      <c r="AF764" t="s">
        <v>56</v>
      </c>
      <c r="AG764" t="s">
        <v>56</v>
      </c>
      <c r="AH764" t="s">
        <v>56</v>
      </c>
      <c r="AI764" t="s">
        <v>56</v>
      </c>
      <c r="AJ764" t="s">
        <v>1119</v>
      </c>
      <c r="AK764" t="s">
        <v>1120</v>
      </c>
      <c r="AL764" t="s">
        <v>56</v>
      </c>
      <c r="AM764" t="s">
        <v>56</v>
      </c>
      <c r="AN764" t="s">
        <v>56</v>
      </c>
      <c r="AO764" t="s">
        <v>56</v>
      </c>
      <c r="AP764" t="s">
        <v>56</v>
      </c>
      <c r="AQ764" t="s">
        <v>71</v>
      </c>
      <c r="AR764" t="s">
        <v>56</v>
      </c>
      <c r="AS764" t="s">
        <v>56</v>
      </c>
      <c r="AT764" t="s">
        <v>56</v>
      </c>
      <c r="AU764" t="s">
        <v>56</v>
      </c>
      <c r="AV764" t="s">
        <v>56</v>
      </c>
      <c r="AW764" t="s">
        <v>56</v>
      </c>
      <c r="AX764">
        <v>4</v>
      </c>
    </row>
    <row r="765" spans="1:50" x14ac:dyDescent="0.25">
      <c r="A765" t="str">
        <f>"20200126180017037109"</f>
        <v>20200126180017037109</v>
      </c>
      <c r="B765" t="s">
        <v>244</v>
      </c>
      <c r="C765" t="s">
        <v>244</v>
      </c>
      <c r="D765" t="s">
        <v>3439</v>
      </c>
      <c r="E765" t="str">
        <f>"134300049201"</f>
        <v>134300049201</v>
      </c>
      <c r="F765" t="s">
        <v>52</v>
      </c>
      <c r="G765">
        <v>900196347</v>
      </c>
      <c r="H765">
        <v>13430</v>
      </c>
      <c r="I765" t="s">
        <v>174</v>
      </c>
      <c r="J765" t="s">
        <v>175</v>
      </c>
      <c r="K765" t="s">
        <v>54</v>
      </c>
      <c r="L765">
        <v>80232160</v>
      </c>
      <c r="M765" t="s">
        <v>81</v>
      </c>
      <c r="N765" t="s">
        <v>2095</v>
      </c>
      <c r="O765" t="s">
        <v>2928</v>
      </c>
      <c r="P765" t="s">
        <v>1476</v>
      </c>
      <c r="Q765">
        <v>44304</v>
      </c>
      <c r="R765" t="s">
        <v>54</v>
      </c>
      <c r="S765">
        <v>920088</v>
      </c>
      <c r="T765" t="s">
        <v>76</v>
      </c>
      <c r="U765" t="s">
        <v>132</v>
      </c>
      <c r="V765" t="s">
        <v>1574</v>
      </c>
      <c r="W765" t="s">
        <v>1541</v>
      </c>
      <c r="X765" t="s">
        <v>183</v>
      </c>
      <c r="Y765" t="s">
        <v>101</v>
      </c>
      <c r="Z765">
        <v>22</v>
      </c>
      <c r="AA765" t="s">
        <v>102</v>
      </c>
      <c r="AB765">
        <v>0</v>
      </c>
      <c r="AC765" t="s">
        <v>66</v>
      </c>
      <c r="AD765">
        <v>0</v>
      </c>
      <c r="AE765" t="s">
        <v>66</v>
      </c>
      <c r="AF765" t="s">
        <v>56</v>
      </c>
      <c r="AG765" t="s">
        <v>56</v>
      </c>
      <c r="AH765" t="s">
        <v>56</v>
      </c>
      <c r="AI765" t="s">
        <v>56</v>
      </c>
      <c r="AJ765" t="s">
        <v>1785</v>
      </c>
      <c r="AK765" t="s">
        <v>1786</v>
      </c>
      <c r="AL765" t="s">
        <v>56</v>
      </c>
      <c r="AM765" t="s">
        <v>56</v>
      </c>
      <c r="AN765" t="s">
        <v>56</v>
      </c>
      <c r="AO765" t="s">
        <v>56</v>
      </c>
      <c r="AP765" t="s">
        <v>56</v>
      </c>
      <c r="AQ765" t="s">
        <v>71</v>
      </c>
      <c r="AR765" t="s">
        <v>56</v>
      </c>
      <c r="AS765" t="s">
        <v>56</v>
      </c>
      <c r="AT765" t="s">
        <v>56</v>
      </c>
      <c r="AU765" t="s">
        <v>56</v>
      </c>
      <c r="AV765" t="s">
        <v>56</v>
      </c>
      <c r="AW765" t="s">
        <v>56</v>
      </c>
      <c r="AX765">
        <v>4</v>
      </c>
    </row>
    <row r="766" spans="1:50" x14ac:dyDescent="0.25">
      <c r="A766" t="str">
        <f>"20200124170017004508"</f>
        <v>20200124170017004508</v>
      </c>
      <c r="B766" t="s">
        <v>201</v>
      </c>
      <c r="C766" t="s">
        <v>201</v>
      </c>
      <c r="D766" t="s">
        <v>3440</v>
      </c>
      <c r="E766" t="str">
        <f>"200010038901"</f>
        <v>200010038901</v>
      </c>
      <c r="F766" t="s">
        <v>52</v>
      </c>
      <c r="G766">
        <v>824004867</v>
      </c>
      <c r="H766">
        <v>20001</v>
      </c>
      <c r="I766" t="s">
        <v>1232</v>
      </c>
      <c r="J766" t="s">
        <v>1233</v>
      </c>
      <c r="K766" t="s">
        <v>54</v>
      </c>
      <c r="L766">
        <v>8711046</v>
      </c>
      <c r="M766" t="s">
        <v>261</v>
      </c>
      <c r="N766" t="s">
        <v>164</v>
      </c>
      <c r="O766" t="s">
        <v>343</v>
      </c>
      <c r="P766" t="s">
        <v>362</v>
      </c>
      <c r="Q766">
        <v>11109</v>
      </c>
      <c r="R766" t="s">
        <v>54</v>
      </c>
      <c r="S766">
        <v>77187636</v>
      </c>
      <c r="T766" t="s">
        <v>3441</v>
      </c>
      <c r="U766" t="s">
        <v>916</v>
      </c>
      <c r="V766" t="s">
        <v>564</v>
      </c>
      <c r="W766" t="s">
        <v>587</v>
      </c>
      <c r="X766" t="s">
        <v>462</v>
      </c>
      <c r="Y766" t="s">
        <v>86</v>
      </c>
      <c r="Z766">
        <v>12</v>
      </c>
      <c r="AA766" t="s">
        <v>65</v>
      </c>
      <c r="AB766" t="s">
        <v>56</v>
      </c>
      <c r="AC766" t="s">
        <v>56</v>
      </c>
      <c r="AD766">
        <v>0</v>
      </c>
      <c r="AE766" t="s">
        <v>66</v>
      </c>
      <c r="AF766" t="s">
        <v>56</v>
      </c>
      <c r="AG766" t="s">
        <v>56</v>
      </c>
      <c r="AH766" t="s">
        <v>56</v>
      </c>
      <c r="AI766" t="s">
        <v>56</v>
      </c>
      <c r="AJ766" t="s">
        <v>545</v>
      </c>
      <c r="AK766" t="s">
        <v>546</v>
      </c>
      <c r="AL766" t="s">
        <v>56</v>
      </c>
      <c r="AM766" t="s">
        <v>56</v>
      </c>
      <c r="AN766" t="s">
        <v>56</v>
      </c>
      <c r="AO766" t="s">
        <v>56</v>
      </c>
      <c r="AP766" t="s">
        <v>56</v>
      </c>
      <c r="AQ766" t="s">
        <v>71</v>
      </c>
      <c r="AR766" t="s">
        <v>56</v>
      </c>
      <c r="AS766" t="s">
        <v>56</v>
      </c>
      <c r="AT766" t="s">
        <v>56</v>
      </c>
      <c r="AU766" t="s">
        <v>56</v>
      </c>
      <c r="AV766" t="s">
        <v>56</v>
      </c>
      <c r="AW766" t="s">
        <v>56</v>
      </c>
      <c r="AX766">
        <v>4</v>
      </c>
    </row>
    <row r="767" spans="1:50" x14ac:dyDescent="0.25">
      <c r="A767" t="str">
        <f>"20200129124017111653"</f>
        <v>20200129124017111653</v>
      </c>
      <c r="B767" t="s">
        <v>72</v>
      </c>
      <c r="C767" t="s">
        <v>72</v>
      </c>
      <c r="D767" t="s">
        <v>3442</v>
      </c>
      <c r="E767" t="str">
        <f>"086380015501"</f>
        <v>086380015501</v>
      </c>
      <c r="F767" t="s">
        <v>52</v>
      </c>
      <c r="G767">
        <v>802010241</v>
      </c>
      <c r="H767" t="s">
        <v>246</v>
      </c>
      <c r="I767" t="s">
        <v>1162</v>
      </c>
      <c r="J767">
        <v>8781332</v>
      </c>
      <c r="K767" t="s">
        <v>54</v>
      </c>
      <c r="L767">
        <v>22637225</v>
      </c>
      <c r="M767" t="s">
        <v>1163</v>
      </c>
      <c r="N767" t="s">
        <v>1164</v>
      </c>
      <c r="O767" t="s">
        <v>691</v>
      </c>
      <c r="P767" t="s">
        <v>568</v>
      </c>
      <c r="Q767">
        <v>22637225</v>
      </c>
      <c r="R767" t="s">
        <v>440</v>
      </c>
      <c r="S767">
        <v>1043020798</v>
      </c>
      <c r="T767" t="s">
        <v>3443</v>
      </c>
      <c r="U767" t="s">
        <v>3444</v>
      </c>
      <c r="V767" t="s">
        <v>3445</v>
      </c>
      <c r="W767" t="s">
        <v>425</v>
      </c>
      <c r="X767" t="s">
        <v>590</v>
      </c>
      <c r="Y767" t="s">
        <v>121</v>
      </c>
      <c r="Z767">
        <v>11</v>
      </c>
      <c r="AA767" t="s">
        <v>87</v>
      </c>
      <c r="AB767" t="s">
        <v>56</v>
      </c>
      <c r="AC767" t="s">
        <v>56</v>
      </c>
      <c r="AD767">
        <v>0</v>
      </c>
      <c r="AE767" t="s">
        <v>66</v>
      </c>
      <c r="AF767" t="s">
        <v>56</v>
      </c>
      <c r="AG767" t="s">
        <v>56</v>
      </c>
      <c r="AH767" t="s">
        <v>56</v>
      </c>
      <c r="AI767" t="s">
        <v>56</v>
      </c>
      <c r="AJ767" t="s">
        <v>591</v>
      </c>
      <c r="AK767" t="s">
        <v>592</v>
      </c>
      <c r="AL767" t="s">
        <v>2626</v>
      </c>
      <c r="AM767" t="s">
        <v>2627</v>
      </c>
      <c r="AN767" t="s">
        <v>56</v>
      </c>
      <c r="AO767" t="s">
        <v>56</v>
      </c>
      <c r="AP767" t="s">
        <v>56</v>
      </c>
      <c r="AQ767" t="s">
        <v>71</v>
      </c>
      <c r="AR767" t="s">
        <v>56</v>
      </c>
      <c r="AS767" t="s">
        <v>56</v>
      </c>
      <c r="AT767" t="s">
        <v>56</v>
      </c>
      <c r="AU767" t="s">
        <v>56</v>
      </c>
      <c r="AV767" t="s">
        <v>56</v>
      </c>
      <c r="AW767" t="s">
        <v>56</v>
      </c>
      <c r="AX767">
        <v>4</v>
      </c>
    </row>
    <row r="768" spans="1:50" x14ac:dyDescent="0.25">
      <c r="A768" t="str">
        <f>"20200124155017016212"</f>
        <v>20200124155017016212</v>
      </c>
      <c r="B768" t="s">
        <v>201</v>
      </c>
      <c r="C768" t="s">
        <v>201</v>
      </c>
      <c r="D768" t="s">
        <v>3446</v>
      </c>
      <c r="E768" t="str">
        <f>"200010222801"</f>
        <v>200010222801</v>
      </c>
      <c r="F768" t="s">
        <v>52</v>
      </c>
      <c r="G768">
        <v>901243826</v>
      </c>
      <c r="H768">
        <v>20001</v>
      </c>
      <c r="I768" t="s">
        <v>2719</v>
      </c>
      <c r="J768" t="s">
        <v>2720</v>
      </c>
      <c r="K768" t="s">
        <v>54</v>
      </c>
      <c r="L768">
        <v>8703687</v>
      </c>
      <c r="M768" t="s">
        <v>76</v>
      </c>
      <c r="N768" t="s">
        <v>424</v>
      </c>
      <c r="O768" t="s">
        <v>376</v>
      </c>
      <c r="P768" t="s">
        <v>675</v>
      </c>
      <c r="Q768">
        <v>2582</v>
      </c>
      <c r="R768" t="s">
        <v>54</v>
      </c>
      <c r="S768">
        <v>39004157</v>
      </c>
      <c r="T768" t="s">
        <v>2957</v>
      </c>
      <c r="U768" t="s">
        <v>2298</v>
      </c>
      <c r="V768" t="s">
        <v>3447</v>
      </c>
      <c r="W768" t="s">
        <v>659</v>
      </c>
      <c r="X768" t="s">
        <v>407</v>
      </c>
      <c r="Y768" t="s">
        <v>86</v>
      </c>
      <c r="Z768">
        <v>12</v>
      </c>
      <c r="AA768" t="s">
        <v>65</v>
      </c>
      <c r="AB768" t="s">
        <v>56</v>
      </c>
      <c r="AC768" t="s">
        <v>56</v>
      </c>
      <c r="AD768">
        <v>0</v>
      </c>
      <c r="AE768" t="s">
        <v>66</v>
      </c>
      <c r="AF768" t="s">
        <v>56</v>
      </c>
      <c r="AG768" t="s">
        <v>56</v>
      </c>
      <c r="AH768" t="s">
        <v>56</v>
      </c>
      <c r="AI768" t="s">
        <v>56</v>
      </c>
      <c r="AJ768" t="s">
        <v>395</v>
      </c>
      <c r="AK768" t="s">
        <v>396</v>
      </c>
      <c r="AL768" t="s">
        <v>56</v>
      </c>
      <c r="AM768" t="s">
        <v>56</v>
      </c>
      <c r="AN768" t="s">
        <v>56</v>
      </c>
      <c r="AO768" t="s">
        <v>56</v>
      </c>
      <c r="AP768" t="s">
        <v>56</v>
      </c>
      <c r="AQ768" t="s">
        <v>71</v>
      </c>
      <c r="AR768" t="s">
        <v>56</v>
      </c>
      <c r="AS768" t="s">
        <v>56</v>
      </c>
      <c r="AT768" t="s">
        <v>56</v>
      </c>
      <c r="AU768" t="s">
        <v>56</v>
      </c>
      <c r="AV768" t="s">
        <v>56</v>
      </c>
      <c r="AW768" t="s">
        <v>56</v>
      </c>
      <c r="AX768">
        <v>4</v>
      </c>
    </row>
    <row r="769" spans="1:50" x14ac:dyDescent="0.25">
      <c r="A769" t="str">
        <f>"20200130196017136512"</f>
        <v>20200130196017136512</v>
      </c>
      <c r="B769" t="s">
        <v>124</v>
      </c>
      <c r="C769" t="s">
        <v>124</v>
      </c>
      <c r="D769" t="s">
        <v>3448</v>
      </c>
      <c r="E769" t="str">
        <f>"700010146401"</f>
        <v>700010146401</v>
      </c>
      <c r="F769" t="s">
        <v>52</v>
      </c>
      <c r="G769">
        <v>900581036</v>
      </c>
      <c r="H769">
        <v>70001</v>
      </c>
      <c r="I769" t="s">
        <v>387</v>
      </c>
      <c r="J769">
        <v>2807683</v>
      </c>
      <c r="K769" t="s">
        <v>54</v>
      </c>
      <c r="L769">
        <v>92508651</v>
      </c>
      <c r="M769" t="s">
        <v>388</v>
      </c>
      <c r="N769" t="s">
        <v>94</v>
      </c>
      <c r="O769" t="s">
        <v>389</v>
      </c>
      <c r="P769" t="s">
        <v>390</v>
      </c>
      <c r="Q769" t="s">
        <v>391</v>
      </c>
      <c r="R769" t="s">
        <v>54</v>
      </c>
      <c r="S769">
        <v>6812687</v>
      </c>
      <c r="T769" t="s">
        <v>164</v>
      </c>
      <c r="U769" t="s">
        <v>423</v>
      </c>
      <c r="V769" t="s">
        <v>99</v>
      </c>
      <c r="W769" t="s">
        <v>198</v>
      </c>
      <c r="X769" t="s">
        <v>605</v>
      </c>
      <c r="Y769" t="s">
        <v>330</v>
      </c>
      <c r="Z769">
        <v>12</v>
      </c>
      <c r="AA769" t="s">
        <v>65</v>
      </c>
      <c r="AB769" t="s">
        <v>56</v>
      </c>
      <c r="AC769" t="s">
        <v>56</v>
      </c>
      <c r="AD769">
        <v>0</v>
      </c>
      <c r="AE769" t="s">
        <v>66</v>
      </c>
      <c r="AF769" t="s">
        <v>56</v>
      </c>
      <c r="AG769" t="s">
        <v>56</v>
      </c>
      <c r="AH769" t="s">
        <v>56</v>
      </c>
      <c r="AI769" t="s">
        <v>56</v>
      </c>
      <c r="AJ769" t="s">
        <v>2126</v>
      </c>
      <c r="AK769" t="s">
        <v>2127</v>
      </c>
      <c r="AL769" t="s">
        <v>747</v>
      </c>
      <c r="AM769" t="s">
        <v>748</v>
      </c>
      <c r="AN769" t="s">
        <v>56</v>
      </c>
      <c r="AO769" t="s">
        <v>56</v>
      </c>
      <c r="AP769" t="s">
        <v>56</v>
      </c>
      <c r="AQ769" t="s">
        <v>71</v>
      </c>
      <c r="AR769" t="s">
        <v>56</v>
      </c>
      <c r="AS769" t="s">
        <v>56</v>
      </c>
      <c r="AT769" t="s">
        <v>56</v>
      </c>
      <c r="AU769" t="s">
        <v>56</v>
      </c>
      <c r="AV769" t="s">
        <v>56</v>
      </c>
      <c r="AW769" t="s">
        <v>56</v>
      </c>
      <c r="AX769">
        <v>4</v>
      </c>
    </row>
    <row r="770" spans="1:50" x14ac:dyDescent="0.25">
      <c r="A770" t="str">
        <f>"20200127149017043760"</f>
        <v>20200127149017043760</v>
      </c>
      <c r="B770" t="s">
        <v>190</v>
      </c>
      <c r="C770" t="s">
        <v>190</v>
      </c>
      <c r="D770" t="s">
        <v>3449</v>
      </c>
      <c r="E770" t="str">
        <f>"085730086901"</f>
        <v>085730086901</v>
      </c>
      <c r="F770" t="s">
        <v>52</v>
      </c>
      <c r="G770">
        <v>900617858</v>
      </c>
      <c r="H770" t="s">
        <v>1605</v>
      </c>
      <c r="I770" t="s">
        <v>2564</v>
      </c>
      <c r="J770">
        <v>3584047</v>
      </c>
      <c r="K770" t="s">
        <v>54</v>
      </c>
      <c r="L770">
        <v>73192539</v>
      </c>
      <c r="M770" t="s">
        <v>2565</v>
      </c>
      <c r="N770" t="s">
        <v>56</v>
      </c>
      <c r="O770" t="s">
        <v>2566</v>
      </c>
      <c r="P770" t="s">
        <v>207</v>
      </c>
      <c r="Q770">
        <v>2312</v>
      </c>
      <c r="R770" t="s">
        <v>54</v>
      </c>
      <c r="S770">
        <v>8792558</v>
      </c>
      <c r="T770" t="s">
        <v>219</v>
      </c>
      <c r="U770" t="s">
        <v>326</v>
      </c>
      <c r="V770" t="s">
        <v>84</v>
      </c>
      <c r="W770" t="s">
        <v>99</v>
      </c>
      <c r="X770" t="s">
        <v>383</v>
      </c>
      <c r="Y770" t="s">
        <v>121</v>
      </c>
      <c r="Z770">
        <v>12</v>
      </c>
      <c r="AA770" t="s">
        <v>65</v>
      </c>
      <c r="AB770" t="s">
        <v>56</v>
      </c>
      <c r="AC770" t="s">
        <v>56</v>
      </c>
      <c r="AD770">
        <v>0</v>
      </c>
      <c r="AE770" t="s">
        <v>66</v>
      </c>
      <c r="AF770" t="s">
        <v>56</v>
      </c>
      <c r="AG770" t="s">
        <v>56</v>
      </c>
      <c r="AH770" t="s">
        <v>56</v>
      </c>
      <c r="AI770" t="s">
        <v>56</v>
      </c>
      <c r="AJ770" t="s">
        <v>1467</v>
      </c>
      <c r="AK770" t="s">
        <v>1468</v>
      </c>
      <c r="AL770" t="s">
        <v>56</v>
      </c>
      <c r="AM770" t="s">
        <v>56</v>
      </c>
      <c r="AN770" t="s">
        <v>56</v>
      </c>
      <c r="AO770" t="s">
        <v>56</v>
      </c>
      <c r="AP770" t="s">
        <v>56</v>
      </c>
      <c r="AQ770" t="s">
        <v>71</v>
      </c>
      <c r="AR770" t="s">
        <v>56</v>
      </c>
      <c r="AS770" t="s">
        <v>56</v>
      </c>
      <c r="AT770" t="s">
        <v>56</v>
      </c>
      <c r="AU770" t="s">
        <v>56</v>
      </c>
      <c r="AV770" t="s">
        <v>56</v>
      </c>
      <c r="AW770" t="s">
        <v>56</v>
      </c>
      <c r="AX770">
        <v>4</v>
      </c>
    </row>
    <row r="771" spans="1:50" x14ac:dyDescent="0.25">
      <c r="A771" t="str">
        <f>"20200131140017168064"</f>
        <v>20200131140017168064</v>
      </c>
      <c r="B771" t="s">
        <v>110</v>
      </c>
      <c r="C771" t="s">
        <v>110</v>
      </c>
      <c r="D771" t="s">
        <v>3450</v>
      </c>
      <c r="E771" t="str">
        <f>"080010054401"</f>
        <v>080010054401</v>
      </c>
      <c r="F771" t="s">
        <v>52</v>
      </c>
      <c r="G771">
        <v>800194798</v>
      </c>
      <c r="H771" t="s">
        <v>112</v>
      </c>
      <c r="I771" t="s">
        <v>616</v>
      </c>
      <c r="J771" t="s">
        <v>56</v>
      </c>
      <c r="K771" t="s">
        <v>54</v>
      </c>
      <c r="L771">
        <v>72008149</v>
      </c>
      <c r="M771" t="s">
        <v>1869</v>
      </c>
      <c r="N771" t="s">
        <v>56</v>
      </c>
      <c r="O771" t="s">
        <v>1870</v>
      </c>
      <c r="P771" t="s">
        <v>586</v>
      </c>
      <c r="Q771">
        <v>4323008</v>
      </c>
      <c r="R771" t="s">
        <v>54</v>
      </c>
      <c r="S771">
        <v>8792558</v>
      </c>
      <c r="T771" t="s">
        <v>219</v>
      </c>
      <c r="U771" t="s">
        <v>326</v>
      </c>
      <c r="V771" t="s">
        <v>84</v>
      </c>
      <c r="W771" t="s">
        <v>99</v>
      </c>
      <c r="X771" t="s">
        <v>383</v>
      </c>
      <c r="Y771" t="s">
        <v>121</v>
      </c>
      <c r="Z771">
        <v>12</v>
      </c>
      <c r="AA771" t="s">
        <v>65</v>
      </c>
      <c r="AB771" t="s">
        <v>56</v>
      </c>
      <c r="AC771" t="s">
        <v>56</v>
      </c>
      <c r="AD771">
        <v>0</v>
      </c>
      <c r="AE771" t="s">
        <v>66</v>
      </c>
      <c r="AF771" t="s">
        <v>56</v>
      </c>
      <c r="AG771" t="s">
        <v>56</v>
      </c>
      <c r="AH771" t="s">
        <v>56</v>
      </c>
      <c r="AI771" t="s">
        <v>56</v>
      </c>
      <c r="AJ771" t="s">
        <v>509</v>
      </c>
      <c r="AK771" t="s">
        <v>510</v>
      </c>
      <c r="AL771" t="s">
        <v>56</v>
      </c>
      <c r="AM771" t="s">
        <v>56</v>
      </c>
      <c r="AN771" t="s">
        <v>56</v>
      </c>
      <c r="AO771" t="s">
        <v>56</v>
      </c>
      <c r="AP771" t="s">
        <v>56</v>
      </c>
      <c r="AQ771" t="s">
        <v>71</v>
      </c>
      <c r="AR771" t="s">
        <v>56</v>
      </c>
      <c r="AS771" t="s">
        <v>56</v>
      </c>
      <c r="AT771" t="s">
        <v>56</v>
      </c>
      <c r="AU771" t="s">
        <v>56</v>
      </c>
      <c r="AV771" t="s">
        <v>56</v>
      </c>
      <c r="AW771" t="s">
        <v>56</v>
      </c>
      <c r="AX771">
        <v>4</v>
      </c>
    </row>
    <row r="772" spans="1:50" x14ac:dyDescent="0.25">
      <c r="A772" t="str">
        <f>"20200128126017083047"</f>
        <v>20200128126017083047</v>
      </c>
      <c r="B772" t="s">
        <v>151</v>
      </c>
      <c r="C772" t="s">
        <v>151</v>
      </c>
      <c r="D772" t="s">
        <v>3451</v>
      </c>
      <c r="E772" t="str">
        <f>"700010104501"</f>
        <v>700010104501</v>
      </c>
      <c r="F772" t="s">
        <v>52</v>
      </c>
      <c r="G772">
        <v>900112364</v>
      </c>
      <c r="H772">
        <v>70001</v>
      </c>
      <c r="I772" t="s">
        <v>2542</v>
      </c>
      <c r="J772">
        <v>2823970</v>
      </c>
      <c r="K772" t="s">
        <v>54</v>
      </c>
      <c r="L772">
        <v>73195759</v>
      </c>
      <c r="M772" t="s">
        <v>2543</v>
      </c>
      <c r="N772" t="s">
        <v>76</v>
      </c>
      <c r="O772" t="s">
        <v>1715</v>
      </c>
      <c r="P772" t="s">
        <v>1301</v>
      </c>
      <c r="Q772">
        <v>70739</v>
      </c>
      <c r="R772" t="s">
        <v>54</v>
      </c>
      <c r="S772">
        <v>3959300</v>
      </c>
      <c r="T772" t="s">
        <v>3452</v>
      </c>
      <c r="U772" t="s">
        <v>128</v>
      </c>
      <c r="V772" t="s">
        <v>3453</v>
      </c>
      <c r="W772" t="s">
        <v>3454</v>
      </c>
      <c r="X772" t="s">
        <v>2252</v>
      </c>
      <c r="Y772" t="s">
        <v>330</v>
      </c>
      <c r="Z772">
        <v>11</v>
      </c>
      <c r="AA772" t="s">
        <v>87</v>
      </c>
      <c r="AB772" t="s">
        <v>56</v>
      </c>
      <c r="AC772" t="s">
        <v>56</v>
      </c>
      <c r="AD772">
        <v>0</v>
      </c>
      <c r="AE772" t="s">
        <v>66</v>
      </c>
      <c r="AF772" t="s">
        <v>56</v>
      </c>
      <c r="AG772" t="s">
        <v>56</v>
      </c>
      <c r="AH772" t="s">
        <v>56</v>
      </c>
      <c r="AI772" t="s">
        <v>56</v>
      </c>
      <c r="AJ772" t="s">
        <v>3455</v>
      </c>
      <c r="AK772" t="s">
        <v>3456</v>
      </c>
      <c r="AL772" t="s">
        <v>333</v>
      </c>
      <c r="AM772" t="s">
        <v>334</v>
      </c>
      <c r="AN772" t="s">
        <v>56</v>
      </c>
      <c r="AO772" t="s">
        <v>56</v>
      </c>
      <c r="AP772" t="s">
        <v>56</v>
      </c>
      <c r="AQ772" t="s">
        <v>71</v>
      </c>
      <c r="AR772" t="s">
        <v>56</v>
      </c>
      <c r="AS772" t="s">
        <v>56</v>
      </c>
      <c r="AT772" t="s">
        <v>56</v>
      </c>
      <c r="AU772" t="s">
        <v>56</v>
      </c>
      <c r="AV772" t="s">
        <v>56</v>
      </c>
      <c r="AW772" t="s">
        <v>56</v>
      </c>
      <c r="AX772">
        <v>4</v>
      </c>
    </row>
    <row r="773" spans="1:50" x14ac:dyDescent="0.25">
      <c r="A773" t="str">
        <f>"20200201111017184213"</f>
        <v>20200201111017184213</v>
      </c>
      <c r="B773" t="s">
        <v>50</v>
      </c>
      <c r="C773" t="s">
        <v>50</v>
      </c>
      <c r="D773" t="s">
        <v>3457</v>
      </c>
      <c r="E773" t="str">
        <f>"080010003601"</f>
        <v>080010003601</v>
      </c>
      <c r="F773" t="s">
        <v>52</v>
      </c>
      <c r="G773">
        <v>802000955</v>
      </c>
      <c r="H773" t="s">
        <v>112</v>
      </c>
      <c r="I773" t="s">
        <v>218</v>
      </c>
      <c r="J773" t="s">
        <v>56</v>
      </c>
      <c r="K773" t="s">
        <v>54</v>
      </c>
      <c r="L773">
        <v>32672981</v>
      </c>
      <c r="M773" t="s">
        <v>117</v>
      </c>
      <c r="N773" t="s">
        <v>97</v>
      </c>
      <c r="O773" t="s">
        <v>977</v>
      </c>
      <c r="P773" t="s">
        <v>1168</v>
      </c>
      <c r="Q773" t="s">
        <v>1169</v>
      </c>
      <c r="R773" t="s">
        <v>54</v>
      </c>
      <c r="S773">
        <v>22737713</v>
      </c>
      <c r="T773" t="s">
        <v>3458</v>
      </c>
      <c r="U773" t="s">
        <v>3459</v>
      </c>
      <c r="V773" t="s">
        <v>403</v>
      </c>
      <c r="W773" t="s">
        <v>2289</v>
      </c>
      <c r="X773" t="s">
        <v>120</v>
      </c>
      <c r="Y773" t="s">
        <v>121</v>
      </c>
      <c r="Z773">
        <v>12</v>
      </c>
      <c r="AA773" t="s">
        <v>65</v>
      </c>
      <c r="AB773" t="s">
        <v>56</v>
      </c>
      <c r="AC773" t="s">
        <v>56</v>
      </c>
      <c r="AD773">
        <v>0</v>
      </c>
      <c r="AE773" t="s">
        <v>66</v>
      </c>
      <c r="AF773" t="s">
        <v>56</v>
      </c>
      <c r="AG773" t="s">
        <v>56</v>
      </c>
      <c r="AH773" t="s">
        <v>56</v>
      </c>
      <c r="AI773" t="s">
        <v>56</v>
      </c>
      <c r="AJ773" t="s">
        <v>611</v>
      </c>
      <c r="AK773" t="s">
        <v>612</v>
      </c>
      <c r="AL773" t="s">
        <v>56</v>
      </c>
      <c r="AM773" t="s">
        <v>56</v>
      </c>
      <c r="AN773" t="s">
        <v>56</v>
      </c>
      <c r="AO773" t="s">
        <v>56</v>
      </c>
      <c r="AP773" t="s">
        <v>56</v>
      </c>
      <c r="AQ773" t="s">
        <v>71</v>
      </c>
      <c r="AR773" t="s">
        <v>56</v>
      </c>
      <c r="AS773" t="s">
        <v>56</v>
      </c>
      <c r="AT773" t="s">
        <v>56</v>
      </c>
      <c r="AU773" t="s">
        <v>56</v>
      </c>
      <c r="AV773" t="s">
        <v>56</v>
      </c>
      <c r="AW773" t="s">
        <v>56</v>
      </c>
      <c r="AX773">
        <v>4</v>
      </c>
    </row>
    <row r="774" spans="1:50" x14ac:dyDescent="0.25">
      <c r="A774" t="str">
        <f>"20200128140017073749"</f>
        <v>20200128140017073749</v>
      </c>
      <c r="B774" t="s">
        <v>151</v>
      </c>
      <c r="C774" t="s">
        <v>151</v>
      </c>
      <c r="D774" t="s">
        <v>3460</v>
      </c>
      <c r="E774" t="str">
        <f>"050010217501"</f>
        <v>050010217501</v>
      </c>
      <c r="F774" t="s">
        <v>52</v>
      </c>
      <c r="G774">
        <v>890900518</v>
      </c>
      <c r="H774" t="s">
        <v>1652</v>
      </c>
      <c r="I774" t="s">
        <v>1653</v>
      </c>
      <c r="J774">
        <v>4441333</v>
      </c>
      <c r="K774" t="s">
        <v>54</v>
      </c>
      <c r="L774">
        <v>51891010</v>
      </c>
      <c r="M774" t="s">
        <v>3461</v>
      </c>
      <c r="N774" t="s">
        <v>97</v>
      </c>
      <c r="O774" t="s">
        <v>364</v>
      </c>
      <c r="P774" t="s">
        <v>263</v>
      </c>
      <c r="Q774" t="s">
        <v>3462</v>
      </c>
      <c r="R774" t="s">
        <v>54</v>
      </c>
      <c r="S774">
        <v>1193369047</v>
      </c>
      <c r="T774" t="s">
        <v>3463</v>
      </c>
      <c r="U774" t="s">
        <v>62</v>
      </c>
      <c r="V774" t="s">
        <v>3052</v>
      </c>
      <c r="W774" t="s">
        <v>1073</v>
      </c>
      <c r="X774" t="s">
        <v>2125</v>
      </c>
      <c r="Y774" t="s">
        <v>717</v>
      </c>
      <c r="Z774">
        <v>12</v>
      </c>
      <c r="AA774" t="s">
        <v>65</v>
      </c>
      <c r="AB774" t="s">
        <v>56</v>
      </c>
      <c r="AC774" t="s">
        <v>56</v>
      </c>
      <c r="AD774">
        <v>0</v>
      </c>
      <c r="AE774" t="s">
        <v>66</v>
      </c>
      <c r="AF774" t="s">
        <v>56</v>
      </c>
      <c r="AG774" t="s">
        <v>56</v>
      </c>
      <c r="AH774" t="s">
        <v>56</v>
      </c>
      <c r="AI774" t="s">
        <v>56</v>
      </c>
      <c r="AJ774" t="s">
        <v>1973</v>
      </c>
      <c r="AK774" t="s">
        <v>1974</v>
      </c>
      <c r="AL774" t="s">
        <v>56</v>
      </c>
      <c r="AM774" t="s">
        <v>56</v>
      </c>
      <c r="AN774" t="s">
        <v>56</v>
      </c>
      <c r="AO774" t="s">
        <v>56</v>
      </c>
      <c r="AP774" t="s">
        <v>56</v>
      </c>
      <c r="AQ774" t="s">
        <v>71</v>
      </c>
      <c r="AR774" t="s">
        <v>56</v>
      </c>
      <c r="AS774" t="s">
        <v>56</v>
      </c>
      <c r="AT774" t="s">
        <v>56</v>
      </c>
      <c r="AU774" t="s">
        <v>56</v>
      </c>
      <c r="AV774" t="s">
        <v>56</v>
      </c>
      <c r="AW774" t="s">
        <v>56</v>
      </c>
      <c r="AX774">
        <v>4</v>
      </c>
    </row>
    <row r="775" spans="1:50" x14ac:dyDescent="0.25">
      <c r="A775" t="str">
        <f>"20200129120017107518"</f>
        <v>20200129120017107518</v>
      </c>
      <c r="B775" t="s">
        <v>72</v>
      </c>
      <c r="C775" t="s">
        <v>72</v>
      </c>
      <c r="D775" t="s">
        <v>3464</v>
      </c>
      <c r="E775" t="str">
        <f>"086380074501"</f>
        <v>086380074501</v>
      </c>
      <c r="F775" t="s">
        <v>52</v>
      </c>
      <c r="G775">
        <v>900080150</v>
      </c>
      <c r="H775" t="s">
        <v>246</v>
      </c>
      <c r="I775" t="s">
        <v>247</v>
      </c>
      <c r="J775">
        <v>8783805</v>
      </c>
      <c r="K775" t="s">
        <v>54</v>
      </c>
      <c r="L775">
        <v>32847775</v>
      </c>
      <c r="M775" t="s">
        <v>59</v>
      </c>
      <c r="N775" t="s">
        <v>342</v>
      </c>
      <c r="O775" t="s">
        <v>586</v>
      </c>
      <c r="P775" t="s">
        <v>587</v>
      </c>
      <c r="Q775" t="s">
        <v>588</v>
      </c>
      <c r="R775" t="s">
        <v>54</v>
      </c>
      <c r="S775">
        <v>22628679</v>
      </c>
      <c r="T775" t="s">
        <v>3014</v>
      </c>
      <c r="U775" t="s">
        <v>2298</v>
      </c>
      <c r="V775" t="s">
        <v>2035</v>
      </c>
      <c r="W775" t="s">
        <v>691</v>
      </c>
      <c r="X775" t="s">
        <v>590</v>
      </c>
      <c r="Y775" t="s">
        <v>121</v>
      </c>
      <c r="Z775">
        <v>12</v>
      </c>
      <c r="AA775" t="s">
        <v>65</v>
      </c>
      <c r="AB775" t="s">
        <v>56</v>
      </c>
      <c r="AC775" t="s">
        <v>56</v>
      </c>
      <c r="AD775">
        <v>0</v>
      </c>
      <c r="AE775" t="s">
        <v>66</v>
      </c>
      <c r="AF775" t="s">
        <v>56</v>
      </c>
      <c r="AG775" t="s">
        <v>56</v>
      </c>
      <c r="AH775" t="s">
        <v>56</v>
      </c>
      <c r="AI775" t="s">
        <v>56</v>
      </c>
      <c r="AJ775" t="s">
        <v>122</v>
      </c>
      <c r="AK775" t="s">
        <v>123</v>
      </c>
      <c r="AL775" t="s">
        <v>56</v>
      </c>
      <c r="AM775" t="s">
        <v>56</v>
      </c>
      <c r="AN775" t="s">
        <v>56</v>
      </c>
      <c r="AO775" t="s">
        <v>56</v>
      </c>
      <c r="AP775" t="s">
        <v>56</v>
      </c>
      <c r="AQ775" t="s">
        <v>71</v>
      </c>
      <c r="AR775" t="s">
        <v>56</v>
      </c>
      <c r="AS775" t="s">
        <v>56</v>
      </c>
      <c r="AT775" t="s">
        <v>56</v>
      </c>
      <c r="AU775" t="s">
        <v>56</v>
      </c>
      <c r="AV775" t="s">
        <v>56</v>
      </c>
      <c r="AW775" t="s">
        <v>56</v>
      </c>
      <c r="AX775">
        <v>4</v>
      </c>
    </row>
    <row r="776" spans="1:50" x14ac:dyDescent="0.25">
      <c r="A776" t="str">
        <f>"20200128131017087665"</f>
        <v>20200128131017087665</v>
      </c>
      <c r="B776" t="s">
        <v>151</v>
      </c>
      <c r="C776" t="s">
        <v>151</v>
      </c>
      <c r="D776" t="s">
        <v>3465</v>
      </c>
      <c r="E776" t="str">
        <f>"080010409201"</f>
        <v>080010409201</v>
      </c>
      <c r="F776" t="s">
        <v>52</v>
      </c>
      <c r="G776">
        <v>900448414</v>
      </c>
      <c r="H776" t="s">
        <v>112</v>
      </c>
      <c r="I776" t="s">
        <v>785</v>
      </c>
      <c r="J776">
        <v>3545674</v>
      </c>
      <c r="K776" t="s">
        <v>54</v>
      </c>
      <c r="L776">
        <v>8736587</v>
      </c>
      <c r="M776" t="s">
        <v>164</v>
      </c>
      <c r="N776" t="s">
        <v>281</v>
      </c>
      <c r="O776" t="s">
        <v>1101</v>
      </c>
      <c r="P776" t="s">
        <v>309</v>
      </c>
      <c r="Q776" t="s">
        <v>1412</v>
      </c>
      <c r="R776" t="s">
        <v>54</v>
      </c>
      <c r="S776">
        <v>22644347</v>
      </c>
      <c r="T776" t="s">
        <v>3466</v>
      </c>
      <c r="U776" t="s">
        <v>117</v>
      </c>
      <c r="V776" t="s">
        <v>96</v>
      </c>
      <c r="W776" t="s">
        <v>553</v>
      </c>
      <c r="X776" t="s">
        <v>120</v>
      </c>
      <c r="Y776" t="s">
        <v>121</v>
      </c>
      <c r="Z776">
        <v>12</v>
      </c>
      <c r="AA776" t="s">
        <v>65</v>
      </c>
      <c r="AB776" t="s">
        <v>56</v>
      </c>
      <c r="AC776" t="s">
        <v>56</v>
      </c>
      <c r="AD776">
        <v>0</v>
      </c>
      <c r="AE776" t="s">
        <v>66</v>
      </c>
      <c r="AF776" t="s">
        <v>56</v>
      </c>
      <c r="AG776" t="s">
        <v>56</v>
      </c>
      <c r="AH776" t="s">
        <v>56</v>
      </c>
      <c r="AI776" t="s">
        <v>56</v>
      </c>
      <c r="AJ776" t="s">
        <v>215</v>
      </c>
      <c r="AK776" t="s">
        <v>216</v>
      </c>
      <c r="AL776" t="s">
        <v>56</v>
      </c>
      <c r="AM776" t="s">
        <v>56</v>
      </c>
      <c r="AN776" t="s">
        <v>56</v>
      </c>
      <c r="AO776" t="s">
        <v>56</v>
      </c>
      <c r="AP776" t="s">
        <v>56</v>
      </c>
      <c r="AQ776" t="s">
        <v>71</v>
      </c>
      <c r="AR776" t="s">
        <v>56</v>
      </c>
      <c r="AS776" t="s">
        <v>56</v>
      </c>
      <c r="AT776" t="s">
        <v>56</v>
      </c>
      <c r="AU776" t="s">
        <v>56</v>
      </c>
      <c r="AV776" t="s">
        <v>56</v>
      </c>
      <c r="AW776" t="s">
        <v>56</v>
      </c>
      <c r="AX776">
        <v>4</v>
      </c>
    </row>
    <row r="777" spans="1:50" x14ac:dyDescent="0.25">
      <c r="A777" t="str">
        <f>"20200124163017019470"</f>
        <v>20200124163017019470</v>
      </c>
      <c r="B777" t="s">
        <v>201</v>
      </c>
      <c r="C777" t="s">
        <v>201</v>
      </c>
      <c r="D777" t="s">
        <v>3467</v>
      </c>
      <c r="E777" t="str">
        <f>"761470681501"</f>
        <v>761470681501</v>
      </c>
      <c r="F777" t="s">
        <v>52</v>
      </c>
      <c r="G777">
        <v>830515000</v>
      </c>
      <c r="H777">
        <v>76147</v>
      </c>
      <c r="I777" t="s">
        <v>1217</v>
      </c>
      <c r="J777">
        <v>2145150</v>
      </c>
      <c r="K777" t="s">
        <v>54</v>
      </c>
      <c r="L777">
        <v>16231597</v>
      </c>
      <c r="M777" t="s">
        <v>1218</v>
      </c>
      <c r="N777" t="s">
        <v>1219</v>
      </c>
      <c r="O777" t="s">
        <v>1220</v>
      </c>
      <c r="P777" t="s">
        <v>1221</v>
      </c>
      <c r="Q777">
        <v>76257504</v>
      </c>
      <c r="R777" t="s">
        <v>54</v>
      </c>
      <c r="S777">
        <v>2582548</v>
      </c>
      <c r="T777" t="s">
        <v>76</v>
      </c>
      <c r="U777" t="s">
        <v>1293</v>
      </c>
      <c r="V777" t="s">
        <v>1848</v>
      </c>
      <c r="W777" t="s">
        <v>263</v>
      </c>
      <c r="X777" t="s">
        <v>1337</v>
      </c>
      <c r="Y777" t="s">
        <v>64</v>
      </c>
      <c r="Z777">
        <v>12</v>
      </c>
      <c r="AA777" t="s">
        <v>65</v>
      </c>
      <c r="AB777" t="s">
        <v>56</v>
      </c>
      <c r="AC777" t="s">
        <v>56</v>
      </c>
      <c r="AD777">
        <v>0</v>
      </c>
      <c r="AE777" t="s">
        <v>66</v>
      </c>
      <c r="AF777" t="s">
        <v>56</v>
      </c>
      <c r="AG777" t="s">
        <v>56</v>
      </c>
      <c r="AH777" t="s">
        <v>56</v>
      </c>
      <c r="AI777" t="s">
        <v>56</v>
      </c>
      <c r="AJ777" t="s">
        <v>1119</v>
      </c>
      <c r="AK777" t="s">
        <v>1120</v>
      </c>
      <c r="AL777" t="s">
        <v>56</v>
      </c>
      <c r="AM777" t="s">
        <v>56</v>
      </c>
      <c r="AN777" t="s">
        <v>56</v>
      </c>
      <c r="AO777" t="s">
        <v>56</v>
      </c>
      <c r="AP777" t="s">
        <v>56</v>
      </c>
      <c r="AQ777" t="s">
        <v>71</v>
      </c>
      <c r="AR777" t="s">
        <v>56</v>
      </c>
      <c r="AS777" t="s">
        <v>56</v>
      </c>
      <c r="AT777" t="s">
        <v>56</v>
      </c>
      <c r="AU777" t="s">
        <v>56</v>
      </c>
      <c r="AV777" t="s">
        <v>56</v>
      </c>
      <c r="AW777" t="s">
        <v>56</v>
      </c>
      <c r="AX777">
        <v>4</v>
      </c>
    </row>
    <row r="778" spans="1:50" x14ac:dyDescent="0.25">
      <c r="A778" t="str">
        <f>"20200129121017111816"</f>
        <v>20200129121017111816</v>
      </c>
      <c r="B778" t="s">
        <v>72</v>
      </c>
      <c r="C778" t="s">
        <v>72</v>
      </c>
      <c r="D778" t="s">
        <v>3468</v>
      </c>
      <c r="E778" t="str">
        <f>"200010222801"</f>
        <v>200010222801</v>
      </c>
      <c r="F778" t="s">
        <v>52</v>
      </c>
      <c r="G778">
        <v>901243826</v>
      </c>
      <c r="H778">
        <v>20001</v>
      </c>
      <c r="I778" t="s">
        <v>2719</v>
      </c>
      <c r="J778" t="s">
        <v>2720</v>
      </c>
      <c r="K778" t="s">
        <v>54</v>
      </c>
      <c r="L778">
        <v>8703687</v>
      </c>
      <c r="M778" t="s">
        <v>76</v>
      </c>
      <c r="N778" t="s">
        <v>424</v>
      </c>
      <c r="O778" t="s">
        <v>376</v>
      </c>
      <c r="P778" t="s">
        <v>675</v>
      </c>
      <c r="Q778">
        <v>2582</v>
      </c>
      <c r="R778" t="s">
        <v>54</v>
      </c>
      <c r="S778">
        <v>36592557</v>
      </c>
      <c r="T778" t="s">
        <v>1205</v>
      </c>
      <c r="U778" t="s">
        <v>1439</v>
      </c>
      <c r="V778" t="s">
        <v>84</v>
      </c>
      <c r="W778" t="s">
        <v>293</v>
      </c>
      <c r="X778" t="s">
        <v>85</v>
      </c>
      <c r="Y778" t="s">
        <v>86</v>
      </c>
      <c r="Z778">
        <v>12</v>
      </c>
      <c r="AA778" t="s">
        <v>65</v>
      </c>
      <c r="AB778" t="s">
        <v>56</v>
      </c>
      <c r="AC778" t="s">
        <v>56</v>
      </c>
      <c r="AD778">
        <v>0</v>
      </c>
      <c r="AE778" t="s">
        <v>66</v>
      </c>
      <c r="AF778" t="s">
        <v>56</v>
      </c>
      <c r="AG778" t="s">
        <v>56</v>
      </c>
      <c r="AH778" t="s">
        <v>56</v>
      </c>
      <c r="AI778" t="s">
        <v>56</v>
      </c>
      <c r="AJ778" t="s">
        <v>2503</v>
      </c>
      <c r="AK778" t="s">
        <v>2504</v>
      </c>
      <c r="AL778" t="s">
        <v>56</v>
      </c>
      <c r="AM778" t="s">
        <v>56</v>
      </c>
      <c r="AN778" t="s">
        <v>56</v>
      </c>
      <c r="AO778" t="s">
        <v>56</v>
      </c>
      <c r="AP778" t="s">
        <v>56</v>
      </c>
      <c r="AQ778" t="s">
        <v>71</v>
      </c>
      <c r="AR778" t="s">
        <v>56</v>
      </c>
      <c r="AS778" t="s">
        <v>56</v>
      </c>
      <c r="AT778" t="s">
        <v>56</v>
      </c>
      <c r="AU778" t="s">
        <v>56</v>
      </c>
      <c r="AV778" t="s">
        <v>56</v>
      </c>
      <c r="AW778" t="s">
        <v>56</v>
      </c>
      <c r="AX778">
        <v>4</v>
      </c>
    </row>
    <row r="779" spans="1:50" x14ac:dyDescent="0.25">
      <c r="A779" t="str">
        <f>"20200128196017069958"</f>
        <v>20200128196017069958</v>
      </c>
      <c r="B779" t="s">
        <v>151</v>
      </c>
      <c r="C779" t="s">
        <v>151</v>
      </c>
      <c r="D779" t="s">
        <v>3469</v>
      </c>
      <c r="E779" t="str">
        <f>"200010067601"</f>
        <v>200010067601</v>
      </c>
      <c r="F779" t="s">
        <v>52</v>
      </c>
      <c r="G779">
        <v>824005694</v>
      </c>
      <c r="H779">
        <v>20001</v>
      </c>
      <c r="I779" t="s">
        <v>153</v>
      </c>
      <c r="J779">
        <v>5885989</v>
      </c>
      <c r="K779" t="s">
        <v>54</v>
      </c>
      <c r="L779">
        <v>56075113</v>
      </c>
      <c r="M779" t="s">
        <v>667</v>
      </c>
      <c r="N779" t="s">
        <v>627</v>
      </c>
      <c r="O779" t="s">
        <v>78</v>
      </c>
      <c r="P779" t="s">
        <v>2825</v>
      </c>
      <c r="Q779">
        <v>5014</v>
      </c>
      <c r="R779" t="s">
        <v>54</v>
      </c>
      <c r="S779">
        <v>49768333</v>
      </c>
      <c r="T779" t="s">
        <v>3470</v>
      </c>
      <c r="U779" t="s">
        <v>296</v>
      </c>
      <c r="V779" t="s">
        <v>2131</v>
      </c>
      <c r="W779" t="s">
        <v>308</v>
      </c>
      <c r="X779" t="s">
        <v>462</v>
      </c>
      <c r="Y779" t="s">
        <v>86</v>
      </c>
      <c r="Z779">
        <v>12</v>
      </c>
      <c r="AA779" t="s">
        <v>65</v>
      </c>
      <c r="AB779" t="s">
        <v>56</v>
      </c>
      <c r="AC779" t="s">
        <v>56</v>
      </c>
      <c r="AD779">
        <v>0</v>
      </c>
      <c r="AE779" t="s">
        <v>66</v>
      </c>
      <c r="AF779" t="s">
        <v>56</v>
      </c>
      <c r="AG779" t="s">
        <v>56</v>
      </c>
      <c r="AH779" t="s">
        <v>56</v>
      </c>
      <c r="AI779" t="s">
        <v>56</v>
      </c>
      <c r="AJ779" t="s">
        <v>3471</v>
      </c>
      <c r="AK779" t="s">
        <v>3472</v>
      </c>
      <c r="AL779" t="s">
        <v>56</v>
      </c>
      <c r="AM779" t="s">
        <v>56</v>
      </c>
      <c r="AN779" t="s">
        <v>56</v>
      </c>
      <c r="AO779" t="s">
        <v>56</v>
      </c>
      <c r="AP779" t="s">
        <v>56</v>
      </c>
      <c r="AQ779" t="s">
        <v>71</v>
      </c>
      <c r="AR779" t="s">
        <v>56</v>
      </c>
      <c r="AS779" t="s">
        <v>56</v>
      </c>
      <c r="AT779" t="s">
        <v>56</v>
      </c>
      <c r="AU779" t="s">
        <v>56</v>
      </c>
      <c r="AV779" t="s">
        <v>56</v>
      </c>
      <c r="AW779" t="s">
        <v>56</v>
      </c>
      <c r="AX779">
        <v>4</v>
      </c>
    </row>
    <row r="780" spans="1:50" x14ac:dyDescent="0.25">
      <c r="A780" t="str">
        <f>"20200131112017170768"</f>
        <v>20200131112017170768</v>
      </c>
      <c r="B780" t="s">
        <v>110</v>
      </c>
      <c r="C780" t="s">
        <v>110</v>
      </c>
      <c r="D780" t="s">
        <v>3473</v>
      </c>
      <c r="E780" t="str">
        <f>"270010070801"</f>
        <v>270010070801</v>
      </c>
      <c r="F780" t="s">
        <v>52</v>
      </c>
      <c r="G780">
        <v>900488067</v>
      </c>
      <c r="H780">
        <v>27001</v>
      </c>
      <c r="I780" t="s">
        <v>1854</v>
      </c>
      <c r="J780">
        <v>6708703</v>
      </c>
      <c r="K780" t="s">
        <v>54</v>
      </c>
      <c r="L780">
        <v>1151937502</v>
      </c>
      <c r="M780" t="s">
        <v>600</v>
      </c>
      <c r="N780" t="s">
        <v>97</v>
      </c>
      <c r="O780" t="s">
        <v>1855</v>
      </c>
      <c r="P780" t="s">
        <v>801</v>
      </c>
      <c r="Q780" t="s">
        <v>1856</v>
      </c>
      <c r="R780" t="s">
        <v>54</v>
      </c>
      <c r="S780">
        <v>26308522</v>
      </c>
      <c r="T780" t="s">
        <v>117</v>
      </c>
      <c r="U780" t="s">
        <v>55</v>
      </c>
      <c r="V780" t="s">
        <v>1073</v>
      </c>
      <c r="W780" t="s">
        <v>3474</v>
      </c>
      <c r="X780" t="s">
        <v>860</v>
      </c>
      <c r="Y780" t="s">
        <v>717</v>
      </c>
      <c r="Z780">
        <v>11</v>
      </c>
      <c r="AA780" t="s">
        <v>87</v>
      </c>
      <c r="AB780" t="s">
        <v>56</v>
      </c>
      <c r="AC780" t="s">
        <v>56</v>
      </c>
      <c r="AD780">
        <v>0</v>
      </c>
      <c r="AE780" t="s">
        <v>66</v>
      </c>
      <c r="AF780" t="s">
        <v>56</v>
      </c>
      <c r="AG780" t="s">
        <v>56</v>
      </c>
      <c r="AH780" t="s">
        <v>56</v>
      </c>
      <c r="AI780" t="s">
        <v>56</v>
      </c>
      <c r="AJ780" t="s">
        <v>813</v>
      </c>
      <c r="AK780" t="s">
        <v>814</v>
      </c>
      <c r="AL780" t="s">
        <v>3475</v>
      </c>
      <c r="AM780" t="s">
        <v>3476</v>
      </c>
      <c r="AN780" t="s">
        <v>1861</v>
      </c>
      <c r="AO780" t="s">
        <v>1862</v>
      </c>
      <c r="AP780" t="s">
        <v>56</v>
      </c>
      <c r="AQ780" t="s">
        <v>71</v>
      </c>
      <c r="AR780" t="s">
        <v>56</v>
      </c>
      <c r="AS780" t="s">
        <v>56</v>
      </c>
      <c r="AT780" t="s">
        <v>56</v>
      </c>
      <c r="AU780" t="s">
        <v>56</v>
      </c>
      <c r="AV780" t="s">
        <v>56</v>
      </c>
      <c r="AW780" t="s">
        <v>56</v>
      </c>
      <c r="AX780">
        <v>4</v>
      </c>
    </row>
    <row r="781" spans="1:50" x14ac:dyDescent="0.25">
      <c r="A781" t="str">
        <f>"20200130157017132471"</f>
        <v>20200130157017132471</v>
      </c>
      <c r="B781" t="s">
        <v>124</v>
      </c>
      <c r="C781" t="s">
        <v>124</v>
      </c>
      <c r="D781" t="s">
        <v>3477</v>
      </c>
      <c r="E781" t="str">
        <f>"080010409201"</f>
        <v>080010409201</v>
      </c>
      <c r="F781" t="s">
        <v>52</v>
      </c>
      <c r="G781">
        <v>900448414</v>
      </c>
      <c r="H781" t="s">
        <v>112</v>
      </c>
      <c r="I781" t="s">
        <v>785</v>
      </c>
      <c r="J781">
        <v>3545674</v>
      </c>
      <c r="K781" t="s">
        <v>54</v>
      </c>
      <c r="L781">
        <v>72248346</v>
      </c>
      <c r="M781" t="s">
        <v>1189</v>
      </c>
      <c r="N781" t="s">
        <v>1190</v>
      </c>
      <c r="O781" t="s">
        <v>1191</v>
      </c>
      <c r="P781" t="s">
        <v>1192</v>
      </c>
      <c r="Q781">
        <v>23796</v>
      </c>
      <c r="R781" t="s">
        <v>54</v>
      </c>
      <c r="S781">
        <v>32617953</v>
      </c>
      <c r="T781" t="s">
        <v>3478</v>
      </c>
      <c r="U781" t="s">
        <v>196</v>
      </c>
      <c r="V781" t="s">
        <v>1393</v>
      </c>
      <c r="W781" t="s">
        <v>2781</v>
      </c>
      <c r="X781" t="s">
        <v>120</v>
      </c>
      <c r="Y781" t="s">
        <v>121</v>
      </c>
      <c r="Z781">
        <v>12</v>
      </c>
      <c r="AA781" t="s">
        <v>65</v>
      </c>
      <c r="AB781" t="s">
        <v>56</v>
      </c>
      <c r="AC781" t="s">
        <v>56</v>
      </c>
      <c r="AD781">
        <v>0</v>
      </c>
      <c r="AE781" t="s">
        <v>66</v>
      </c>
      <c r="AF781" t="s">
        <v>56</v>
      </c>
      <c r="AG781" t="s">
        <v>56</v>
      </c>
      <c r="AH781" t="s">
        <v>56</v>
      </c>
      <c r="AI781" t="s">
        <v>56</v>
      </c>
      <c r="AJ781" t="s">
        <v>1316</v>
      </c>
      <c r="AK781" t="s">
        <v>1317</v>
      </c>
      <c r="AL781" t="s">
        <v>56</v>
      </c>
      <c r="AM781" t="s">
        <v>56</v>
      </c>
      <c r="AN781" t="s">
        <v>56</v>
      </c>
      <c r="AO781" t="s">
        <v>56</v>
      </c>
      <c r="AP781" t="s">
        <v>56</v>
      </c>
      <c r="AQ781" t="s">
        <v>71</v>
      </c>
      <c r="AR781" t="s">
        <v>56</v>
      </c>
      <c r="AS781" t="s">
        <v>56</v>
      </c>
      <c r="AT781" t="s">
        <v>56</v>
      </c>
      <c r="AU781" t="s">
        <v>56</v>
      </c>
      <c r="AV781" t="s">
        <v>56</v>
      </c>
      <c r="AW781" t="s">
        <v>56</v>
      </c>
      <c r="AX781">
        <v>4</v>
      </c>
    </row>
    <row r="782" spans="1:50" x14ac:dyDescent="0.25">
      <c r="A782" t="str">
        <f>"20200124167017007885"</f>
        <v>20200124167017007885</v>
      </c>
      <c r="B782" t="s">
        <v>201</v>
      </c>
      <c r="C782" t="s">
        <v>201</v>
      </c>
      <c r="D782" t="s">
        <v>3479</v>
      </c>
      <c r="E782" t="str">
        <f>"080010122201"</f>
        <v>080010122201</v>
      </c>
      <c r="F782" t="s">
        <v>52</v>
      </c>
      <c r="G782">
        <v>890116783</v>
      </c>
      <c r="H782" t="s">
        <v>112</v>
      </c>
      <c r="I782" t="s">
        <v>1796</v>
      </c>
      <c r="J782">
        <v>3781220</v>
      </c>
      <c r="K782" t="s">
        <v>54</v>
      </c>
      <c r="L782">
        <v>17065305</v>
      </c>
      <c r="M782" t="s">
        <v>1492</v>
      </c>
      <c r="N782" t="s">
        <v>1222</v>
      </c>
      <c r="O782" t="s">
        <v>1981</v>
      </c>
      <c r="P782" t="s">
        <v>324</v>
      </c>
      <c r="Q782">
        <v>707</v>
      </c>
      <c r="R782" t="s">
        <v>54</v>
      </c>
      <c r="S782">
        <v>22394072</v>
      </c>
      <c r="T782" t="s">
        <v>114</v>
      </c>
      <c r="U782" t="s">
        <v>600</v>
      </c>
      <c r="V782" t="s">
        <v>765</v>
      </c>
      <c r="W782" t="s">
        <v>1352</v>
      </c>
      <c r="X782" t="s">
        <v>299</v>
      </c>
      <c r="Y782" t="s">
        <v>121</v>
      </c>
      <c r="Z782">
        <v>12</v>
      </c>
      <c r="AA782" t="s">
        <v>65</v>
      </c>
      <c r="AB782" t="s">
        <v>56</v>
      </c>
      <c r="AC782" t="s">
        <v>56</v>
      </c>
      <c r="AD782">
        <v>0</v>
      </c>
      <c r="AE782" t="s">
        <v>66</v>
      </c>
      <c r="AF782" t="s">
        <v>56</v>
      </c>
      <c r="AG782" t="s">
        <v>56</v>
      </c>
      <c r="AH782" t="s">
        <v>56</v>
      </c>
      <c r="AI782" t="s">
        <v>56</v>
      </c>
      <c r="AJ782" t="s">
        <v>1744</v>
      </c>
      <c r="AK782" t="s">
        <v>1745</v>
      </c>
      <c r="AL782" t="s">
        <v>56</v>
      </c>
      <c r="AM782" t="s">
        <v>56</v>
      </c>
      <c r="AN782" t="s">
        <v>56</v>
      </c>
      <c r="AO782" t="s">
        <v>56</v>
      </c>
      <c r="AP782" t="s">
        <v>56</v>
      </c>
      <c r="AQ782" t="s">
        <v>71</v>
      </c>
      <c r="AR782" t="s">
        <v>56</v>
      </c>
      <c r="AS782" t="s">
        <v>56</v>
      </c>
      <c r="AT782" t="s">
        <v>56</v>
      </c>
      <c r="AU782" t="s">
        <v>56</v>
      </c>
      <c r="AV782" t="s">
        <v>56</v>
      </c>
      <c r="AW782" t="s">
        <v>56</v>
      </c>
      <c r="AX782">
        <v>4</v>
      </c>
    </row>
    <row r="783" spans="1:50" x14ac:dyDescent="0.25">
      <c r="A783" t="str">
        <f>"20200127193017040339"</f>
        <v>20200127193017040339</v>
      </c>
      <c r="B783" t="s">
        <v>190</v>
      </c>
      <c r="C783" t="s">
        <v>190</v>
      </c>
      <c r="D783" t="s">
        <v>3480</v>
      </c>
      <c r="E783" t="str">
        <f>"130010178101"</f>
        <v>130010178101</v>
      </c>
      <c r="F783" t="s">
        <v>52</v>
      </c>
      <c r="G783">
        <v>900042103</v>
      </c>
      <c r="H783">
        <v>13001</v>
      </c>
      <c r="I783" t="s">
        <v>92</v>
      </c>
      <c r="J783">
        <v>6726017</v>
      </c>
      <c r="K783" t="s">
        <v>54</v>
      </c>
      <c r="L783">
        <v>9091907</v>
      </c>
      <c r="M783" t="s">
        <v>3481</v>
      </c>
      <c r="N783" t="s">
        <v>56</v>
      </c>
      <c r="O783" t="s">
        <v>1244</v>
      </c>
      <c r="P783" t="s">
        <v>977</v>
      </c>
      <c r="Q783" t="s">
        <v>3482</v>
      </c>
      <c r="R783" t="s">
        <v>54</v>
      </c>
      <c r="S783">
        <v>23162574</v>
      </c>
      <c r="T783" t="s">
        <v>117</v>
      </c>
      <c r="U783" t="s">
        <v>1432</v>
      </c>
      <c r="V783" t="s">
        <v>3140</v>
      </c>
      <c r="W783" t="s">
        <v>1060</v>
      </c>
      <c r="X783" t="s">
        <v>1277</v>
      </c>
      <c r="Y783" t="s">
        <v>101</v>
      </c>
      <c r="Z783">
        <v>12</v>
      </c>
      <c r="AA783" t="s">
        <v>65</v>
      </c>
      <c r="AB783" t="s">
        <v>56</v>
      </c>
      <c r="AC783" t="s">
        <v>56</v>
      </c>
      <c r="AD783">
        <v>0</v>
      </c>
      <c r="AE783" t="s">
        <v>66</v>
      </c>
      <c r="AF783" t="s">
        <v>56</v>
      </c>
      <c r="AG783" t="s">
        <v>56</v>
      </c>
      <c r="AH783" t="s">
        <v>56</v>
      </c>
      <c r="AI783" t="s">
        <v>56</v>
      </c>
      <c r="AJ783" t="s">
        <v>1119</v>
      </c>
      <c r="AK783" t="s">
        <v>1120</v>
      </c>
      <c r="AL783" t="s">
        <v>56</v>
      </c>
      <c r="AM783" t="s">
        <v>56</v>
      </c>
      <c r="AN783" t="s">
        <v>56</v>
      </c>
      <c r="AO783" t="s">
        <v>56</v>
      </c>
      <c r="AP783" t="s">
        <v>56</v>
      </c>
      <c r="AQ783" t="s">
        <v>71</v>
      </c>
      <c r="AR783" t="s">
        <v>56</v>
      </c>
      <c r="AS783" t="s">
        <v>56</v>
      </c>
      <c r="AT783" t="s">
        <v>56</v>
      </c>
      <c r="AU783" t="s">
        <v>56</v>
      </c>
      <c r="AV783" t="s">
        <v>56</v>
      </c>
      <c r="AW783" t="s">
        <v>56</v>
      </c>
      <c r="AX783">
        <v>4</v>
      </c>
    </row>
    <row r="784" spans="1:50" x14ac:dyDescent="0.25">
      <c r="A784" t="str">
        <f>"20200130135017148459"</f>
        <v>20200130135017148459</v>
      </c>
      <c r="B784" t="s">
        <v>124</v>
      </c>
      <c r="C784" t="s">
        <v>124</v>
      </c>
      <c r="D784" t="s">
        <v>3483</v>
      </c>
      <c r="E784" t="str">
        <f>"761470728201"</f>
        <v>761470728201</v>
      </c>
      <c r="F784" t="s">
        <v>52</v>
      </c>
      <c r="G784">
        <v>900247710</v>
      </c>
      <c r="H784">
        <v>76147</v>
      </c>
      <c r="I784" t="s">
        <v>526</v>
      </c>
      <c r="J784">
        <v>2108988</v>
      </c>
      <c r="K784" t="s">
        <v>54</v>
      </c>
      <c r="L784">
        <v>18615571</v>
      </c>
      <c r="M784" t="s">
        <v>164</v>
      </c>
      <c r="N784" t="s">
        <v>527</v>
      </c>
      <c r="O784" t="s">
        <v>528</v>
      </c>
      <c r="P784" t="s">
        <v>249</v>
      </c>
      <c r="Q784" t="s">
        <v>529</v>
      </c>
      <c r="R784" t="s">
        <v>54</v>
      </c>
      <c r="S784">
        <v>6279992</v>
      </c>
      <c r="T784" t="s">
        <v>3484</v>
      </c>
      <c r="U784" t="s">
        <v>62</v>
      </c>
      <c r="V784" t="s">
        <v>1301</v>
      </c>
      <c r="W784" t="s">
        <v>362</v>
      </c>
      <c r="X784" t="s">
        <v>277</v>
      </c>
      <c r="Y784" t="s">
        <v>64</v>
      </c>
      <c r="Z784">
        <v>12</v>
      </c>
      <c r="AA784" t="s">
        <v>65</v>
      </c>
      <c r="AB784" t="s">
        <v>56</v>
      </c>
      <c r="AC784" t="s">
        <v>56</v>
      </c>
      <c r="AD784">
        <v>0</v>
      </c>
      <c r="AE784" t="s">
        <v>66</v>
      </c>
      <c r="AF784" t="s">
        <v>56</v>
      </c>
      <c r="AG784" t="s">
        <v>56</v>
      </c>
      <c r="AH784" t="s">
        <v>56</v>
      </c>
      <c r="AI784" t="s">
        <v>56</v>
      </c>
      <c r="AJ784" t="s">
        <v>536</v>
      </c>
      <c r="AK784" t="s">
        <v>537</v>
      </c>
      <c r="AL784" t="s">
        <v>56</v>
      </c>
      <c r="AM784" t="s">
        <v>56</v>
      </c>
      <c r="AN784" t="s">
        <v>56</v>
      </c>
      <c r="AO784" t="s">
        <v>56</v>
      </c>
      <c r="AP784" t="s">
        <v>56</v>
      </c>
      <c r="AQ784" t="s">
        <v>71</v>
      </c>
      <c r="AR784" t="s">
        <v>56</v>
      </c>
      <c r="AS784" t="s">
        <v>56</v>
      </c>
      <c r="AT784" t="s">
        <v>56</v>
      </c>
      <c r="AU784" t="s">
        <v>56</v>
      </c>
      <c r="AV784" t="s">
        <v>56</v>
      </c>
      <c r="AW784" t="s">
        <v>56</v>
      </c>
      <c r="AX784">
        <v>4</v>
      </c>
    </row>
    <row r="785" spans="1:50" x14ac:dyDescent="0.25">
      <c r="A785" t="str">
        <f>"20200124124017010770"</f>
        <v>20200124124017010770</v>
      </c>
      <c r="B785" t="s">
        <v>201</v>
      </c>
      <c r="C785" t="s">
        <v>201</v>
      </c>
      <c r="D785" t="s">
        <v>3485</v>
      </c>
      <c r="E785" t="str">
        <f>"761470371502"</f>
        <v>761470371502</v>
      </c>
      <c r="F785" t="s">
        <v>52</v>
      </c>
      <c r="G785">
        <v>890303841</v>
      </c>
      <c r="H785">
        <v>76147</v>
      </c>
      <c r="I785" t="s">
        <v>359</v>
      </c>
      <c r="J785">
        <v>2132425</v>
      </c>
      <c r="K785" t="s">
        <v>54</v>
      </c>
      <c r="L785">
        <v>16830715</v>
      </c>
      <c r="M785" t="s">
        <v>127</v>
      </c>
      <c r="N785" t="s">
        <v>360</v>
      </c>
      <c r="O785" t="s">
        <v>361</v>
      </c>
      <c r="P785" t="s">
        <v>362</v>
      </c>
      <c r="Q785">
        <v>1913</v>
      </c>
      <c r="R785" t="s">
        <v>54</v>
      </c>
      <c r="S785">
        <v>6528628</v>
      </c>
      <c r="T785" t="s">
        <v>3486</v>
      </c>
      <c r="U785" t="s">
        <v>62</v>
      </c>
      <c r="V785" t="s">
        <v>2451</v>
      </c>
      <c r="W785" t="s">
        <v>99</v>
      </c>
      <c r="X785" t="s">
        <v>277</v>
      </c>
      <c r="Y785" t="s">
        <v>64</v>
      </c>
      <c r="Z785">
        <v>11</v>
      </c>
      <c r="AA785" t="s">
        <v>87</v>
      </c>
      <c r="AB785" t="s">
        <v>56</v>
      </c>
      <c r="AC785" t="s">
        <v>56</v>
      </c>
      <c r="AD785">
        <v>0</v>
      </c>
      <c r="AE785" t="s">
        <v>66</v>
      </c>
      <c r="AF785" t="s">
        <v>56</v>
      </c>
      <c r="AG785" t="s">
        <v>56</v>
      </c>
      <c r="AH785" t="s">
        <v>56</v>
      </c>
      <c r="AI785" t="s">
        <v>56</v>
      </c>
      <c r="AJ785" t="s">
        <v>365</v>
      </c>
      <c r="AK785" t="s">
        <v>366</v>
      </c>
      <c r="AL785" t="s">
        <v>367</v>
      </c>
      <c r="AM785" t="s">
        <v>368</v>
      </c>
      <c r="AN785" t="s">
        <v>215</v>
      </c>
      <c r="AO785" t="s">
        <v>216</v>
      </c>
      <c r="AP785" t="s">
        <v>56</v>
      </c>
      <c r="AQ785" t="s">
        <v>71</v>
      </c>
      <c r="AR785" t="s">
        <v>56</v>
      </c>
      <c r="AS785" t="s">
        <v>56</v>
      </c>
      <c r="AT785" t="s">
        <v>56</v>
      </c>
      <c r="AU785" t="s">
        <v>56</v>
      </c>
      <c r="AV785" t="s">
        <v>56</v>
      </c>
      <c r="AW785" t="s">
        <v>56</v>
      </c>
      <c r="AX785">
        <v>4</v>
      </c>
    </row>
    <row r="786" spans="1:50" x14ac:dyDescent="0.25">
      <c r="A786" t="str">
        <f>"20200130151017144060"</f>
        <v>20200130151017144060</v>
      </c>
      <c r="B786" t="s">
        <v>124</v>
      </c>
      <c r="C786" t="s">
        <v>124</v>
      </c>
      <c r="D786" t="s">
        <v>3487</v>
      </c>
      <c r="E786" t="str">
        <f>"080010054401"</f>
        <v>080010054401</v>
      </c>
      <c r="F786" t="s">
        <v>52</v>
      </c>
      <c r="G786">
        <v>800194798</v>
      </c>
      <c r="H786" t="s">
        <v>112</v>
      </c>
      <c r="I786" t="s">
        <v>616</v>
      </c>
      <c r="J786" t="s">
        <v>56</v>
      </c>
      <c r="K786" t="s">
        <v>54</v>
      </c>
      <c r="L786">
        <v>22732629</v>
      </c>
      <c r="M786" t="s">
        <v>419</v>
      </c>
      <c r="N786" t="s">
        <v>1307</v>
      </c>
      <c r="O786" t="s">
        <v>2476</v>
      </c>
      <c r="P786" t="s">
        <v>3488</v>
      </c>
      <c r="Q786">
        <v>368606</v>
      </c>
      <c r="R786" t="s">
        <v>54</v>
      </c>
      <c r="S786">
        <v>22539321</v>
      </c>
      <c r="T786" t="s">
        <v>307</v>
      </c>
      <c r="U786" t="s">
        <v>196</v>
      </c>
      <c r="V786" t="s">
        <v>3489</v>
      </c>
      <c r="W786" t="s">
        <v>353</v>
      </c>
      <c r="X786" t="s">
        <v>2394</v>
      </c>
      <c r="Y786" t="s">
        <v>121</v>
      </c>
      <c r="Z786">
        <v>12</v>
      </c>
      <c r="AA786" t="s">
        <v>65</v>
      </c>
      <c r="AB786" t="s">
        <v>56</v>
      </c>
      <c r="AC786" t="s">
        <v>56</v>
      </c>
      <c r="AD786">
        <v>0</v>
      </c>
      <c r="AE786" t="s">
        <v>66</v>
      </c>
      <c r="AF786" t="s">
        <v>56</v>
      </c>
      <c r="AG786" t="s">
        <v>56</v>
      </c>
      <c r="AH786" t="s">
        <v>56</v>
      </c>
      <c r="AI786" t="s">
        <v>56</v>
      </c>
      <c r="AJ786" t="s">
        <v>3490</v>
      </c>
      <c r="AK786" t="s">
        <v>3491</v>
      </c>
      <c r="AL786" t="s">
        <v>56</v>
      </c>
      <c r="AM786" t="s">
        <v>56</v>
      </c>
      <c r="AN786" t="s">
        <v>56</v>
      </c>
      <c r="AO786" t="s">
        <v>56</v>
      </c>
      <c r="AP786" t="s">
        <v>56</v>
      </c>
      <c r="AQ786" t="s">
        <v>71</v>
      </c>
      <c r="AR786" t="s">
        <v>56</v>
      </c>
      <c r="AS786" t="s">
        <v>56</v>
      </c>
      <c r="AT786" t="s">
        <v>56</v>
      </c>
      <c r="AU786" t="s">
        <v>56</v>
      </c>
      <c r="AV786" t="s">
        <v>56</v>
      </c>
      <c r="AW786" t="s">
        <v>56</v>
      </c>
      <c r="AX786">
        <v>4</v>
      </c>
    </row>
    <row r="787" spans="1:50" x14ac:dyDescent="0.25">
      <c r="A787" t="str">
        <f>"20200130166017136667"</f>
        <v>20200130166017136667</v>
      </c>
      <c r="B787" t="s">
        <v>124</v>
      </c>
      <c r="C787" t="s">
        <v>124</v>
      </c>
      <c r="D787" t="s">
        <v>3492</v>
      </c>
      <c r="E787" t="str">
        <f>"087580016101"</f>
        <v>087580016101</v>
      </c>
      <c r="F787" t="s">
        <v>52</v>
      </c>
      <c r="G787">
        <v>802013023</v>
      </c>
      <c r="H787" t="s">
        <v>74</v>
      </c>
      <c r="I787" t="s">
        <v>953</v>
      </c>
      <c r="J787">
        <v>3759400</v>
      </c>
      <c r="K787" t="s">
        <v>54</v>
      </c>
      <c r="L787">
        <v>8507198</v>
      </c>
      <c r="M787" t="s">
        <v>281</v>
      </c>
      <c r="N787" t="s">
        <v>282</v>
      </c>
      <c r="O787" t="s">
        <v>703</v>
      </c>
      <c r="P787" t="s">
        <v>99</v>
      </c>
      <c r="Q787">
        <v>2441</v>
      </c>
      <c r="R787" t="s">
        <v>54</v>
      </c>
      <c r="S787">
        <v>22286104</v>
      </c>
      <c r="T787" t="s">
        <v>3194</v>
      </c>
      <c r="U787" t="s">
        <v>62</v>
      </c>
      <c r="V787" t="s">
        <v>57</v>
      </c>
      <c r="W787" t="s">
        <v>57</v>
      </c>
      <c r="X787" t="s">
        <v>299</v>
      </c>
      <c r="Y787" t="s">
        <v>121</v>
      </c>
      <c r="Z787">
        <v>21</v>
      </c>
      <c r="AA787" t="s">
        <v>1103</v>
      </c>
      <c r="AB787" t="s">
        <v>56</v>
      </c>
      <c r="AC787" t="s">
        <v>56</v>
      </c>
      <c r="AD787">
        <v>0</v>
      </c>
      <c r="AE787" t="s">
        <v>66</v>
      </c>
      <c r="AF787" t="s">
        <v>56</v>
      </c>
      <c r="AG787" t="s">
        <v>56</v>
      </c>
      <c r="AH787" t="s">
        <v>56</v>
      </c>
      <c r="AI787" t="s">
        <v>56</v>
      </c>
      <c r="AJ787" t="s">
        <v>356</v>
      </c>
      <c r="AK787" t="s">
        <v>357</v>
      </c>
      <c r="AL787" t="s">
        <v>255</v>
      </c>
      <c r="AM787" t="s">
        <v>256</v>
      </c>
      <c r="AN787" t="s">
        <v>56</v>
      </c>
      <c r="AO787" t="s">
        <v>56</v>
      </c>
      <c r="AP787" t="s">
        <v>56</v>
      </c>
      <c r="AQ787" t="s">
        <v>71</v>
      </c>
      <c r="AR787" t="s">
        <v>56</v>
      </c>
      <c r="AS787" t="s">
        <v>56</v>
      </c>
      <c r="AT787" t="s">
        <v>56</v>
      </c>
      <c r="AU787" t="s">
        <v>56</v>
      </c>
      <c r="AV787" t="s">
        <v>56</v>
      </c>
      <c r="AW787" t="s">
        <v>56</v>
      </c>
      <c r="AX787">
        <v>4</v>
      </c>
    </row>
    <row r="788" spans="1:50" x14ac:dyDescent="0.25">
      <c r="A788" t="str">
        <f>"20200127168017045252"</f>
        <v>20200127168017045252</v>
      </c>
      <c r="B788" t="s">
        <v>190</v>
      </c>
      <c r="C788" t="s">
        <v>190</v>
      </c>
      <c r="D788" t="s">
        <v>3493</v>
      </c>
      <c r="E788" t="str">
        <f>"760200165701"</f>
        <v>760200165701</v>
      </c>
      <c r="F788" t="s">
        <v>52</v>
      </c>
      <c r="G788">
        <v>891900438</v>
      </c>
      <c r="H788">
        <v>76020</v>
      </c>
      <c r="I788" t="s">
        <v>447</v>
      </c>
      <c r="J788">
        <v>2004120</v>
      </c>
      <c r="K788" t="s">
        <v>54</v>
      </c>
      <c r="L788">
        <v>10123191</v>
      </c>
      <c r="M788" t="s">
        <v>291</v>
      </c>
      <c r="N788" t="s">
        <v>838</v>
      </c>
      <c r="O788" t="s">
        <v>839</v>
      </c>
      <c r="P788" t="s">
        <v>425</v>
      </c>
      <c r="Q788">
        <v>762392</v>
      </c>
      <c r="R788" t="s">
        <v>54</v>
      </c>
      <c r="S788">
        <v>15897248</v>
      </c>
      <c r="T788" t="s">
        <v>1304</v>
      </c>
      <c r="U788" t="s">
        <v>3494</v>
      </c>
      <c r="V788" t="s">
        <v>3495</v>
      </c>
      <c r="W788" t="s">
        <v>249</v>
      </c>
      <c r="X788" t="s">
        <v>453</v>
      </c>
      <c r="Y788" t="s">
        <v>64</v>
      </c>
      <c r="Z788">
        <v>11</v>
      </c>
      <c r="AA788" t="s">
        <v>87</v>
      </c>
      <c r="AB788" t="s">
        <v>56</v>
      </c>
      <c r="AC788" t="s">
        <v>56</v>
      </c>
      <c r="AD788">
        <v>0</v>
      </c>
      <c r="AE788" t="s">
        <v>66</v>
      </c>
      <c r="AF788" t="s">
        <v>56</v>
      </c>
      <c r="AG788" t="s">
        <v>56</v>
      </c>
      <c r="AH788" t="s">
        <v>56</v>
      </c>
      <c r="AI788" t="s">
        <v>56</v>
      </c>
      <c r="AJ788" t="s">
        <v>509</v>
      </c>
      <c r="AK788" t="s">
        <v>510</v>
      </c>
      <c r="AL788" t="s">
        <v>913</v>
      </c>
      <c r="AM788" t="s">
        <v>914</v>
      </c>
      <c r="AN788" t="s">
        <v>56</v>
      </c>
      <c r="AO788" t="s">
        <v>56</v>
      </c>
      <c r="AP788" t="s">
        <v>56</v>
      </c>
      <c r="AQ788" t="s">
        <v>71</v>
      </c>
      <c r="AR788" t="s">
        <v>56</v>
      </c>
      <c r="AS788" t="s">
        <v>56</v>
      </c>
      <c r="AT788" t="s">
        <v>56</v>
      </c>
      <c r="AU788" t="s">
        <v>56</v>
      </c>
      <c r="AV788" t="s">
        <v>56</v>
      </c>
      <c r="AW788" t="s">
        <v>56</v>
      </c>
      <c r="AX788">
        <v>4</v>
      </c>
    </row>
    <row r="789" spans="1:50" x14ac:dyDescent="0.25">
      <c r="A789" t="str">
        <f>"20200127120017064178"</f>
        <v>20200127120017064178</v>
      </c>
      <c r="B789" t="s">
        <v>190</v>
      </c>
      <c r="C789" t="s">
        <v>190</v>
      </c>
      <c r="D789" t="s">
        <v>3496</v>
      </c>
      <c r="E789" t="str">
        <f>"200010205401"</f>
        <v>200010205401</v>
      </c>
      <c r="F789" t="s">
        <v>52</v>
      </c>
      <c r="G789">
        <v>901058547</v>
      </c>
      <c r="H789">
        <v>20001</v>
      </c>
      <c r="I789" t="s">
        <v>512</v>
      </c>
      <c r="J789" t="s">
        <v>513</v>
      </c>
      <c r="K789" t="s">
        <v>54</v>
      </c>
      <c r="L789">
        <v>56078839</v>
      </c>
      <c r="M789" t="s">
        <v>577</v>
      </c>
      <c r="N789" t="s">
        <v>275</v>
      </c>
      <c r="O789" t="s">
        <v>225</v>
      </c>
      <c r="P789" t="s">
        <v>578</v>
      </c>
      <c r="Q789">
        <v>7093</v>
      </c>
      <c r="R789" t="s">
        <v>54</v>
      </c>
      <c r="S789">
        <v>77177124</v>
      </c>
      <c r="T789" t="s">
        <v>3497</v>
      </c>
      <c r="U789" t="s">
        <v>62</v>
      </c>
      <c r="V789" t="s">
        <v>2919</v>
      </c>
      <c r="W789" t="s">
        <v>759</v>
      </c>
      <c r="X789" t="s">
        <v>462</v>
      </c>
      <c r="Y789" t="s">
        <v>86</v>
      </c>
      <c r="Z789">
        <v>11</v>
      </c>
      <c r="AA789" t="s">
        <v>87</v>
      </c>
      <c r="AB789" t="s">
        <v>56</v>
      </c>
      <c r="AC789" t="s">
        <v>56</v>
      </c>
      <c r="AD789">
        <v>0</v>
      </c>
      <c r="AE789" t="s">
        <v>66</v>
      </c>
      <c r="AF789" t="s">
        <v>56</v>
      </c>
      <c r="AG789" t="s">
        <v>56</v>
      </c>
      <c r="AH789" t="s">
        <v>56</v>
      </c>
      <c r="AI789" t="s">
        <v>56</v>
      </c>
      <c r="AJ789" t="s">
        <v>583</v>
      </c>
      <c r="AK789" t="s">
        <v>584</v>
      </c>
      <c r="AL789" t="s">
        <v>56</v>
      </c>
      <c r="AM789" t="s">
        <v>56</v>
      </c>
      <c r="AN789" t="s">
        <v>56</v>
      </c>
      <c r="AO789" t="s">
        <v>56</v>
      </c>
      <c r="AP789" t="s">
        <v>56</v>
      </c>
      <c r="AQ789" t="s">
        <v>71</v>
      </c>
      <c r="AR789" t="s">
        <v>56</v>
      </c>
      <c r="AS789" t="s">
        <v>56</v>
      </c>
      <c r="AT789" t="s">
        <v>56</v>
      </c>
      <c r="AU789" t="s">
        <v>56</v>
      </c>
      <c r="AV789" t="s">
        <v>56</v>
      </c>
      <c r="AW789" t="s">
        <v>56</v>
      </c>
      <c r="AX789">
        <v>4</v>
      </c>
    </row>
    <row r="790" spans="1:50" x14ac:dyDescent="0.25">
      <c r="A790" t="str">
        <f>"20200129187017102468"</f>
        <v>20200129187017102468</v>
      </c>
      <c r="B790" t="s">
        <v>72</v>
      </c>
      <c r="C790" t="s">
        <v>72</v>
      </c>
      <c r="D790" t="s">
        <v>3498</v>
      </c>
      <c r="E790" t="str">
        <f>"084330205401"</f>
        <v>084330205401</v>
      </c>
      <c r="F790" t="s">
        <v>52</v>
      </c>
      <c r="G790">
        <v>900488067</v>
      </c>
      <c r="H790" t="s">
        <v>349</v>
      </c>
      <c r="I790" t="s">
        <v>350</v>
      </c>
      <c r="J790">
        <v>3207404550</v>
      </c>
      <c r="K790" t="s">
        <v>54</v>
      </c>
      <c r="L790">
        <v>1048267790</v>
      </c>
      <c r="M790" t="s">
        <v>351</v>
      </c>
      <c r="N790" t="s">
        <v>352</v>
      </c>
      <c r="O790" t="s">
        <v>353</v>
      </c>
      <c r="P790" t="s">
        <v>109</v>
      </c>
      <c r="Q790">
        <v>1048267790</v>
      </c>
      <c r="R790" t="s">
        <v>54</v>
      </c>
      <c r="S790">
        <v>1048281653</v>
      </c>
      <c r="T790" t="s">
        <v>164</v>
      </c>
      <c r="U790" t="s">
        <v>423</v>
      </c>
      <c r="V790" t="s">
        <v>3499</v>
      </c>
      <c r="W790" t="s">
        <v>775</v>
      </c>
      <c r="X790" t="s">
        <v>241</v>
      </c>
      <c r="Y790" t="s">
        <v>121</v>
      </c>
      <c r="Z790">
        <v>11</v>
      </c>
      <c r="AA790" t="s">
        <v>87</v>
      </c>
      <c r="AB790" t="s">
        <v>56</v>
      </c>
      <c r="AC790" t="s">
        <v>56</v>
      </c>
      <c r="AD790">
        <v>0</v>
      </c>
      <c r="AE790" t="s">
        <v>66</v>
      </c>
      <c r="AF790" t="s">
        <v>56</v>
      </c>
      <c r="AG790" t="s">
        <v>56</v>
      </c>
      <c r="AH790" t="s">
        <v>56</v>
      </c>
      <c r="AI790" t="s">
        <v>56</v>
      </c>
      <c r="AJ790" t="s">
        <v>356</v>
      </c>
      <c r="AK790" t="s">
        <v>357</v>
      </c>
      <c r="AL790" t="s">
        <v>56</v>
      </c>
      <c r="AM790" t="s">
        <v>56</v>
      </c>
      <c r="AN790" t="s">
        <v>56</v>
      </c>
      <c r="AO790" t="s">
        <v>56</v>
      </c>
      <c r="AP790" t="s">
        <v>56</v>
      </c>
      <c r="AQ790" t="s">
        <v>71</v>
      </c>
      <c r="AR790" t="s">
        <v>56</v>
      </c>
      <c r="AS790" t="s">
        <v>56</v>
      </c>
      <c r="AT790" t="s">
        <v>56</v>
      </c>
      <c r="AU790" t="s">
        <v>56</v>
      </c>
      <c r="AV790" t="s">
        <v>56</v>
      </c>
      <c r="AW790" t="s">
        <v>56</v>
      </c>
      <c r="AX790">
        <v>4</v>
      </c>
    </row>
    <row r="791" spans="1:50" x14ac:dyDescent="0.25">
      <c r="A791" t="str">
        <f>"20200128163017090022"</f>
        <v>20200128163017090022</v>
      </c>
      <c r="B791" t="s">
        <v>151</v>
      </c>
      <c r="C791" t="s">
        <v>151</v>
      </c>
      <c r="D791" t="s">
        <v>3500</v>
      </c>
      <c r="E791" t="str">
        <f>"270010077002"</f>
        <v>270010077002</v>
      </c>
      <c r="F791" t="s">
        <v>52</v>
      </c>
      <c r="G791">
        <v>900520293</v>
      </c>
      <c r="H791">
        <v>27001</v>
      </c>
      <c r="I791" t="s">
        <v>2987</v>
      </c>
      <c r="J791" t="s">
        <v>2988</v>
      </c>
      <c r="K791" t="s">
        <v>54</v>
      </c>
      <c r="L791">
        <v>4803351</v>
      </c>
      <c r="M791" t="s">
        <v>2989</v>
      </c>
      <c r="N791" t="s">
        <v>56</v>
      </c>
      <c r="O791" t="s">
        <v>2990</v>
      </c>
      <c r="P791" t="s">
        <v>1072</v>
      </c>
      <c r="Q791">
        <v>270309</v>
      </c>
      <c r="R791" t="s">
        <v>440</v>
      </c>
      <c r="S791">
        <v>1078467974</v>
      </c>
      <c r="T791" t="s">
        <v>117</v>
      </c>
      <c r="U791" t="s">
        <v>76</v>
      </c>
      <c r="V791" t="s">
        <v>528</v>
      </c>
      <c r="W791" t="s">
        <v>742</v>
      </c>
      <c r="X791" t="s">
        <v>860</v>
      </c>
      <c r="Y791" t="s">
        <v>717</v>
      </c>
      <c r="Z791">
        <v>11</v>
      </c>
      <c r="AA791" t="s">
        <v>87</v>
      </c>
      <c r="AB791" t="s">
        <v>56</v>
      </c>
      <c r="AC791" t="s">
        <v>56</v>
      </c>
      <c r="AD791">
        <v>0</v>
      </c>
      <c r="AE791" t="s">
        <v>66</v>
      </c>
      <c r="AF791" t="s">
        <v>56</v>
      </c>
      <c r="AG791" t="s">
        <v>56</v>
      </c>
      <c r="AH791" t="s">
        <v>56</v>
      </c>
      <c r="AI791" t="s">
        <v>56</v>
      </c>
      <c r="AJ791" t="s">
        <v>2424</v>
      </c>
      <c r="AK791" t="s">
        <v>2425</v>
      </c>
      <c r="AL791" t="s">
        <v>56</v>
      </c>
      <c r="AM791" t="s">
        <v>56</v>
      </c>
      <c r="AN791" t="s">
        <v>56</v>
      </c>
      <c r="AO791" t="s">
        <v>56</v>
      </c>
      <c r="AP791" t="s">
        <v>56</v>
      </c>
      <c r="AQ791" t="s">
        <v>71</v>
      </c>
      <c r="AR791" t="s">
        <v>56</v>
      </c>
      <c r="AS791" t="s">
        <v>56</v>
      </c>
      <c r="AT791" t="s">
        <v>56</v>
      </c>
      <c r="AU791" t="s">
        <v>56</v>
      </c>
      <c r="AV791" t="s">
        <v>56</v>
      </c>
      <c r="AW791" t="s">
        <v>56</v>
      </c>
      <c r="AX791">
        <v>4</v>
      </c>
    </row>
    <row r="792" spans="1:50" x14ac:dyDescent="0.25">
      <c r="A792" t="str">
        <f>"20200130148017155099"</f>
        <v>20200130148017155099</v>
      </c>
      <c r="B792" t="s">
        <v>124</v>
      </c>
      <c r="C792" t="s">
        <v>124</v>
      </c>
      <c r="D792" t="s">
        <v>3501</v>
      </c>
      <c r="E792" t="str">
        <f>"707080033101"</f>
        <v>707080033101</v>
      </c>
      <c r="F792" t="s">
        <v>52</v>
      </c>
      <c r="G792">
        <v>800191643</v>
      </c>
      <c r="H792">
        <v>70708</v>
      </c>
      <c r="I792" t="s">
        <v>3502</v>
      </c>
      <c r="J792">
        <v>2954800</v>
      </c>
      <c r="K792" t="s">
        <v>54</v>
      </c>
      <c r="L792">
        <v>7151155</v>
      </c>
      <c r="M792" t="s">
        <v>76</v>
      </c>
      <c r="N792" t="s">
        <v>1189</v>
      </c>
      <c r="O792" t="s">
        <v>119</v>
      </c>
      <c r="P792" t="s">
        <v>263</v>
      </c>
      <c r="Q792" t="s">
        <v>3503</v>
      </c>
      <c r="R792" t="s">
        <v>54</v>
      </c>
      <c r="S792">
        <v>22835896</v>
      </c>
      <c r="T792" t="s">
        <v>3504</v>
      </c>
      <c r="U792" t="s">
        <v>600</v>
      </c>
      <c r="V792" t="s">
        <v>134</v>
      </c>
      <c r="W792" t="s">
        <v>3505</v>
      </c>
      <c r="X792" t="s">
        <v>2252</v>
      </c>
      <c r="Y792" t="s">
        <v>330</v>
      </c>
      <c r="Z792">
        <v>12</v>
      </c>
      <c r="AA792" t="s">
        <v>65</v>
      </c>
      <c r="AB792" t="s">
        <v>56</v>
      </c>
      <c r="AC792" t="s">
        <v>56</v>
      </c>
      <c r="AD792">
        <v>0</v>
      </c>
      <c r="AE792" t="s">
        <v>66</v>
      </c>
      <c r="AF792" t="s">
        <v>56</v>
      </c>
      <c r="AG792" t="s">
        <v>56</v>
      </c>
      <c r="AH792" t="s">
        <v>56</v>
      </c>
      <c r="AI792" t="s">
        <v>56</v>
      </c>
      <c r="AJ792" t="s">
        <v>3506</v>
      </c>
      <c r="AK792" t="s">
        <v>3507</v>
      </c>
      <c r="AL792" t="s">
        <v>56</v>
      </c>
      <c r="AM792" t="s">
        <v>56</v>
      </c>
      <c r="AN792" t="s">
        <v>56</v>
      </c>
      <c r="AO792" t="s">
        <v>56</v>
      </c>
      <c r="AP792" t="s">
        <v>56</v>
      </c>
      <c r="AQ792" t="s">
        <v>71</v>
      </c>
      <c r="AR792" t="s">
        <v>56</v>
      </c>
      <c r="AS792" t="s">
        <v>56</v>
      </c>
      <c r="AT792" t="s">
        <v>56</v>
      </c>
      <c r="AU792" t="s">
        <v>56</v>
      </c>
      <c r="AV792" t="s">
        <v>56</v>
      </c>
      <c r="AW792" t="s">
        <v>56</v>
      </c>
      <c r="AX792">
        <v>4</v>
      </c>
    </row>
    <row r="793" spans="1:50" x14ac:dyDescent="0.25">
      <c r="A793" t="str">
        <f>"20200128190017072211"</f>
        <v>20200128190017072211</v>
      </c>
      <c r="B793" t="s">
        <v>151</v>
      </c>
      <c r="C793" t="s">
        <v>151</v>
      </c>
      <c r="D793" t="s">
        <v>3508</v>
      </c>
      <c r="E793" t="str">
        <f>"761470851601"</f>
        <v>761470851601</v>
      </c>
      <c r="F793" t="s">
        <v>52</v>
      </c>
      <c r="G793">
        <v>900472731</v>
      </c>
      <c r="H793">
        <v>76147</v>
      </c>
      <c r="I793" t="s">
        <v>53</v>
      </c>
      <c r="J793">
        <v>2146686</v>
      </c>
      <c r="K793" t="s">
        <v>54</v>
      </c>
      <c r="L793">
        <v>1017129169</v>
      </c>
      <c r="M793" t="s">
        <v>1721</v>
      </c>
      <c r="N793" t="s">
        <v>519</v>
      </c>
      <c r="O793" t="s">
        <v>2818</v>
      </c>
      <c r="P793" t="s">
        <v>362</v>
      </c>
      <c r="Q793">
        <v>52156910</v>
      </c>
      <c r="R793" t="s">
        <v>440</v>
      </c>
      <c r="S793">
        <v>1114510692</v>
      </c>
      <c r="T793" t="s">
        <v>2983</v>
      </c>
      <c r="U793" t="s">
        <v>995</v>
      </c>
      <c r="V793" t="s">
        <v>2733</v>
      </c>
      <c r="W793" t="s">
        <v>3509</v>
      </c>
      <c r="X793" t="s">
        <v>1337</v>
      </c>
      <c r="Y793" t="s">
        <v>64</v>
      </c>
      <c r="Z793">
        <v>11</v>
      </c>
      <c r="AA793" t="s">
        <v>87</v>
      </c>
      <c r="AB793" t="s">
        <v>56</v>
      </c>
      <c r="AC793" t="s">
        <v>56</v>
      </c>
      <c r="AD793">
        <v>0</v>
      </c>
      <c r="AE793" t="s">
        <v>66</v>
      </c>
      <c r="AF793" t="s">
        <v>56</v>
      </c>
      <c r="AG793" t="s">
        <v>56</v>
      </c>
      <c r="AH793" t="s">
        <v>56</v>
      </c>
      <c r="AI793" t="s">
        <v>56</v>
      </c>
      <c r="AJ793" t="s">
        <v>199</v>
      </c>
      <c r="AK793" t="s">
        <v>200</v>
      </c>
      <c r="AL793" t="s">
        <v>56</v>
      </c>
      <c r="AM793" t="s">
        <v>56</v>
      </c>
      <c r="AN793" t="s">
        <v>56</v>
      </c>
      <c r="AO793" t="s">
        <v>56</v>
      </c>
      <c r="AP793" t="s">
        <v>56</v>
      </c>
      <c r="AQ793" t="s">
        <v>71</v>
      </c>
      <c r="AR793" t="s">
        <v>56</v>
      </c>
      <c r="AS793" t="s">
        <v>56</v>
      </c>
      <c r="AT793" t="s">
        <v>56</v>
      </c>
      <c r="AU793" t="s">
        <v>56</v>
      </c>
      <c r="AV793" t="s">
        <v>56</v>
      </c>
      <c r="AW793" t="s">
        <v>56</v>
      </c>
      <c r="AX793">
        <v>4</v>
      </c>
    </row>
    <row r="794" spans="1:50" x14ac:dyDescent="0.25">
      <c r="A794" t="str">
        <f>"20200129169017112706"</f>
        <v>20200129169017112706</v>
      </c>
      <c r="B794" t="s">
        <v>72</v>
      </c>
      <c r="C794" t="s">
        <v>72</v>
      </c>
      <c r="D794" t="s">
        <v>3510</v>
      </c>
      <c r="E794" t="str">
        <f>"080010380001"</f>
        <v>080010380001</v>
      </c>
      <c r="F794" t="s">
        <v>52</v>
      </c>
      <c r="G794">
        <v>900665930</v>
      </c>
      <c r="H794" t="s">
        <v>112</v>
      </c>
      <c r="I794" t="s">
        <v>113</v>
      </c>
      <c r="J794">
        <v>3175759202</v>
      </c>
      <c r="K794" t="s">
        <v>54</v>
      </c>
      <c r="L794">
        <v>1045724464</v>
      </c>
      <c r="M794" t="s">
        <v>59</v>
      </c>
      <c r="N794" t="s">
        <v>114</v>
      </c>
      <c r="O794" t="s">
        <v>115</v>
      </c>
      <c r="P794" t="s">
        <v>116</v>
      </c>
      <c r="Q794">
        <v>1045724464</v>
      </c>
      <c r="R794" t="s">
        <v>440</v>
      </c>
      <c r="S794">
        <v>1158464791</v>
      </c>
      <c r="T794" t="s">
        <v>3511</v>
      </c>
      <c r="U794" t="s">
        <v>62</v>
      </c>
      <c r="V794" t="s">
        <v>57</v>
      </c>
      <c r="W794" t="s">
        <v>382</v>
      </c>
      <c r="X794" t="s">
        <v>120</v>
      </c>
      <c r="Y794" t="s">
        <v>121</v>
      </c>
      <c r="Z794">
        <v>12</v>
      </c>
      <c r="AA794" t="s">
        <v>65</v>
      </c>
      <c r="AB794" t="s">
        <v>56</v>
      </c>
      <c r="AC794" t="s">
        <v>56</v>
      </c>
      <c r="AD794">
        <v>0</v>
      </c>
      <c r="AE794" t="s">
        <v>66</v>
      </c>
      <c r="AF794" t="s">
        <v>56</v>
      </c>
      <c r="AG794" t="s">
        <v>56</v>
      </c>
      <c r="AH794" t="s">
        <v>56</v>
      </c>
      <c r="AI794" t="s">
        <v>56</v>
      </c>
      <c r="AJ794" t="s">
        <v>1250</v>
      </c>
      <c r="AK794" t="s">
        <v>1251</v>
      </c>
      <c r="AL794" t="s">
        <v>56</v>
      </c>
      <c r="AM794" t="s">
        <v>56</v>
      </c>
      <c r="AN794" t="s">
        <v>56</v>
      </c>
      <c r="AO794" t="s">
        <v>56</v>
      </c>
      <c r="AP794" t="s">
        <v>56</v>
      </c>
      <c r="AQ794" t="s">
        <v>71</v>
      </c>
      <c r="AR794" t="s">
        <v>56</v>
      </c>
      <c r="AS794" t="s">
        <v>56</v>
      </c>
      <c r="AT794" t="s">
        <v>56</v>
      </c>
      <c r="AU794" t="s">
        <v>56</v>
      </c>
      <c r="AV794" t="s">
        <v>56</v>
      </c>
      <c r="AW794" t="s">
        <v>56</v>
      </c>
      <c r="AX794">
        <v>4</v>
      </c>
    </row>
    <row r="795" spans="1:50" x14ac:dyDescent="0.25">
      <c r="A795" t="str">
        <f>"20200127127017043681"</f>
        <v>20200127127017043681</v>
      </c>
      <c r="B795" t="s">
        <v>190</v>
      </c>
      <c r="C795" t="s">
        <v>190</v>
      </c>
      <c r="D795" t="s">
        <v>3512</v>
      </c>
      <c r="E795" t="str">
        <f>"134300290801"</f>
        <v>134300290801</v>
      </c>
      <c r="F795" t="s">
        <v>52</v>
      </c>
      <c r="G795">
        <v>800033723</v>
      </c>
      <c r="H795">
        <v>13430</v>
      </c>
      <c r="I795" t="s">
        <v>1672</v>
      </c>
      <c r="J795">
        <v>3187117423</v>
      </c>
      <c r="K795" t="s">
        <v>54</v>
      </c>
      <c r="L795">
        <v>9273444</v>
      </c>
      <c r="M795" t="s">
        <v>76</v>
      </c>
      <c r="N795" t="s">
        <v>2095</v>
      </c>
      <c r="O795" t="s">
        <v>2096</v>
      </c>
      <c r="P795" t="s">
        <v>2097</v>
      </c>
      <c r="Q795">
        <v>9273444</v>
      </c>
      <c r="R795" t="s">
        <v>54</v>
      </c>
      <c r="S795">
        <v>33199347</v>
      </c>
      <c r="T795" t="s">
        <v>117</v>
      </c>
      <c r="U795" t="s">
        <v>196</v>
      </c>
      <c r="V795" t="s">
        <v>328</v>
      </c>
      <c r="W795" t="s">
        <v>2178</v>
      </c>
      <c r="X795" t="s">
        <v>183</v>
      </c>
      <c r="Y795" t="s">
        <v>101</v>
      </c>
      <c r="Z795">
        <v>11</v>
      </c>
      <c r="AA795" t="s">
        <v>87</v>
      </c>
      <c r="AB795" t="s">
        <v>56</v>
      </c>
      <c r="AC795" t="s">
        <v>56</v>
      </c>
      <c r="AD795">
        <v>0</v>
      </c>
      <c r="AE795" t="s">
        <v>66</v>
      </c>
      <c r="AF795" t="s">
        <v>56</v>
      </c>
      <c r="AG795" t="s">
        <v>56</v>
      </c>
      <c r="AH795" t="s">
        <v>56</v>
      </c>
      <c r="AI795" t="s">
        <v>56</v>
      </c>
      <c r="AJ795" t="s">
        <v>414</v>
      </c>
      <c r="AK795" t="s">
        <v>415</v>
      </c>
      <c r="AL795" t="s">
        <v>215</v>
      </c>
      <c r="AM795" t="s">
        <v>216</v>
      </c>
      <c r="AN795" t="s">
        <v>56</v>
      </c>
      <c r="AO795" t="s">
        <v>56</v>
      </c>
      <c r="AP795" t="s">
        <v>56</v>
      </c>
      <c r="AQ795" t="s">
        <v>71</v>
      </c>
      <c r="AR795" t="s">
        <v>56</v>
      </c>
      <c r="AS795" t="s">
        <v>56</v>
      </c>
      <c r="AT795" t="s">
        <v>56</v>
      </c>
      <c r="AU795" t="s">
        <v>56</v>
      </c>
      <c r="AV795" t="s">
        <v>56</v>
      </c>
      <c r="AW795" t="s">
        <v>56</v>
      </c>
      <c r="AX795">
        <v>4</v>
      </c>
    </row>
    <row r="796" spans="1:50" x14ac:dyDescent="0.25">
      <c r="A796" t="str">
        <f>"20200129140017101801"</f>
        <v>20200129140017101801</v>
      </c>
      <c r="B796" t="s">
        <v>72</v>
      </c>
      <c r="C796" t="s">
        <v>72</v>
      </c>
      <c r="D796" t="s">
        <v>3513</v>
      </c>
      <c r="E796" t="str">
        <f>"700010111401"</f>
        <v>700010111401</v>
      </c>
      <c r="F796" t="s">
        <v>52</v>
      </c>
      <c r="G796">
        <v>900217343</v>
      </c>
      <c r="H796">
        <v>70001</v>
      </c>
      <c r="I796" t="s">
        <v>885</v>
      </c>
      <c r="J796">
        <v>2714280</v>
      </c>
      <c r="K796" t="s">
        <v>54</v>
      </c>
      <c r="L796">
        <v>55231988</v>
      </c>
      <c r="M796" t="s">
        <v>886</v>
      </c>
      <c r="N796" t="s">
        <v>56</v>
      </c>
      <c r="O796" t="s">
        <v>193</v>
      </c>
      <c r="P796" t="s">
        <v>805</v>
      </c>
      <c r="Q796">
        <v>161322009</v>
      </c>
      <c r="R796" t="s">
        <v>54</v>
      </c>
      <c r="S796">
        <v>9310962</v>
      </c>
      <c r="T796" t="s">
        <v>2419</v>
      </c>
      <c r="U796" t="s">
        <v>128</v>
      </c>
      <c r="V796" t="s">
        <v>99</v>
      </c>
      <c r="W796" t="s">
        <v>3140</v>
      </c>
      <c r="X796" t="s">
        <v>329</v>
      </c>
      <c r="Y796" t="s">
        <v>330</v>
      </c>
      <c r="Z796">
        <v>12</v>
      </c>
      <c r="AA796" t="s">
        <v>65</v>
      </c>
      <c r="AB796" t="s">
        <v>56</v>
      </c>
      <c r="AC796" t="s">
        <v>56</v>
      </c>
      <c r="AD796">
        <v>0</v>
      </c>
      <c r="AE796" t="s">
        <v>66</v>
      </c>
      <c r="AF796" t="s">
        <v>56</v>
      </c>
      <c r="AG796" t="s">
        <v>56</v>
      </c>
      <c r="AH796" t="s">
        <v>56</v>
      </c>
      <c r="AI796" t="s">
        <v>56</v>
      </c>
      <c r="AJ796" t="s">
        <v>536</v>
      </c>
      <c r="AK796" t="s">
        <v>537</v>
      </c>
      <c r="AL796" t="s">
        <v>56</v>
      </c>
      <c r="AM796" t="s">
        <v>56</v>
      </c>
      <c r="AN796" t="s">
        <v>56</v>
      </c>
      <c r="AO796" t="s">
        <v>56</v>
      </c>
      <c r="AP796" t="s">
        <v>56</v>
      </c>
      <c r="AQ796" t="s">
        <v>71</v>
      </c>
      <c r="AR796" t="s">
        <v>56</v>
      </c>
      <c r="AS796" t="s">
        <v>56</v>
      </c>
      <c r="AT796" t="s">
        <v>56</v>
      </c>
      <c r="AU796" t="s">
        <v>56</v>
      </c>
      <c r="AV796" t="s">
        <v>56</v>
      </c>
      <c r="AW796" t="s">
        <v>56</v>
      </c>
      <c r="AX796">
        <v>4</v>
      </c>
    </row>
    <row r="797" spans="1:50" x14ac:dyDescent="0.25">
      <c r="A797" t="str">
        <f>"20200201149017188299"</f>
        <v>20200201149017188299</v>
      </c>
      <c r="B797" t="s">
        <v>50</v>
      </c>
      <c r="C797" t="s">
        <v>50</v>
      </c>
      <c r="D797" t="s">
        <v>3514</v>
      </c>
      <c r="E797" t="str">
        <f>"084330205401"</f>
        <v>084330205401</v>
      </c>
      <c r="F797" t="s">
        <v>52</v>
      </c>
      <c r="G797">
        <v>900488067</v>
      </c>
      <c r="H797" t="s">
        <v>349</v>
      </c>
      <c r="I797" t="s">
        <v>350</v>
      </c>
      <c r="J797">
        <v>3207404550</v>
      </c>
      <c r="K797" t="s">
        <v>54</v>
      </c>
      <c r="L797">
        <v>1048267790</v>
      </c>
      <c r="M797" t="s">
        <v>351</v>
      </c>
      <c r="N797" t="s">
        <v>352</v>
      </c>
      <c r="O797" t="s">
        <v>353</v>
      </c>
      <c r="P797" t="s">
        <v>109</v>
      </c>
      <c r="Q797">
        <v>1048267790</v>
      </c>
      <c r="R797" t="s">
        <v>54</v>
      </c>
      <c r="S797">
        <v>72177997</v>
      </c>
      <c r="T797" t="s">
        <v>219</v>
      </c>
      <c r="U797" t="s">
        <v>261</v>
      </c>
      <c r="V797" t="s">
        <v>1962</v>
      </c>
      <c r="W797" t="s">
        <v>3088</v>
      </c>
      <c r="X797" t="s">
        <v>120</v>
      </c>
      <c r="Y797" t="s">
        <v>121</v>
      </c>
      <c r="Z797">
        <v>11</v>
      </c>
      <c r="AA797" t="s">
        <v>87</v>
      </c>
      <c r="AB797" t="s">
        <v>56</v>
      </c>
      <c r="AC797" t="s">
        <v>56</v>
      </c>
      <c r="AD797">
        <v>0</v>
      </c>
      <c r="AE797" t="s">
        <v>66</v>
      </c>
      <c r="AF797" t="s">
        <v>56</v>
      </c>
      <c r="AG797" t="s">
        <v>56</v>
      </c>
      <c r="AH797" t="s">
        <v>56</v>
      </c>
      <c r="AI797" t="s">
        <v>56</v>
      </c>
      <c r="AJ797" t="s">
        <v>356</v>
      </c>
      <c r="AK797" t="s">
        <v>357</v>
      </c>
      <c r="AL797" t="s">
        <v>56</v>
      </c>
      <c r="AM797" t="s">
        <v>56</v>
      </c>
      <c r="AN797" t="s">
        <v>56</v>
      </c>
      <c r="AO797" t="s">
        <v>56</v>
      </c>
      <c r="AP797" t="s">
        <v>56</v>
      </c>
      <c r="AQ797" t="s">
        <v>71</v>
      </c>
      <c r="AR797" t="s">
        <v>56</v>
      </c>
      <c r="AS797" t="s">
        <v>56</v>
      </c>
      <c r="AT797" t="s">
        <v>56</v>
      </c>
      <c r="AU797" t="s">
        <v>56</v>
      </c>
      <c r="AV797" t="s">
        <v>56</v>
      </c>
      <c r="AW797" t="s">
        <v>56</v>
      </c>
      <c r="AX797">
        <v>4</v>
      </c>
    </row>
    <row r="798" spans="1:50" x14ac:dyDescent="0.25">
      <c r="A798" t="str">
        <f>"20200125188017026974"</f>
        <v>20200125188017026974</v>
      </c>
      <c r="B798" t="s">
        <v>752</v>
      </c>
      <c r="C798" t="s">
        <v>752</v>
      </c>
      <c r="D798" t="s">
        <v>3515</v>
      </c>
      <c r="E798" t="str">
        <f>"270010036201"</f>
        <v>270010036201</v>
      </c>
      <c r="F798" t="s">
        <v>52</v>
      </c>
      <c r="G798">
        <v>900210883</v>
      </c>
      <c r="H798">
        <v>27001</v>
      </c>
      <c r="I798" t="s">
        <v>2057</v>
      </c>
      <c r="J798">
        <v>6724232</v>
      </c>
      <c r="K798" t="s">
        <v>54</v>
      </c>
      <c r="L798">
        <v>71315704</v>
      </c>
      <c r="M798" t="s">
        <v>3516</v>
      </c>
      <c r="N798" t="s">
        <v>799</v>
      </c>
      <c r="O798" t="s">
        <v>1410</v>
      </c>
      <c r="P798" t="s">
        <v>3035</v>
      </c>
      <c r="Q798">
        <v>71315704</v>
      </c>
      <c r="R798" t="s">
        <v>54</v>
      </c>
      <c r="S798">
        <v>42982637</v>
      </c>
      <c r="T798" t="s">
        <v>117</v>
      </c>
      <c r="U798" t="s">
        <v>803</v>
      </c>
      <c r="V798" t="s">
        <v>682</v>
      </c>
      <c r="W798" t="s">
        <v>715</v>
      </c>
      <c r="X798" t="s">
        <v>3517</v>
      </c>
      <c r="Y798" t="s">
        <v>717</v>
      </c>
      <c r="Z798">
        <v>12</v>
      </c>
      <c r="AA798" t="s">
        <v>65</v>
      </c>
      <c r="AB798" t="s">
        <v>56</v>
      </c>
      <c r="AC798" t="s">
        <v>56</v>
      </c>
      <c r="AD798">
        <v>0</v>
      </c>
      <c r="AE798" t="s">
        <v>66</v>
      </c>
      <c r="AF798" t="s">
        <v>56</v>
      </c>
      <c r="AG798" t="s">
        <v>56</v>
      </c>
      <c r="AH798" t="s">
        <v>56</v>
      </c>
      <c r="AI798" t="s">
        <v>56</v>
      </c>
      <c r="AJ798" t="s">
        <v>414</v>
      </c>
      <c r="AK798" t="s">
        <v>415</v>
      </c>
      <c r="AL798" t="s">
        <v>56</v>
      </c>
      <c r="AM798" t="s">
        <v>56</v>
      </c>
      <c r="AN798" t="s">
        <v>56</v>
      </c>
      <c r="AO798" t="s">
        <v>56</v>
      </c>
      <c r="AP798" t="s">
        <v>56</v>
      </c>
      <c r="AQ798" t="s">
        <v>71</v>
      </c>
      <c r="AR798" t="s">
        <v>56</v>
      </c>
      <c r="AS798" t="s">
        <v>56</v>
      </c>
      <c r="AT798" t="s">
        <v>56</v>
      </c>
      <c r="AU798" t="s">
        <v>56</v>
      </c>
      <c r="AV798" t="s">
        <v>56</v>
      </c>
      <c r="AW798" t="s">
        <v>56</v>
      </c>
      <c r="AX798">
        <v>4</v>
      </c>
    </row>
    <row r="799" spans="1:50" x14ac:dyDescent="0.25">
      <c r="A799" t="str">
        <f>"20200125137017026772"</f>
        <v>20200125137017026772</v>
      </c>
      <c r="B799" t="s">
        <v>752</v>
      </c>
      <c r="C799" t="s">
        <v>752</v>
      </c>
      <c r="D799" t="s">
        <v>3518</v>
      </c>
      <c r="E799" t="str">
        <f>"270010036201"</f>
        <v>270010036201</v>
      </c>
      <c r="F799" t="s">
        <v>52</v>
      </c>
      <c r="G799">
        <v>900210883</v>
      </c>
      <c r="H799">
        <v>27001</v>
      </c>
      <c r="I799" t="s">
        <v>2057</v>
      </c>
      <c r="J799">
        <v>6724232</v>
      </c>
      <c r="K799" t="s">
        <v>54</v>
      </c>
      <c r="L799">
        <v>71315704</v>
      </c>
      <c r="M799" t="s">
        <v>3516</v>
      </c>
      <c r="N799" t="s">
        <v>799</v>
      </c>
      <c r="O799" t="s">
        <v>1410</v>
      </c>
      <c r="P799" t="s">
        <v>3035</v>
      </c>
      <c r="Q799">
        <v>71315704</v>
      </c>
      <c r="R799" t="s">
        <v>54</v>
      </c>
      <c r="S799">
        <v>42982637</v>
      </c>
      <c r="T799" t="s">
        <v>117</v>
      </c>
      <c r="U799" t="s">
        <v>803</v>
      </c>
      <c r="V799" t="s">
        <v>682</v>
      </c>
      <c r="W799" t="s">
        <v>715</v>
      </c>
      <c r="X799" t="s">
        <v>3517</v>
      </c>
      <c r="Y799" t="s">
        <v>717</v>
      </c>
      <c r="Z799">
        <v>12</v>
      </c>
      <c r="AA799" t="s">
        <v>65</v>
      </c>
      <c r="AB799" t="s">
        <v>56</v>
      </c>
      <c r="AC799" t="s">
        <v>56</v>
      </c>
      <c r="AD799">
        <v>0</v>
      </c>
      <c r="AE799" t="s">
        <v>66</v>
      </c>
      <c r="AF799" t="s">
        <v>56</v>
      </c>
      <c r="AG799" t="s">
        <v>56</v>
      </c>
      <c r="AH799" t="s">
        <v>56</v>
      </c>
      <c r="AI799" t="s">
        <v>56</v>
      </c>
      <c r="AJ799" t="s">
        <v>3222</v>
      </c>
      <c r="AK799" t="s">
        <v>3223</v>
      </c>
      <c r="AL799" t="s">
        <v>56</v>
      </c>
      <c r="AM799" t="s">
        <v>56</v>
      </c>
      <c r="AN799" t="s">
        <v>56</v>
      </c>
      <c r="AO799" t="s">
        <v>56</v>
      </c>
      <c r="AP799" t="s">
        <v>56</v>
      </c>
      <c r="AQ799" t="s">
        <v>71</v>
      </c>
      <c r="AR799" t="s">
        <v>56</v>
      </c>
      <c r="AS799" t="s">
        <v>56</v>
      </c>
      <c r="AT799" t="s">
        <v>56</v>
      </c>
      <c r="AU799" t="s">
        <v>56</v>
      </c>
      <c r="AV799" t="s">
        <v>56</v>
      </c>
      <c r="AW799" t="s">
        <v>56</v>
      </c>
      <c r="AX799">
        <v>4</v>
      </c>
    </row>
    <row r="800" spans="1:50" x14ac:dyDescent="0.25">
      <c r="A800" t="str">
        <f>"20200130169017152100"</f>
        <v>20200130169017152100</v>
      </c>
      <c r="B800" t="s">
        <v>124</v>
      </c>
      <c r="C800" t="s">
        <v>124</v>
      </c>
      <c r="D800" t="s">
        <v>3519</v>
      </c>
      <c r="E800" t="str">
        <f>"080010003601"</f>
        <v>080010003601</v>
      </c>
      <c r="F800" t="s">
        <v>52</v>
      </c>
      <c r="G800">
        <v>802000955</v>
      </c>
      <c r="H800" t="s">
        <v>112</v>
      </c>
      <c r="I800" t="s">
        <v>218</v>
      </c>
      <c r="J800" t="s">
        <v>56</v>
      </c>
      <c r="K800" t="s">
        <v>54</v>
      </c>
      <c r="L800">
        <v>1051357508</v>
      </c>
      <c r="M800" t="s">
        <v>644</v>
      </c>
      <c r="N800" t="s">
        <v>645</v>
      </c>
      <c r="O800" t="s">
        <v>646</v>
      </c>
      <c r="P800" t="s">
        <v>647</v>
      </c>
      <c r="Q800">
        <v>81153</v>
      </c>
      <c r="R800" t="s">
        <v>54</v>
      </c>
      <c r="S800">
        <v>7467808</v>
      </c>
      <c r="T800" t="s">
        <v>1841</v>
      </c>
      <c r="U800" t="s">
        <v>155</v>
      </c>
      <c r="V800" t="s">
        <v>1945</v>
      </c>
      <c r="W800" t="s">
        <v>324</v>
      </c>
      <c r="X800" t="s">
        <v>120</v>
      </c>
      <c r="Y800" t="s">
        <v>121</v>
      </c>
      <c r="Z800">
        <v>12</v>
      </c>
      <c r="AA800" t="s">
        <v>65</v>
      </c>
      <c r="AB800" t="s">
        <v>56</v>
      </c>
      <c r="AC800" t="s">
        <v>56</v>
      </c>
      <c r="AD800">
        <v>0</v>
      </c>
      <c r="AE800" t="s">
        <v>66</v>
      </c>
      <c r="AF800" t="s">
        <v>56</v>
      </c>
      <c r="AG800" t="s">
        <v>56</v>
      </c>
      <c r="AH800" t="s">
        <v>56</v>
      </c>
      <c r="AI800" t="s">
        <v>56</v>
      </c>
      <c r="AJ800" t="s">
        <v>228</v>
      </c>
      <c r="AK800" t="s">
        <v>229</v>
      </c>
      <c r="AL800" t="s">
        <v>56</v>
      </c>
      <c r="AM800" t="s">
        <v>56</v>
      </c>
      <c r="AN800" t="s">
        <v>56</v>
      </c>
      <c r="AO800" t="s">
        <v>56</v>
      </c>
      <c r="AP800" t="s">
        <v>56</v>
      </c>
      <c r="AQ800" t="s">
        <v>71</v>
      </c>
      <c r="AR800" t="s">
        <v>56</v>
      </c>
      <c r="AS800" t="s">
        <v>56</v>
      </c>
      <c r="AT800" t="s">
        <v>56</v>
      </c>
      <c r="AU800" t="s">
        <v>56</v>
      </c>
      <c r="AV800" t="s">
        <v>56</v>
      </c>
      <c r="AW800" t="s">
        <v>56</v>
      </c>
      <c r="AX800">
        <v>4</v>
      </c>
    </row>
    <row r="801" spans="1:50" x14ac:dyDescent="0.25">
      <c r="A801" t="str">
        <f>"20200124154017012962"</f>
        <v>20200124154017012962</v>
      </c>
      <c r="B801" t="s">
        <v>201</v>
      </c>
      <c r="C801" t="s">
        <v>201</v>
      </c>
      <c r="D801" t="s">
        <v>3520</v>
      </c>
      <c r="E801" t="str">
        <f>"270010009301"</f>
        <v>270010009301</v>
      </c>
      <c r="F801" t="s">
        <v>52</v>
      </c>
      <c r="G801">
        <v>800232788</v>
      </c>
      <c r="H801">
        <v>27001</v>
      </c>
      <c r="I801" t="s">
        <v>2307</v>
      </c>
      <c r="J801">
        <v>6724949</v>
      </c>
      <c r="K801" t="s">
        <v>54</v>
      </c>
      <c r="L801">
        <v>8274536</v>
      </c>
      <c r="M801" t="s">
        <v>76</v>
      </c>
      <c r="N801" t="s">
        <v>3521</v>
      </c>
      <c r="O801" t="s">
        <v>3522</v>
      </c>
      <c r="P801" t="s">
        <v>317</v>
      </c>
      <c r="Q801" t="s">
        <v>3523</v>
      </c>
      <c r="R801" t="s">
        <v>54</v>
      </c>
      <c r="S801">
        <v>26265724</v>
      </c>
      <c r="T801" t="s">
        <v>3524</v>
      </c>
      <c r="U801" t="s">
        <v>62</v>
      </c>
      <c r="V801" t="s">
        <v>2124</v>
      </c>
      <c r="W801" t="s">
        <v>1574</v>
      </c>
      <c r="X801" t="s">
        <v>860</v>
      </c>
      <c r="Y801" t="s">
        <v>717</v>
      </c>
      <c r="Z801">
        <v>12</v>
      </c>
      <c r="AA801" t="s">
        <v>65</v>
      </c>
      <c r="AB801" t="s">
        <v>56</v>
      </c>
      <c r="AC801" t="s">
        <v>56</v>
      </c>
      <c r="AD801">
        <v>0</v>
      </c>
      <c r="AE801" t="s">
        <v>66</v>
      </c>
      <c r="AF801" t="s">
        <v>56</v>
      </c>
      <c r="AG801" t="s">
        <v>56</v>
      </c>
      <c r="AH801" t="s">
        <v>56</v>
      </c>
      <c r="AI801" t="s">
        <v>56</v>
      </c>
      <c r="AJ801" t="s">
        <v>1861</v>
      </c>
      <c r="AK801" t="s">
        <v>1862</v>
      </c>
      <c r="AL801" t="s">
        <v>56</v>
      </c>
      <c r="AM801" t="s">
        <v>56</v>
      </c>
      <c r="AN801" t="s">
        <v>56</v>
      </c>
      <c r="AO801" t="s">
        <v>56</v>
      </c>
      <c r="AP801" t="s">
        <v>56</v>
      </c>
      <c r="AQ801" t="s">
        <v>71</v>
      </c>
      <c r="AR801" t="s">
        <v>56</v>
      </c>
      <c r="AS801" t="s">
        <v>56</v>
      </c>
      <c r="AT801" t="s">
        <v>56</v>
      </c>
      <c r="AU801" t="s">
        <v>56</v>
      </c>
      <c r="AV801" t="s">
        <v>56</v>
      </c>
      <c r="AW801" t="s">
        <v>56</v>
      </c>
      <c r="AX801">
        <v>4</v>
      </c>
    </row>
    <row r="802" spans="1:50" x14ac:dyDescent="0.25">
      <c r="A802" t="str">
        <f>"20200129121017120575"</f>
        <v>20200129121017120575</v>
      </c>
      <c r="B802" t="s">
        <v>72</v>
      </c>
      <c r="C802" t="s">
        <v>72</v>
      </c>
      <c r="D802" t="s">
        <v>3525</v>
      </c>
      <c r="E802" t="str">
        <f>"470580002301"</f>
        <v>470580002301</v>
      </c>
      <c r="F802" t="s">
        <v>52</v>
      </c>
      <c r="G802">
        <v>819001107</v>
      </c>
      <c r="H802">
        <v>47058</v>
      </c>
      <c r="I802" t="s">
        <v>626</v>
      </c>
      <c r="J802">
        <v>4258152</v>
      </c>
      <c r="K802" t="s">
        <v>54</v>
      </c>
      <c r="L802">
        <v>22478433</v>
      </c>
      <c r="M802" t="s">
        <v>2506</v>
      </c>
      <c r="N802" t="s">
        <v>972</v>
      </c>
      <c r="O802" t="s">
        <v>1260</v>
      </c>
      <c r="P802" t="s">
        <v>2507</v>
      </c>
      <c r="Q802" t="s">
        <v>2508</v>
      </c>
      <c r="R802" t="s">
        <v>54</v>
      </c>
      <c r="S802">
        <v>26838174</v>
      </c>
      <c r="T802" t="s">
        <v>117</v>
      </c>
      <c r="U802" t="s">
        <v>2690</v>
      </c>
      <c r="V802" t="s">
        <v>3526</v>
      </c>
      <c r="W802" t="s">
        <v>3527</v>
      </c>
      <c r="X802" t="s">
        <v>344</v>
      </c>
      <c r="Y802" t="s">
        <v>345</v>
      </c>
      <c r="Z802">
        <v>12</v>
      </c>
      <c r="AA802" t="s">
        <v>65</v>
      </c>
      <c r="AB802" t="s">
        <v>56</v>
      </c>
      <c r="AC802" t="s">
        <v>56</v>
      </c>
      <c r="AD802">
        <v>0</v>
      </c>
      <c r="AE802" t="s">
        <v>66</v>
      </c>
      <c r="AF802" t="s">
        <v>56</v>
      </c>
      <c r="AG802" t="s">
        <v>56</v>
      </c>
      <c r="AH802" t="s">
        <v>56</v>
      </c>
      <c r="AI802" t="s">
        <v>56</v>
      </c>
      <c r="AJ802" t="s">
        <v>215</v>
      </c>
      <c r="AK802" t="s">
        <v>216</v>
      </c>
      <c r="AL802" t="s">
        <v>56</v>
      </c>
      <c r="AM802" t="s">
        <v>56</v>
      </c>
      <c r="AN802" t="s">
        <v>56</v>
      </c>
      <c r="AO802" t="s">
        <v>56</v>
      </c>
      <c r="AP802" t="s">
        <v>56</v>
      </c>
      <c r="AQ802" t="s">
        <v>71</v>
      </c>
      <c r="AR802" t="s">
        <v>56</v>
      </c>
      <c r="AS802" t="s">
        <v>56</v>
      </c>
      <c r="AT802" t="s">
        <v>56</v>
      </c>
      <c r="AU802" t="s">
        <v>56</v>
      </c>
      <c r="AV802" t="s">
        <v>56</v>
      </c>
      <c r="AW802" t="s">
        <v>56</v>
      </c>
      <c r="AX802">
        <v>4</v>
      </c>
    </row>
    <row r="803" spans="1:50" x14ac:dyDescent="0.25">
      <c r="A803" t="str">
        <f>"20200127197017051339"</f>
        <v>20200127197017051339</v>
      </c>
      <c r="B803" t="s">
        <v>190</v>
      </c>
      <c r="C803" t="s">
        <v>190</v>
      </c>
      <c r="D803" t="s">
        <v>3528</v>
      </c>
      <c r="E803" t="str">
        <f>"200010205401"</f>
        <v>200010205401</v>
      </c>
      <c r="F803" t="s">
        <v>52</v>
      </c>
      <c r="G803">
        <v>901058547</v>
      </c>
      <c r="H803">
        <v>20001</v>
      </c>
      <c r="I803" t="s">
        <v>512</v>
      </c>
      <c r="J803" t="s">
        <v>513</v>
      </c>
      <c r="K803" t="s">
        <v>54</v>
      </c>
      <c r="L803">
        <v>18937856</v>
      </c>
      <c r="M803" t="s">
        <v>81</v>
      </c>
      <c r="N803" t="s">
        <v>164</v>
      </c>
      <c r="O803" t="s">
        <v>816</v>
      </c>
      <c r="P803" t="s">
        <v>425</v>
      </c>
      <c r="Q803" t="s">
        <v>817</v>
      </c>
      <c r="R803" t="s">
        <v>54</v>
      </c>
      <c r="S803">
        <v>1065618415</v>
      </c>
      <c r="T803" t="s">
        <v>373</v>
      </c>
      <c r="U803" t="s">
        <v>600</v>
      </c>
      <c r="V803" t="s">
        <v>1962</v>
      </c>
      <c r="W803" t="s">
        <v>3529</v>
      </c>
      <c r="X803" t="s">
        <v>462</v>
      </c>
      <c r="Y803" t="s">
        <v>86</v>
      </c>
      <c r="Z803">
        <v>12</v>
      </c>
      <c r="AA803" t="s">
        <v>65</v>
      </c>
      <c r="AB803" t="s">
        <v>56</v>
      </c>
      <c r="AC803" t="s">
        <v>56</v>
      </c>
      <c r="AD803">
        <v>0</v>
      </c>
      <c r="AE803" t="s">
        <v>66</v>
      </c>
      <c r="AF803" t="s">
        <v>56</v>
      </c>
      <c r="AG803" t="s">
        <v>56</v>
      </c>
      <c r="AH803" t="s">
        <v>56</v>
      </c>
      <c r="AI803" t="s">
        <v>56</v>
      </c>
      <c r="AJ803" t="s">
        <v>3530</v>
      </c>
      <c r="AK803" t="s">
        <v>3531</v>
      </c>
      <c r="AL803" t="s">
        <v>3532</v>
      </c>
      <c r="AM803" t="s">
        <v>3533</v>
      </c>
      <c r="AN803" t="s">
        <v>56</v>
      </c>
      <c r="AO803" t="s">
        <v>56</v>
      </c>
      <c r="AP803" t="s">
        <v>56</v>
      </c>
      <c r="AQ803" t="s">
        <v>71</v>
      </c>
      <c r="AR803" t="s">
        <v>56</v>
      </c>
      <c r="AS803" t="s">
        <v>56</v>
      </c>
      <c r="AT803" t="s">
        <v>56</v>
      </c>
      <c r="AU803" t="s">
        <v>56</v>
      </c>
      <c r="AV803" t="s">
        <v>56</v>
      </c>
      <c r="AW803" t="s">
        <v>56</v>
      </c>
      <c r="AX803">
        <v>4</v>
      </c>
    </row>
    <row r="804" spans="1:50" x14ac:dyDescent="0.25">
      <c r="A804" t="str">
        <f>"20200131188017167362"</f>
        <v>20200131188017167362</v>
      </c>
      <c r="B804" t="s">
        <v>110</v>
      </c>
      <c r="C804" t="s">
        <v>110</v>
      </c>
      <c r="D804" t="s">
        <v>3534</v>
      </c>
      <c r="E804" t="str">
        <f>"270010115401"</f>
        <v>270010115401</v>
      </c>
      <c r="F804" t="s">
        <v>52</v>
      </c>
      <c r="G804">
        <v>901053124</v>
      </c>
      <c r="H804">
        <v>27001</v>
      </c>
      <c r="I804" t="s">
        <v>3535</v>
      </c>
      <c r="J804">
        <v>3218344268</v>
      </c>
      <c r="K804" t="s">
        <v>54</v>
      </c>
      <c r="L804">
        <v>63499161</v>
      </c>
      <c r="M804" t="s">
        <v>59</v>
      </c>
      <c r="N804" t="s">
        <v>1336</v>
      </c>
      <c r="O804" t="s">
        <v>3536</v>
      </c>
      <c r="P804" t="s">
        <v>3537</v>
      </c>
      <c r="Q804" t="s">
        <v>3538</v>
      </c>
      <c r="R804" t="s">
        <v>54</v>
      </c>
      <c r="S804">
        <v>35555219</v>
      </c>
      <c r="T804" t="s">
        <v>3539</v>
      </c>
      <c r="U804" t="s">
        <v>196</v>
      </c>
      <c r="V804" t="s">
        <v>263</v>
      </c>
      <c r="W804" t="s">
        <v>1410</v>
      </c>
      <c r="X804" t="s">
        <v>860</v>
      </c>
      <c r="Y804" t="s">
        <v>717</v>
      </c>
      <c r="Z804">
        <v>11</v>
      </c>
      <c r="AA804" t="s">
        <v>87</v>
      </c>
      <c r="AB804" t="s">
        <v>56</v>
      </c>
      <c r="AC804" t="s">
        <v>56</v>
      </c>
      <c r="AD804">
        <v>0</v>
      </c>
      <c r="AE804" t="s">
        <v>66</v>
      </c>
      <c r="AF804" t="s">
        <v>56</v>
      </c>
      <c r="AG804" t="s">
        <v>56</v>
      </c>
      <c r="AH804" t="s">
        <v>56</v>
      </c>
      <c r="AI804" t="s">
        <v>56</v>
      </c>
      <c r="AJ804" t="s">
        <v>3540</v>
      </c>
      <c r="AK804" t="s">
        <v>3541</v>
      </c>
      <c r="AL804" t="s">
        <v>56</v>
      </c>
      <c r="AM804" t="s">
        <v>56</v>
      </c>
      <c r="AN804" t="s">
        <v>56</v>
      </c>
      <c r="AO804" t="s">
        <v>56</v>
      </c>
      <c r="AP804" t="s">
        <v>56</v>
      </c>
      <c r="AQ804" t="s">
        <v>71</v>
      </c>
      <c r="AR804" t="s">
        <v>56</v>
      </c>
      <c r="AS804" t="s">
        <v>56</v>
      </c>
      <c r="AT804" t="s">
        <v>56</v>
      </c>
      <c r="AU804" t="s">
        <v>56</v>
      </c>
      <c r="AV804" t="s">
        <v>56</v>
      </c>
      <c r="AW804" t="s">
        <v>56</v>
      </c>
      <c r="AX804">
        <v>4</v>
      </c>
    </row>
    <row r="805" spans="1:50" x14ac:dyDescent="0.25">
      <c r="A805" t="str">
        <f>"20200128158017088307"</f>
        <v>20200128158017088307</v>
      </c>
      <c r="B805" t="s">
        <v>151</v>
      </c>
      <c r="C805" t="s">
        <v>151</v>
      </c>
      <c r="D805" t="s">
        <v>3542</v>
      </c>
      <c r="E805" t="str">
        <f>"080010356001"</f>
        <v>080010356001</v>
      </c>
      <c r="F805" t="s">
        <v>52</v>
      </c>
      <c r="G805">
        <v>900479894</v>
      </c>
      <c r="H805" t="s">
        <v>112</v>
      </c>
      <c r="I805" t="s">
        <v>3543</v>
      </c>
      <c r="J805" t="s">
        <v>3544</v>
      </c>
      <c r="K805" t="s">
        <v>54</v>
      </c>
      <c r="L805">
        <v>22519784</v>
      </c>
      <c r="M805" t="s">
        <v>3545</v>
      </c>
      <c r="N805" t="s">
        <v>117</v>
      </c>
      <c r="O805" t="s">
        <v>3526</v>
      </c>
      <c r="P805" t="s">
        <v>1478</v>
      </c>
      <c r="Q805">
        <v>2089503</v>
      </c>
      <c r="R805" t="s">
        <v>54</v>
      </c>
      <c r="S805">
        <v>22503560</v>
      </c>
      <c r="T805" t="s">
        <v>3546</v>
      </c>
      <c r="U805" t="s">
        <v>3547</v>
      </c>
      <c r="V805" t="s">
        <v>1306</v>
      </c>
      <c r="W805" t="s">
        <v>1428</v>
      </c>
      <c r="X805" t="s">
        <v>462</v>
      </c>
      <c r="Y805" t="s">
        <v>86</v>
      </c>
      <c r="Z805">
        <v>12</v>
      </c>
      <c r="AA805" t="s">
        <v>65</v>
      </c>
      <c r="AB805" t="s">
        <v>56</v>
      </c>
      <c r="AC805" t="s">
        <v>56</v>
      </c>
      <c r="AD805">
        <v>0</v>
      </c>
      <c r="AE805" t="s">
        <v>66</v>
      </c>
      <c r="AF805" t="s">
        <v>56</v>
      </c>
      <c r="AG805" t="s">
        <v>56</v>
      </c>
      <c r="AH805" t="s">
        <v>56</v>
      </c>
      <c r="AI805" t="s">
        <v>56</v>
      </c>
      <c r="AJ805" t="s">
        <v>2472</v>
      </c>
      <c r="AK805" t="s">
        <v>2473</v>
      </c>
      <c r="AL805" t="s">
        <v>56</v>
      </c>
      <c r="AM805" t="s">
        <v>56</v>
      </c>
      <c r="AN805" t="s">
        <v>56</v>
      </c>
      <c r="AO805" t="s">
        <v>56</v>
      </c>
      <c r="AP805" t="s">
        <v>56</v>
      </c>
      <c r="AQ805" t="s">
        <v>71</v>
      </c>
      <c r="AR805" t="s">
        <v>56</v>
      </c>
      <c r="AS805" t="s">
        <v>56</v>
      </c>
      <c r="AT805" t="s">
        <v>56</v>
      </c>
      <c r="AU805" t="s">
        <v>56</v>
      </c>
      <c r="AV805" t="s">
        <v>56</v>
      </c>
      <c r="AW805" t="s">
        <v>56</v>
      </c>
      <c r="AX805">
        <v>4</v>
      </c>
    </row>
    <row r="806" spans="1:50" x14ac:dyDescent="0.25">
      <c r="A806" t="str">
        <f>"20200202198017191921"</f>
        <v>20200202198017191921</v>
      </c>
      <c r="B806" t="s">
        <v>90</v>
      </c>
      <c r="C806" t="s">
        <v>90</v>
      </c>
      <c r="D806" t="s">
        <v>3548</v>
      </c>
      <c r="E806" t="str">
        <f>"080010134801"</f>
        <v>080010134801</v>
      </c>
      <c r="F806" t="s">
        <v>52</v>
      </c>
      <c r="G806">
        <v>800131518</v>
      </c>
      <c r="H806" t="s">
        <v>112</v>
      </c>
      <c r="I806" t="s">
        <v>2572</v>
      </c>
      <c r="J806">
        <v>3145885430</v>
      </c>
      <c r="K806" t="s">
        <v>54</v>
      </c>
      <c r="L806">
        <v>32876806</v>
      </c>
      <c r="M806" t="s">
        <v>3549</v>
      </c>
      <c r="N806" t="s">
        <v>1032</v>
      </c>
      <c r="O806" t="s">
        <v>1848</v>
      </c>
      <c r="P806" t="s">
        <v>3550</v>
      </c>
      <c r="Q806" t="s">
        <v>3551</v>
      </c>
      <c r="R806" t="s">
        <v>54</v>
      </c>
      <c r="S806">
        <v>85167478</v>
      </c>
      <c r="T806" t="s">
        <v>3552</v>
      </c>
      <c r="U806" t="s">
        <v>62</v>
      </c>
      <c r="V806" t="s">
        <v>923</v>
      </c>
      <c r="W806" t="s">
        <v>1366</v>
      </c>
      <c r="X806" t="s">
        <v>924</v>
      </c>
      <c r="Y806" t="s">
        <v>345</v>
      </c>
      <c r="Z806">
        <v>12</v>
      </c>
      <c r="AA806" t="s">
        <v>65</v>
      </c>
      <c r="AB806" t="s">
        <v>56</v>
      </c>
      <c r="AC806" t="s">
        <v>56</v>
      </c>
      <c r="AD806">
        <v>0</v>
      </c>
      <c r="AE806" t="s">
        <v>66</v>
      </c>
      <c r="AF806" t="s">
        <v>56</v>
      </c>
      <c r="AG806" t="s">
        <v>56</v>
      </c>
      <c r="AH806" t="s">
        <v>56</v>
      </c>
      <c r="AI806" t="s">
        <v>56</v>
      </c>
      <c r="AJ806" t="s">
        <v>255</v>
      </c>
      <c r="AK806" t="s">
        <v>256</v>
      </c>
      <c r="AL806" t="s">
        <v>356</v>
      </c>
      <c r="AM806" t="s">
        <v>357</v>
      </c>
      <c r="AN806" t="s">
        <v>1229</v>
      </c>
      <c r="AO806" t="s">
        <v>1230</v>
      </c>
      <c r="AP806" t="s">
        <v>56</v>
      </c>
      <c r="AQ806" t="s">
        <v>71</v>
      </c>
      <c r="AR806" t="s">
        <v>56</v>
      </c>
      <c r="AS806" t="s">
        <v>56</v>
      </c>
      <c r="AT806" t="s">
        <v>56</v>
      </c>
      <c r="AU806" t="s">
        <v>56</v>
      </c>
      <c r="AV806" t="s">
        <v>56</v>
      </c>
      <c r="AW806" t="s">
        <v>56</v>
      </c>
      <c r="AX806">
        <v>4</v>
      </c>
    </row>
    <row r="807" spans="1:50" x14ac:dyDescent="0.25">
      <c r="A807" t="str">
        <f>"20200129117017118289"</f>
        <v>20200129117017118289</v>
      </c>
      <c r="B807" t="s">
        <v>72</v>
      </c>
      <c r="C807" t="s">
        <v>72</v>
      </c>
      <c r="D807" t="s">
        <v>3553</v>
      </c>
      <c r="E807" t="str">
        <f>"200010083101"</f>
        <v>200010083101</v>
      </c>
      <c r="F807" t="s">
        <v>52</v>
      </c>
      <c r="G807">
        <v>900066797</v>
      </c>
      <c r="H807">
        <v>20001</v>
      </c>
      <c r="I807" t="s">
        <v>457</v>
      </c>
      <c r="J807" t="s">
        <v>458</v>
      </c>
      <c r="K807" t="s">
        <v>54</v>
      </c>
      <c r="L807">
        <v>49760462</v>
      </c>
      <c r="M807" t="s">
        <v>459</v>
      </c>
      <c r="N807" t="s">
        <v>117</v>
      </c>
      <c r="O807" t="s">
        <v>460</v>
      </c>
      <c r="P807" t="s">
        <v>403</v>
      </c>
      <c r="Q807">
        <v>8550</v>
      </c>
      <c r="R807" t="s">
        <v>54</v>
      </c>
      <c r="S807">
        <v>49767034</v>
      </c>
      <c r="T807" t="s">
        <v>1993</v>
      </c>
      <c r="U807" t="s">
        <v>62</v>
      </c>
      <c r="V807" t="s">
        <v>169</v>
      </c>
      <c r="W807" t="s">
        <v>283</v>
      </c>
      <c r="X807" t="s">
        <v>660</v>
      </c>
      <c r="Y807" t="s">
        <v>86</v>
      </c>
      <c r="Z807">
        <v>12</v>
      </c>
      <c r="AA807" t="s">
        <v>65</v>
      </c>
      <c r="AB807" t="s">
        <v>56</v>
      </c>
      <c r="AC807" t="s">
        <v>56</v>
      </c>
      <c r="AD807">
        <v>0</v>
      </c>
      <c r="AE807" t="s">
        <v>66</v>
      </c>
      <c r="AF807" t="s">
        <v>56</v>
      </c>
      <c r="AG807" t="s">
        <v>56</v>
      </c>
      <c r="AH807" t="s">
        <v>56</v>
      </c>
      <c r="AI807" t="s">
        <v>56</v>
      </c>
      <c r="AJ807" t="s">
        <v>463</v>
      </c>
      <c r="AK807" t="s">
        <v>464</v>
      </c>
      <c r="AL807" t="s">
        <v>56</v>
      </c>
      <c r="AM807" t="s">
        <v>56</v>
      </c>
      <c r="AN807" t="s">
        <v>56</v>
      </c>
      <c r="AO807" t="s">
        <v>56</v>
      </c>
      <c r="AP807" t="s">
        <v>56</v>
      </c>
      <c r="AQ807" t="s">
        <v>71</v>
      </c>
      <c r="AR807" t="s">
        <v>56</v>
      </c>
      <c r="AS807" t="s">
        <v>56</v>
      </c>
      <c r="AT807" t="s">
        <v>56</v>
      </c>
      <c r="AU807" t="s">
        <v>56</v>
      </c>
      <c r="AV807" t="s">
        <v>56</v>
      </c>
      <c r="AW807" t="s">
        <v>56</v>
      </c>
      <c r="AX807">
        <v>4</v>
      </c>
    </row>
    <row r="808" spans="1:50" x14ac:dyDescent="0.25">
      <c r="A808" t="str">
        <f>"20200126181017038014"</f>
        <v>20200126181017038014</v>
      </c>
      <c r="B808" t="s">
        <v>244</v>
      </c>
      <c r="C808" t="s">
        <v>244</v>
      </c>
      <c r="D808" t="s">
        <v>3554</v>
      </c>
      <c r="E808" t="str">
        <f>"700010177001"</f>
        <v>700010177001</v>
      </c>
      <c r="F808" t="s">
        <v>52</v>
      </c>
      <c r="G808">
        <v>901082722</v>
      </c>
      <c r="H808">
        <v>70001</v>
      </c>
      <c r="I808" t="s">
        <v>1290</v>
      </c>
      <c r="J808" t="s">
        <v>1291</v>
      </c>
      <c r="K808" t="s">
        <v>54</v>
      </c>
      <c r="L808">
        <v>79500988</v>
      </c>
      <c r="M808" t="s">
        <v>234</v>
      </c>
      <c r="N808" t="s">
        <v>76</v>
      </c>
      <c r="O808" t="s">
        <v>376</v>
      </c>
      <c r="P808" t="s">
        <v>1292</v>
      </c>
      <c r="Q808">
        <v>7014799</v>
      </c>
      <c r="R808" t="s">
        <v>54</v>
      </c>
      <c r="S808">
        <v>64698632</v>
      </c>
      <c r="T808" t="s">
        <v>1993</v>
      </c>
      <c r="U808" t="s">
        <v>196</v>
      </c>
      <c r="V808" t="s">
        <v>2301</v>
      </c>
      <c r="W808" t="s">
        <v>263</v>
      </c>
      <c r="X808" t="s">
        <v>605</v>
      </c>
      <c r="Y808" t="s">
        <v>330</v>
      </c>
      <c r="Z808">
        <v>12</v>
      </c>
      <c r="AA808" t="s">
        <v>65</v>
      </c>
      <c r="AB808" t="s">
        <v>56</v>
      </c>
      <c r="AC808" t="s">
        <v>56</v>
      </c>
      <c r="AD808">
        <v>0</v>
      </c>
      <c r="AE808" t="s">
        <v>66</v>
      </c>
      <c r="AF808" t="s">
        <v>56</v>
      </c>
      <c r="AG808" t="s">
        <v>56</v>
      </c>
      <c r="AH808" t="s">
        <v>56</v>
      </c>
      <c r="AI808" t="s">
        <v>56</v>
      </c>
      <c r="AJ808" t="s">
        <v>414</v>
      </c>
      <c r="AK808" t="s">
        <v>415</v>
      </c>
      <c r="AL808" t="s">
        <v>56</v>
      </c>
      <c r="AM808" t="s">
        <v>56</v>
      </c>
      <c r="AN808" t="s">
        <v>56</v>
      </c>
      <c r="AO808" t="s">
        <v>56</v>
      </c>
      <c r="AP808" t="s">
        <v>56</v>
      </c>
      <c r="AQ808" t="s">
        <v>71</v>
      </c>
      <c r="AR808" t="s">
        <v>56</v>
      </c>
      <c r="AS808" t="s">
        <v>56</v>
      </c>
      <c r="AT808" t="s">
        <v>56</v>
      </c>
      <c r="AU808" t="s">
        <v>56</v>
      </c>
      <c r="AV808" t="s">
        <v>56</v>
      </c>
      <c r="AW808" t="s">
        <v>56</v>
      </c>
      <c r="AX808">
        <v>4</v>
      </c>
    </row>
    <row r="809" spans="1:50" x14ac:dyDescent="0.25">
      <c r="A809" t="str">
        <f>"20200128195017081269"</f>
        <v>20200128195017081269</v>
      </c>
      <c r="B809" t="s">
        <v>151</v>
      </c>
      <c r="C809" t="s">
        <v>151</v>
      </c>
      <c r="D809" t="s">
        <v>3555</v>
      </c>
      <c r="E809" t="str">
        <f>"200010162601"</f>
        <v>200010162601</v>
      </c>
      <c r="F809" t="s">
        <v>52</v>
      </c>
      <c r="G809">
        <v>900552539</v>
      </c>
      <c r="H809">
        <v>20001</v>
      </c>
      <c r="I809" t="s">
        <v>140</v>
      </c>
      <c r="J809">
        <v>3003009498</v>
      </c>
      <c r="K809" t="s">
        <v>54</v>
      </c>
      <c r="L809">
        <v>1129572448</v>
      </c>
      <c r="M809" t="s">
        <v>141</v>
      </c>
      <c r="N809" t="s">
        <v>142</v>
      </c>
      <c r="O809" t="s">
        <v>143</v>
      </c>
      <c r="P809" t="s">
        <v>144</v>
      </c>
      <c r="Q809">
        <v>86169</v>
      </c>
      <c r="R809" t="s">
        <v>237</v>
      </c>
      <c r="S809">
        <v>1002316840</v>
      </c>
      <c r="T809" t="s">
        <v>3556</v>
      </c>
      <c r="U809" t="s">
        <v>898</v>
      </c>
      <c r="V809" t="s">
        <v>3557</v>
      </c>
      <c r="W809" t="s">
        <v>2882</v>
      </c>
      <c r="X809" t="s">
        <v>462</v>
      </c>
      <c r="Y809" t="s">
        <v>86</v>
      </c>
      <c r="Z809">
        <v>22</v>
      </c>
      <c r="AA809" t="s">
        <v>102</v>
      </c>
      <c r="AB809">
        <v>0</v>
      </c>
      <c r="AC809" t="s">
        <v>66</v>
      </c>
      <c r="AD809">
        <v>0</v>
      </c>
      <c r="AE809" t="s">
        <v>66</v>
      </c>
      <c r="AF809" t="s">
        <v>56</v>
      </c>
      <c r="AG809" t="s">
        <v>56</v>
      </c>
      <c r="AH809" t="s">
        <v>56</v>
      </c>
      <c r="AI809" t="s">
        <v>56</v>
      </c>
      <c r="AJ809" t="s">
        <v>2239</v>
      </c>
      <c r="AK809" t="s">
        <v>2240</v>
      </c>
      <c r="AL809" t="s">
        <v>56</v>
      </c>
      <c r="AM809" t="s">
        <v>56</v>
      </c>
      <c r="AN809" t="s">
        <v>56</v>
      </c>
      <c r="AO809" t="s">
        <v>56</v>
      </c>
      <c r="AP809" t="s">
        <v>56</v>
      </c>
      <c r="AQ809" t="s">
        <v>71</v>
      </c>
      <c r="AR809" t="s">
        <v>56</v>
      </c>
      <c r="AS809" t="s">
        <v>56</v>
      </c>
      <c r="AT809" t="s">
        <v>56</v>
      </c>
      <c r="AU809" t="s">
        <v>56</v>
      </c>
      <c r="AV809" t="s">
        <v>56</v>
      </c>
      <c r="AW809" t="s">
        <v>56</v>
      </c>
      <c r="AX809">
        <v>4</v>
      </c>
    </row>
    <row r="810" spans="1:50" x14ac:dyDescent="0.25">
      <c r="A810" t="str">
        <f>"20200130154017152517"</f>
        <v>20200130154017152517</v>
      </c>
      <c r="B810" t="s">
        <v>124</v>
      </c>
      <c r="C810" t="s">
        <v>124</v>
      </c>
      <c r="D810" t="s">
        <v>3558</v>
      </c>
      <c r="E810" t="str">
        <f>"086380050301"</f>
        <v>086380050301</v>
      </c>
      <c r="F810" t="s">
        <v>52</v>
      </c>
      <c r="G810">
        <v>900008600</v>
      </c>
      <c r="H810" t="s">
        <v>246</v>
      </c>
      <c r="I810" t="s">
        <v>732</v>
      </c>
      <c r="J810" t="s">
        <v>733</v>
      </c>
      <c r="K810" t="s">
        <v>54</v>
      </c>
      <c r="L810">
        <v>73007097</v>
      </c>
      <c r="M810" t="s">
        <v>86</v>
      </c>
      <c r="N810" t="s">
        <v>1190</v>
      </c>
      <c r="O810" t="s">
        <v>315</v>
      </c>
      <c r="P810" t="s">
        <v>315</v>
      </c>
      <c r="Q810">
        <v>5679</v>
      </c>
      <c r="R810" t="s">
        <v>54</v>
      </c>
      <c r="S810">
        <v>3762323</v>
      </c>
      <c r="T810" t="s">
        <v>3559</v>
      </c>
      <c r="U810" t="s">
        <v>62</v>
      </c>
      <c r="V810" t="s">
        <v>3560</v>
      </c>
      <c r="W810" t="s">
        <v>3561</v>
      </c>
      <c r="X810" t="s">
        <v>1774</v>
      </c>
      <c r="Y810" t="s">
        <v>121</v>
      </c>
      <c r="Z810">
        <v>12</v>
      </c>
      <c r="AA810" t="s">
        <v>65</v>
      </c>
      <c r="AB810" t="s">
        <v>56</v>
      </c>
      <c r="AC810" t="s">
        <v>56</v>
      </c>
      <c r="AD810">
        <v>0</v>
      </c>
      <c r="AE810" t="s">
        <v>66</v>
      </c>
      <c r="AF810" t="s">
        <v>56</v>
      </c>
      <c r="AG810" t="s">
        <v>56</v>
      </c>
      <c r="AH810" t="s">
        <v>56</v>
      </c>
      <c r="AI810" t="s">
        <v>56</v>
      </c>
      <c r="AJ810" t="s">
        <v>736</v>
      </c>
      <c r="AK810" t="s">
        <v>737</v>
      </c>
      <c r="AL810" t="s">
        <v>56</v>
      </c>
      <c r="AM810" t="s">
        <v>56</v>
      </c>
      <c r="AN810" t="s">
        <v>56</v>
      </c>
      <c r="AO810" t="s">
        <v>56</v>
      </c>
      <c r="AP810" t="s">
        <v>56</v>
      </c>
      <c r="AQ810" t="s">
        <v>71</v>
      </c>
      <c r="AR810" t="s">
        <v>56</v>
      </c>
      <c r="AS810" t="s">
        <v>56</v>
      </c>
      <c r="AT810" t="s">
        <v>56</v>
      </c>
      <c r="AU810" t="s">
        <v>56</v>
      </c>
      <c r="AV810" t="s">
        <v>56</v>
      </c>
      <c r="AW810" t="s">
        <v>56</v>
      </c>
      <c r="AX810">
        <v>4</v>
      </c>
    </row>
    <row r="811" spans="1:50" x14ac:dyDescent="0.25">
      <c r="A811" t="str">
        <f>"20200126188017037507"</f>
        <v>20200126188017037507</v>
      </c>
      <c r="B811" t="s">
        <v>244</v>
      </c>
      <c r="C811" t="s">
        <v>244</v>
      </c>
      <c r="D811" t="s">
        <v>3562</v>
      </c>
      <c r="E811" t="str">
        <f>"080010349401"</f>
        <v>080010349401</v>
      </c>
      <c r="F811" t="s">
        <v>52</v>
      </c>
      <c r="G811">
        <v>900458308</v>
      </c>
      <c r="H811" t="s">
        <v>112</v>
      </c>
      <c r="I811" t="s">
        <v>370</v>
      </c>
      <c r="J811" t="s">
        <v>371</v>
      </c>
      <c r="K811" t="s">
        <v>54</v>
      </c>
      <c r="L811">
        <v>1143378811</v>
      </c>
      <c r="M811" t="s">
        <v>372</v>
      </c>
      <c r="N811" t="s">
        <v>373</v>
      </c>
      <c r="O811" t="s">
        <v>109</v>
      </c>
      <c r="P811" t="s">
        <v>374</v>
      </c>
      <c r="Q811">
        <v>1143378811</v>
      </c>
      <c r="R811" t="s">
        <v>54</v>
      </c>
      <c r="S811">
        <v>836613</v>
      </c>
      <c r="T811" t="s">
        <v>81</v>
      </c>
      <c r="U811" t="s">
        <v>94</v>
      </c>
      <c r="V811" t="s">
        <v>1428</v>
      </c>
      <c r="W811" t="s">
        <v>3563</v>
      </c>
      <c r="X811" t="s">
        <v>120</v>
      </c>
      <c r="Y811" t="s">
        <v>121</v>
      </c>
      <c r="Z811">
        <v>12</v>
      </c>
      <c r="AA811" t="s">
        <v>65</v>
      </c>
      <c r="AB811" t="s">
        <v>56</v>
      </c>
      <c r="AC811" t="s">
        <v>56</v>
      </c>
      <c r="AD811">
        <v>0</v>
      </c>
      <c r="AE811" t="s">
        <v>66</v>
      </c>
      <c r="AF811" t="s">
        <v>56</v>
      </c>
      <c r="AG811" t="s">
        <v>56</v>
      </c>
      <c r="AH811" t="s">
        <v>56</v>
      </c>
      <c r="AI811" t="s">
        <v>56</v>
      </c>
      <c r="AJ811" t="s">
        <v>356</v>
      </c>
      <c r="AK811" t="s">
        <v>357</v>
      </c>
      <c r="AL811" t="s">
        <v>255</v>
      </c>
      <c r="AM811" t="s">
        <v>256</v>
      </c>
      <c r="AN811" t="s">
        <v>56</v>
      </c>
      <c r="AO811" t="s">
        <v>56</v>
      </c>
      <c r="AP811" t="s">
        <v>56</v>
      </c>
      <c r="AQ811" t="s">
        <v>71</v>
      </c>
      <c r="AR811" t="s">
        <v>56</v>
      </c>
      <c r="AS811" t="s">
        <v>56</v>
      </c>
      <c r="AT811" t="s">
        <v>56</v>
      </c>
      <c r="AU811" t="s">
        <v>56</v>
      </c>
      <c r="AV811" t="s">
        <v>56</v>
      </c>
      <c r="AW811" t="s">
        <v>56</v>
      </c>
      <c r="AX811">
        <v>4</v>
      </c>
    </row>
    <row r="812" spans="1:50" x14ac:dyDescent="0.25">
      <c r="A812" t="str">
        <f>"20200130196017155805"</f>
        <v>20200130196017155805</v>
      </c>
      <c r="B812" t="s">
        <v>124</v>
      </c>
      <c r="C812" t="s">
        <v>124</v>
      </c>
      <c r="D812" t="s">
        <v>3564</v>
      </c>
      <c r="E812" t="str">
        <f>"200010033001"</f>
        <v>200010033001</v>
      </c>
      <c r="F812" t="s">
        <v>52</v>
      </c>
      <c r="G812">
        <v>892300979</v>
      </c>
      <c r="H812">
        <v>20001</v>
      </c>
      <c r="I812" t="s">
        <v>3565</v>
      </c>
      <c r="J812" t="s">
        <v>3566</v>
      </c>
      <c r="K812" t="s">
        <v>54</v>
      </c>
      <c r="L812">
        <v>12491079</v>
      </c>
      <c r="M812" t="s">
        <v>916</v>
      </c>
      <c r="N812" t="s">
        <v>917</v>
      </c>
      <c r="O812" t="s">
        <v>146</v>
      </c>
      <c r="P812" t="s">
        <v>405</v>
      </c>
      <c r="Q812">
        <v>12491979</v>
      </c>
      <c r="R812" t="s">
        <v>54</v>
      </c>
      <c r="S812">
        <v>12565257</v>
      </c>
      <c r="T812" t="s">
        <v>423</v>
      </c>
      <c r="U812" t="s">
        <v>62</v>
      </c>
      <c r="V812" t="s">
        <v>659</v>
      </c>
      <c r="W812" t="s">
        <v>3229</v>
      </c>
      <c r="X812" t="s">
        <v>660</v>
      </c>
      <c r="Y812" t="s">
        <v>86</v>
      </c>
      <c r="Z812">
        <v>22</v>
      </c>
      <c r="AA812" t="s">
        <v>102</v>
      </c>
      <c r="AB812">
        <v>0</v>
      </c>
      <c r="AC812" t="s">
        <v>66</v>
      </c>
      <c r="AD812">
        <v>0</v>
      </c>
      <c r="AE812" t="s">
        <v>66</v>
      </c>
      <c r="AF812" t="s">
        <v>56</v>
      </c>
      <c r="AG812" t="s">
        <v>56</v>
      </c>
      <c r="AH812" t="s">
        <v>56</v>
      </c>
      <c r="AI812" t="s">
        <v>56</v>
      </c>
      <c r="AJ812" t="s">
        <v>3567</v>
      </c>
      <c r="AK812" t="s">
        <v>3568</v>
      </c>
      <c r="AL812" t="s">
        <v>56</v>
      </c>
      <c r="AM812" t="s">
        <v>56</v>
      </c>
      <c r="AN812" t="s">
        <v>56</v>
      </c>
      <c r="AO812" t="s">
        <v>56</v>
      </c>
      <c r="AP812" t="s">
        <v>56</v>
      </c>
      <c r="AQ812" t="s">
        <v>71</v>
      </c>
      <c r="AR812" t="s">
        <v>56</v>
      </c>
      <c r="AS812" t="s">
        <v>56</v>
      </c>
      <c r="AT812" t="s">
        <v>56</v>
      </c>
      <c r="AU812" t="s">
        <v>56</v>
      </c>
      <c r="AV812" t="s">
        <v>56</v>
      </c>
      <c r="AW812" t="s">
        <v>56</v>
      </c>
      <c r="AX812">
        <v>4</v>
      </c>
    </row>
    <row r="813" spans="1:50" x14ac:dyDescent="0.25">
      <c r="A813" t="str">
        <f>"20200129173017113712"</f>
        <v>20200129173017113712</v>
      </c>
      <c r="B813" t="s">
        <v>72</v>
      </c>
      <c r="C813" t="s">
        <v>72</v>
      </c>
      <c r="D813" t="s">
        <v>3569</v>
      </c>
      <c r="E813" t="str">
        <f>"134300077501"</f>
        <v>134300077501</v>
      </c>
      <c r="F813" t="s">
        <v>52</v>
      </c>
      <c r="G813">
        <v>823002800</v>
      </c>
      <c r="H813">
        <v>13430</v>
      </c>
      <c r="I813" t="s">
        <v>539</v>
      </c>
      <c r="J813">
        <v>3107315890</v>
      </c>
      <c r="K813" t="s">
        <v>54</v>
      </c>
      <c r="L813">
        <v>55231988</v>
      </c>
      <c r="M813" t="s">
        <v>886</v>
      </c>
      <c r="N813" t="s">
        <v>56</v>
      </c>
      <c r="O813" t="s">
        <v>193</v>
      </c>
      <c r="P813" t="s">
        <v>805</v>
      </c>
      <c r="Q813">
        <v>161322009</v>
      </c>
      <c r="R813" t="s">
        <v>54</v>
      </c>
      <c r="S813">
        <v>18800020</v>
      </c>
      <c r="T813" t="s">
        <v>3570</v>
      </c>
      <c r="U813" t="s">
        <v>2078</v>
      </c>
      <c r="V813" t="s">
        <v>376</v>
      </c>
      <c r="W813" t="s">
        <v>169</v>
      </c>
      <c r="X813" t="s">
        <v>330</v>
      </c>
      <c r="Y813" t="s">
        <v>330</v>
      </c>
      <c r="Z813">
        <v>12</v>
      </c>
      <c r="AA813" t="s">
        <v>65</v>
      </c>
      <c r="AB813" t="s">
        <v>56</v>
      </c>
      <c r="AC813" t="s">
        <v>56</v>
      </c>
      <c r="AD813">
        <v>0</v>
      </c>
      <c r="AE813" t="s">
        <v>66</v>
      </c>
      <c r="AF813" t="s">
        <v>56</v>
      </c>
      <c r="AG813" t="s">
        <v>56</v>
      </c>
      <c r="AH813" t="s">
        <v>56</v>
      </c>
      <c r="AI813" t="s">
        <v>56</v>
      </c>
      <c r="AJ813" t="s">
        <v>3571</v>
      </c>
      <c r="AK813" t="s">
        <v>3572</v>
      </c>
      <c r="AL813" t="s">
        <v>3573</v>
      </c>
      <c r="AM813" t="s">
        <v>3574</v>
      </c>
      <c r="AN813" t="s">
        <v>56</v>
      </c>
      <c r="AO813" t="s">
        <v>56</v>
      </c>
      <c r="AP813" t="s">
        <v>56</v>
      </c>
      <c r="AQ813" t="s">
        <v>71</v>
      </c>
      <c r="AR813" t="s">
        <v>56</v>
      </c>
      <c r="AS813" t="s">
        <v>56</v>
      </c>
      <c r="AT813" t="s">
        <v>56</v>
      </c>
      <c r="AU813" t="s">
        <v>56</v>
      </c>
      <c r="AV813" t="s">
        <v>56</v>
      </c>
      <c r="AW813" t="s">
        <v>56</v>
      </c>
      <c r="AX813">
        <v>4</v>
      </c>
    </row>
    <row r="814" spans="1:50" x14ac:dyDescent="0.25">
      <c r="A814" t="str">
        <f>"20200202131017191999"</f>
        <v>20200202131017191999</v>
      </c>
      <c r="B814" t="s">
        <v>90</v>
      </c>
      <c r="C814" t="s">
        <v>90</v>
      </c>
      <c r="D814" t="s">
        <v>3575</v>
      </c>
      <c r="E814" t="str">
        <f>"130010178101"</f>
        <v>130010178101</v>
      </c>
      <c r="F814" t="s">
        <v>52</v>
      </c>
      <c r="G814">
        <v>900042103</v>
      </c>
      <c r="H814">
        <v>13001</v>
      </c>
      <c r="I814" t="s">
        <v>92</v>
      </c>
      <c r="J814">
        <v>6726017</v>
      </c>
      <c r="K814" t="s">
        <v>54</v>
      </c>
      <c r="L814">
        <v>9102024</v>
      </c>
      <c r="M814" t="s">
        <v>106</v>
      </c>
      <c r="N814" t="s">
        <v>107</v>
      </c>
      <c r="O814" t="s">
        <v>108</v>
      </c>
      <c r="P814" t="s">
        <v>109</v>
      </c>
      <c r="Q814">
        <v>4626</v>
      </c>
      <c r="R814" t="s">
        <v>54</v>
      </c>
      <c r="S814">
        <v>22934469</v>
      </c>
      <c r="T814" t="s">
        <v>962</v>
      </c>
      <c r="U814" t="s">
        <v>424</v>
      </c>
      <c r="V814" t="s">
        <v>1962</v>
      </c>
      <c r="W814" t="s">
        <v>3576</v>
      </c>
      <c r="X814" t="s">
        <v>100</v>
      </c>
      <c r="Y814" t="s">
        <v>101</v>
      </c>
      <c r="Z814">
        <v>11</v>
      </c>
      <c r="AA814" t="s">
        <v>87</v>
      </c>
      <c r="AB814" t="s">
        <v>56</v>
      </c>
      <c r="AC814" t="s">
        <v>56</v>
      </c>
      <c r="AD814">
        <v>0</v>
      </c>
      <c r="AE814" t="s">
        <v>66</v>
      </c>
      <c r="AF814" t="s">
        <v>56</v>
      </c>
      <c r="AG814" t="s">
        <v>56</v>
      </c>
      <c r="AH814" t="s">
        <v>56</v>
      </c>
      <c r="AI814" t="s">
        <v>56</v>
      </c>
      <c r="AJ814" t="s">
        <v>1119</v>
      </c>
      <c r="AK814" t="s">
        <v>1120</v>
      </c>
      <c r="AL814" t="s">
        <v>56</v>
      </c>
      <c r="AM814" t="s">
        <v>56</v>
      </c>
      <c r="AN814" t="s">
        <v>56</v>
      </c>
      <c r="AO814" t="s">
        <v>56</v>
      </c>
      <c r="AP814" t="s">
        <v>56</v>
      </c>
      <c r="AQ814" t="s">
        <v>71</v>
      </c>
      <c r="AR814" t="s">
        <v>56</v>
      </c>
      <c r="AS814" t="s">
        <v>56</v>
      </c>
      <c r="AT814" t="s">
        <v>56</v>
      </c>
      <c r="AU814" t="s">
        <v>56</v>
      </c>
      <c r="AV814" t="s">
        <v>56</v>
      </c>
      <c r="AW814" t="s">
        <v>56</v>
      </c>
      <c r="AX814">
        <v>4</v>
      </c>
    </row>
    <row r="815" spans="1:50" x14ac:dyDescent="0.25">
      <c r="A815" t="str">
        <f>"20200131115017171933"</f>
        <v>20200131115017171933</v>
      </c>
      <c r="B815" t="s">
        <v>110</v>
      </c>
      <c r="C815" t="s">
        <v>110</v>
      </c>
      <c r="D815" t="s">
        <v>3577</v>
      </c>
      <c r="E815" t="str">
        <f>"080010139105"</f>
        <v>080010139105</v>
      </c>
      <c r="F815" t="s">
        <v>52</v>
      </c>
      <c r="G815">
        <v>830007355</v>
      </c>
      <c r="H815" t="s">
        <v>112</v>
      </c>
      <c r="I815" t="s">
        <v>983</v>
      </c>
      <c r="J815">
        <v>3157953448</v>
      </c>
      <c r="K815" t="s">
        <v>54</v>
      </c>
      <c r="L815">
        <v>22465775</v>
      </c>
      <c r="M815" t="s">
        <v>984</v>
      </c>
      <c r="N815" t="s">
        <v>424</v>
      </c>
      <c r="O815" t="s">
        <v>985</v>
      </c>
      <c r="P815" t="s">
        <v>986</v>
      </c>
      <c r="Q815" t="s">
        <v>987</v>
      </c>
      <c r="R815" t="s">
        <v>54</v>
      </c>
      <c r="S815">
        <v>22670073</v>
      </c>
      <c r="T815" t="s">
        <v>117</v>
      </c>
      <c r="U815" t="s">
        <v>62</v>
      </c>
      <c r="V815" t="s">
        <v>355</v>
      </c>
      <c r="W815" t="s">
        <v>3578</v>
      </c>
      <c r="X815" t="s">
        <v>443</v>
      </c>
      <c r="Y815" t="s">
        <v>121</v>
      </c>
      <c r="Z815">
        <v>12</v>
      </c>
      <c r="AA815" t="s">
        <v>65</v>
      </c>
      <c r="AB815" t="s">
        <v>56</v>
      </c>
      <c r="AC815" t="s">
        <v>56</v>
      </c>
      <c r="AD815">
        <v>0</v>
      </c>
      <c r="AE815" t="s">
        <v>66</v>
      </c>
      <c r="AF815" t="s">
        <v>56</v>
      </c>
      <c r="AG815" t="s">
        <v>56</v>
      </c>
      <c r="AH815" t="s">
        <v>56</v>
      </c>
      <c r="AI815" t="s">
        <v>56</v>
      </c>
      <c r="AJ815" t="s">
        <v>828</v>
      </c>
      <c r="AK815" t="s">
        <v>829</v>
      </c>
      <c r="AL815" t="s">
        <v>333</v>
      </c>
      <c r="AM815" t="s">
        <v>334</v>
      </c>
      <c r="AN815" t="s">
        <v>56</v>
      </c>
      <c r="AO815" t="s">
        <v>56</v>
      </c>
      <c r="AP815" t="s">
        <v>56</v>
      </c>
      <c r="AQ815" t="s">
        <v>71</v>
      </c>
      <c r="AR815" t="s">
        <v>56</v>
      </c>
      <c r="AS815" t="s">
        <v>56</v>
      </c>
      <c r="AT815" t="s">
        <v>56</v>
      </c>
      <c r="AU815" t="s">
        <v>56</v>
      </c>
      <c r="AV815" t="s">
        <v>56</v>
      </c>
      <c r="AW815" t="s">
        <v>56</v>
      </c>
      <c r="AX815">
        <v>4</v>
      </c>
    </row>
    <row r="816" spans="1:50" x14ac:dyDescent="0.25">
      <c r="A816" t="str">
        <f>"20200128125017082222"</f>
        <v>20200128125017082222</v>
      </c>
      <c r="B816" t="s">
        <v>151</v>
      </c>
      <c r="C816" t="s">
        <v>151</v>
      </c>
      <c r="D816" t="s">
        <v>3579</v>
      </c>
      <c r="E816" t="str">
        <f>"700010026001"</f>
        <v>700010026001</v>
      </c>
      <c r="F816" t="s">
        <v>52</v>
      </c>
      <c r="G816">
        <v>892201100</v>
      </c>
      <c r="H816">
        <v>70001</v>
      </c>
      <c r="I816" t="s">
        <v>1705</v>
      </c>
      <c r="J816">
        <v>2743300</v>
      </c>
      <c r="K816" t="s">
        <v>54</v>
      </c>
      <c r="L816">
        <v>64719718</v>
      </c>
      <c r="M816" t="s">
        <v>1032</v>
      </c>
      <c r="N816" t="s">
        <v>1321</v>
      </c>
      <c r="O816" t="s">
        <v>650</v>
      </c>
      <c r="P816" t="s">
        <v>3010</v>
      </c>
      <c r="Q816">
        <v>61719718</v>
      </c>
      <c r="R816" t="s">
        <v>54</v>
      </c>
      <c r="S816">
        <v>35145045</v>
      </c>
      <c r="T816" t="s">
        <v>3580</v>
      </c>
      <c r="U816" t="s">
        <v>600</v>
      </c>
      <c r="V816" t="s">
        <v>3581</v>
      </c>
      <c r="W816" t="s">
        <v>1244</v>
      </c>
      <c r="X816" t="s">
        <v>889</v>
      </c>
      <c r="Y816" t="s">
        <v>330</v>
      </c>
      <c r="Z816">
        <v>12</v>
      </c>
      <c r="AA816" t="s">
        <v>65</v>
      </c>
      <c r="AB816" t="s">
        <v>56</v>
      </c>
      <c r="AC816" t="s">
        <v>56</v>
      </c>
      <c r="AD816">
        <v>0</v>
      </c>
      <c r="AE816" t="s">
        <v>66</v>
      </c>
      <c r="AF816" t="s">
        <v>56</v>
      </c>
      <c r="AG816" t="s">
        <v>56</v>
      </c>
      <c r="AH816" t="s">
        <v>56</v>
      </c>
      <c r="AI816" t="s">
        <v>56</v>
      </c>
      <c r="AJ816" t="s">
        <v>3582</v>
      </c>
      <c r="AK816" t="s">
        <v>3583</v>
      </c>
      <c r="AL816" t="s">
        <v>56</v>
      </c>
      <c r="AM816" t="s">
        <v>56</v>
      </c>
      <c r="AN816" t="s">
        <v>56</v>
      </c>
      <c r="AO816" t="s">
        <v>56</v>
      </c>
      <c r="AP816" t="s">
        <v>56</v>
      </c>
      <c r="AQ816" t="s">
        <v>71</v>
      </c>
      <c r="AR816" t="s">
        <v>56</v>
      </c>
      <c r="AS816" t="s">
        <v>56</v>
      </c>
      <c r="AT816" t="s">
        <v>56</v>
      </c>
      <c r="AU816" t="s">
        <v>56</v>
      </c>
      <c r="AV816" t="s">
        <v>56</v>
      </c>
      <c r="AW816" t="s">
        <v>56</v>
      </c>
      <c r="AX816">
        <v>4</v>
      </c>
    </row>
    <row r="817" spans="1:50" x14ac:dyDescent="0.25">
      <c r="A817" t="str">
        <f>"20200127127017065194"</f>
        <v>20200127127017065194</v>
      </c>
      <c r="B817" t="s">
        <v>190</v>
      </c>
      <c r="C817" t="s">
        <v>190</v>
      </c>
      <c r="D817" t="s">
        <v>3584</v>
      </c>
      <c r="E817" t="str">
        <f>"134300068301"</f>
        <v>134300068301</v>
      </c>
      <c r="F817" t="s">
        <v>52</v>
      </c>
      <c r="G817">
        <v>900827631</v>
      </c>
      <c r="H817">
        <v>13430</v>
      </c>
      <c r="I817" t="s">
        <v>258</v>
      </c>
      <c r="J817">
        <v>3145812515</v>
      </c>
      <c r="K817" t="s">
        <v>54</v>
      </c>
      <c r="L817">
        <v>78733522</v>
      </c>
      <c r="M817" t="s">
        <v>259</v>
      </c>
      <c r="N817" t="s">
        <v>223</v>
      </c>
      <c r="O817" t="s">
        <v>179</v>
      </c>
      <c r="P817" t="s">
        <v>260</v>
      </c>
      <c r="Q817">
        <v>23306</v>
      </c>
      <c r="R817" t="s">
        <v>54</v>
      </c>
      <c r="S817">
        <v>22923536</v>
      </c>
      <c r="T817" t="s">
        <v>3585</v>
      </c>
      <c r="U817" t="s">
        <v>62</v>
      </c>
      <c r="V817" t="s">
        <v>381</v>
      </c>
      <c r="W817" t="s">
        <v>207</v>
      </c>
      <c r="X817" t="s">
        <v>183</v>
      </c>
      <c r="Y817" t="s">
        <v>101</v>
      </c>
      <c r="Z817">
        <v>12</v>
      </c>
      <c r="AA817" t="s">
        <v>65</v>
      </c>
      <c r="AB817" t="s">
        <v>56</v>
      </c>
      <c r="AC817" t="s">
        <v>56</v>
      </c>
      <c r="AD817">
        <v>0</v>
      </c>
      <c r="AE817" t="s">
        <v>66</v>
      </c>
      <c r="AF817" t="s">
        <v>56</v>
      </c>
      <c r="AG817" t="s">
        <v>56</v>
      </c>
      <c r="AH817" t="s">
        <v>56</v>
      </c>
      <c r="AI817" t="s">
        <v>56</v>
      </c>
      <c r="AJ817" t="s">
        <v>103</v>
      </c>
      <c r="AK817" t="s">
        <v>104</v>
      </c>
      <c r="AL817" t="s">
        <v>56</v>
      </c>
      <c r="AM817" t="s">
        <v>56</v>
      </c>
      <c r="AN817" t="s">
        <v>56</v>
      </c>
      <c r="AO817" t="s">
        <v>56</v>
      </c>
      <c r="AP817" t="s">
        <v>56</v>
      </c>
      <c r="AQ817" t="s">
        <v>71</v>
      </c>
      <c r="AR817" t="s">
        <v>56</v>
      </c>
      <c r="AS817" t="s">
        <v>56</v>
      </c>
      <c r="AT817" t="s">
        <v>56</v>
      </c>
      <c r="AU817" t="s">
        <v>56</v>
      </c>
      <c r="AV817" t="s">
        <v>56</v>
      </c>
      <c r="AW817" t="s">
        <v>56</v>
      </c>
      <c r="AX817">
        <v>4</v>
      </c>
    </row>
    <row r="818" spans="1:50" x14ac:dyDescent="0.25">
      <c r="A818" t="str">
        <f>"20200130140017145306"</f>
        <v>20200130140017145306</v>
      </c>
      <c r="B818" t="s">
        <v>124</v>
      </c>
      <c r="C818" t="s">
        <v>124</v>
      </c>
      <c r="D818" t="s">
        <v>3586</v>
      </c>
      <c r="E818" t="str">
        <f>"080010054401"</f>
        <v>080010054401</v>
      </c>
      <c r="F818" t="s">
        <v>52</v>
      </c>
      <c r="G818">
        <v>800194798</v>
      </c>
      <c r="H818" t="s">
        <v>112</v>
      </c>
      <c r="I818" t="s">
        <v>616</v>
      </c>
      <c r="J818" t="s">
        <v>56</v>
      </c>
      <c r="K818" t="s">
        <v>54</v>
      </c>
      <c r="L818">
        <v>72244218</v>
      </c>
      <c r="M818" t="s">
        <v>86</v>
      </c>
      <c r="N818" t="s">
        <v>604</v>
      </c>
      <c r="O818" t="s">
        <v>376</v>
      </c>
      <c r="P818" t="s">
        <v>108</v>
      </c>
      <c r="Q818">
        <v>131036106</v>
      </c>
      <c r="R818" t="s">
        <v>54</v>
      </c>
      <c r="S818">
        <v>22629670</v>
      </c>
      <c r="T818" t="s">
        <v>3587</v>
      </c>
      <c r="U818" t="s">
        <v>62</v>
      </c>
      <c r="V818" t="s">
        <v>207</v>
      </c>
      <c r="W818" t="s">
        <v>3588</v>
      </c>
      <c r="X818" t="s">
        <v>590</v>
      </c>
      <c r="Y818" t="s">
        <v>121</v>
      </c>
      <c r="Z818">
        <v>12</v>
      </c>
      <c r="AA818" t="s">
        <v>65</v>
      </c>
      <c r="AB818" t="s">
        <v>56</v>
      </c>
      <c r="AC818" t="s">
        <v>56</v>
      </c>
      <c r="AD818">
        <v>0</v>
      </c>
      <c r="AE818" t="s">
        <v>66</v>
      </c>
      <c r="AF818" t="s">
        <v>56</v>
      </c>
      <c r="AG818" t="s">
        <v>56</v>
      </c>
      <c r="AH818" t="s">
        <v>56</v>
      </c>
      <c r="AI818" t="s">
        <v>56</v>
      </c>
      <c r="AJ818" t="s">
        <v>3589</v>
      </c>
      <c r="AK818" t="s">
        <v>3590</v>
      </c>
      <c r="AL818" t="s">
        <v>56</v>
      </c>
      <c r="AM818" t="s">
        <v>56</v>
      </c>
      <c r="AN818" t="s">
        <v>56</v>
      </c>
      <c r="AO818" t="s">
        <v>56</v>
      </c>
      <c r="AP818" t="s">
        <v>56</v>
      </c>
      <c r="AQ818" t="s">
        <v>71</v>
      </c>
      <c r="AR818" t="s">
        <v>56</v>
      </c>
      <c r="AS818" t="s">
        <v>56</v>
      </c>
      <c r="AT818" t="s">
        <v>56</v>
      </c>
      <c r="AU818" t="s">
        <v>56</v>
      </c>
      <c r="AV818" t="s">
        <v>56</v>
      </c>
      <c r="AW818" t="s">
        <v>56</v>
      </c>
      <c r="AX818">
        <v>4</v>
      </c>
    </row>
    <row r="819" spans="1:50" x14ac:dyDescent="0.25">
      <c r="A819" t="str">
        <f>"20200125131017033065"</f>
        <v>20200125131017033065</v>
      </c>
      <c r="B819" t="s">
        <v>752</v>
      </c>
      <c r="C819" t="s">
        <v>752</v>
      </c>
      <c r="D819" t="s">
        <v>3591</v>
      </c>
      <c r="E819" t="str">
        <f>"110010568101"</f>
        <v>110010568101</v>
      </c>
      <c r="F819" t="s">
        <v>52</v>
      </c>
      <c r="G819">
        <v>899999123</v>
      </c>
      <c r="H819">
        <v>11001</v>
      </c>
      <c r="I819" t="s">
        <v>3592</v>
      </c>
      <c r="J819" t="s">
        <v>3593</v>
      </c>
      <c r="K819" t="s">
        <v>54</v>
      </c>
      <c r="L819">
        <v>1018410375</v>
      </c>
      <c r="M819" t="s">
        <v>3074</v>
      </c>
      <c r="N819" t="s">
        <v>962</v>
      </c>
      <c r="O819" t="s">
        <v>3075</v>
      </c>
      <c r="P819" t="s">
        <v>328</v>
      </c>
      <c r="Q819">
        <v>1716542</v>
      </c>
      <c r="R819" t="s">
        <v>237</v>
      </c>
      <c r="S819">
        <v>1052956937</v>
      </c>
      <c r="T819" t="s">
        <v>3594</v>
      </c>
      <c r="U819" t="s">
        <v>223</v>
      </c>
      <c r="V819" t="s">
        <v>587</v>
      </c>
      <c r="W819" t="s">
        <v>437</v>
      </c>
      <c r="X819" t="s">
        <v>1719</v>
      </c>
      <c r="Y819" t="s">
        <v>101</v>
      </c>
      <c r="Z819">
        <v>12</v>
      </c>
      <c r="AA819" t="s">
        <v>65</v>
      </c>
      <c r="AB819" t="s">
        <v>56</v>
      </c>
      <c r="AC819" t="s">
        <v>56</v>
      </c>
      <c r="AD819">
        <v>0</v>
      </c>
      <c r="AE819" t="s">
        <v>66</v>
      </c>
      <c r="AF819" t="s">
        <v>56</v>
      </c>
      <c r="AG819" t="s">
        <v>56</v>
      </c>
      <c r="AH819" t="s">
        <v>56</v>
      </c>
      <c r="AI819" t="s">
        <v>56</v>
      </c>
      <c r="AJ819" t="s">
        <v>3078</v>
      </c>
      <c r="AK819" t="s">
        <v>3079</v>
      </c>
      <c r="AL819" t="s">
        <v>56</v>
      </c>
      <c r="AM819" t="s">
        <v>56</v>
      </c>
      <c r="AN819" t="s">
        <v>56</v>
      </c>
      <c r="AO819" t="s">
        <v>56</v>
      </c>
      <c r="AP819" t="s">
        <v>56</v>
      </c>
      <c r="AQ819" t="s">
        <v>71</v>
      </c>
      <c r="AR819" t="s">
        <v>56</v>
      </c>
      <c r="AS819" t="s">
        <v>56</v>
      </c>
      <c r="AT819" t="s">
        <v>56</v>
      </c>
      <c r="AU819" t="s">
        <v>56</v>
      </c>
      <c r="AV819" t="s">
        <v>56</v>
      </c>
      <c r="AW819" t="s">
        <v>56</v>
      </c>
      <c r="AX819">
        <v>4</v>
      </c>
    </row>
    <row r="820" spans="1:50" x14ac:dyDescent="0.25">
      <c r="A820" t="str">
        <f>"20200129169017106411"</f>
        <v>20200129169017106411</v>
      </c>
      <c r="B820" t="s">
        <v>72</v>
      </c>
      <c r="C820" t="s">
        <v>72</v>
      </c>
      <c r="D820" t="s">
        <v>3595</v>
      </c>
      <c r="E820" t="str">
        <f>"200010205401"</f>
        <v>200010205401</v>
      </c>
      <c r="F820" t="s">
        <v>52</v>
      </c>
      <c r="G820">
        <v>901058547</v>
      </c>
      <c r="H820">
        <v>20001</v>
      </c>
      <c r="I820" t="s">
        <v>512</v>
      </c>
      <c r="J820" t="s">
        <v>513</v>
      </c>
      <c r="K820" t="s">
        <v>54</v>
      </c>
      <c r="L820">
        <v>49787534</v>
      </c>
      <c r="M820" t="s">
        <v>972</v>
      </c>
      <c r="N820" t="s">
        <v>205</v>
      </c>
      <c r="O820" t="s">
        <v>2137</v>
      </c>
      <c r="P820" t="s">
        <v>115</v>
      </c>
      <c r="Q820">
        <v>200384</v>
      </c>
      <c r="R820" t="s">
        <v>54</v>
      </c>
      <c r="S820">
        <v>26736808</v>
      </c>
      <c r="T820" t="s">
        <v>3596</v>
      </c>
      <c r="U820" t="s">
        <v>342</v>
      </c>
      <c r="V820" t="s">
        <v>503</v>
      </c>
      <c r="W820" t="s">
        <v>381</v>
      </c>
      <c r="X820" t="s">
        <v>2142</v>
      </c>
      <c r="Y820" t="s">
        <v>86</v>
      </c>
      <c r="Z820">
        <v>12</v>
      </c>
      <c r="AA820" t="s">
        <v>65</v>
      </c>
      <c r="AB820" t="s">
        <v>56</v>
      </c>
      <c r="AC820" t="s">
        <v>56</v>
      </c>
      <c r="AD820">
        <v>0</v>
      </c>
      <c r="AE820" t="s">
        <v>66</v>
      </c>
      <c r="AF820" t="s">
        <v>56</v>
      </c>
      <c r="AG820" t="s">
        <v>56</v>
      </c>
      <c r="AH820" t="s">
        <v>56</v>
      </c>
      <c r="AI820" t="s">
        <v>56</v>
      </c>
      <c r="AJ820" t="s">
        <v>696</v>
      </c>
      <c r="AK820" t="s">
        <v>697</v>
      </c>
      <c r="AL820" t="s">
        <v>56</v>
      </c>
      <c r="AM820" t="s">
        <v>56</v>
      </c>
      <c r="AN820" t="s">
        <v>56</v>
      </c>
      <c r="AO820" t="s">
        <v>56</v>
      </c>
      <c r="AP820" t="s">
        <v>56</v>
      </c>
      <c r="AQ820" t="s">
        <v>71</v>
      </c>
      <c r="AR820" t="s">
        <v>56</v>
      </c>
      <c r="AS820" t="s">
        <v>56</v>
      </c>
      <c r="AT820" t="s">
        <v>56</v>
      </c>
      <c r="AU820" t="s">
        <v>56</v>
      </c>
      <c r="AV820" t="s">
        <v>56</v>
      </c>
      <c r="AW820" t="s">
        <v>56</v>
      </c>
      <c r="AX820">
        <v>4</v>
      </c>
    </row>
    <row r="821" spans="1:50" x14ac:dyDescent="0.25">
      <c r="A821" t="str">
        <f>"20200125171017029512"</f>
        <v>20200125171017029512</v>
      </c>
      <c r="B821" t="s">
        <v>752</v>
      </c>
      <c r="C821" t="s">
        <v>752</v>
      </c>
      <c r="D821" t="s">
        <v>3597</v>
      </c>
      <c r="E821" t="str">
        <f>"082960002101"</f>
        <v>082960002101</v>
      </c>
      <c r="F821" t="s">
        <v>52</v>
      </c>
      <c r="G821">
        <v>802007798</v>
      </c>
      <c r="H821" t="s">
        <v>3598</v>
      </c>
      <c r="I821" t="s">
        <v>3599</v>
      </c>
      <c r="J821">
        <v>3086187</v>
      </c>
      <c r="K821" t="s">
        <v>54</v>
      </c>
      <c r="L821">
        <v>1047235305</v>
      </c>
      <c r="M821" t="s">
        <v>495</v>
      </c>
      <c r="N821" t="s">
        <v>196</v>
      </c>
      <c r="O821" t="s">
        <v>1166</v>
      </c>
      <c r="P821" t="s">
        <v>406</v>
      </c>
      <c r="Q821">
        <v>1047235305</v>
      </c>
      <c r="R821" t="s">
        <v>54</v>
      </c>
      <c r="S821">
        <v>22498755</v>
      </c>
      <c r="T821" t="s">
        <v>648</v>
      </c>
      <c r="U821" t="s">
        <v>296</v>
      </c>
      <c r="V821" t="s">
        <v>1905</v>
      </c>
      <c r="W821" t="s">
        <v>3600</v>
      </c>
      <c r="X821" t="s">
        <v>383</v>
      </c>
      <c r="Y821" t="s">
        <v>121</v>
      </c>
      <c r="Z821">
        <v>11</v>
      </c>
      <c r="AA821" t="s">
        <v>87</v>
      </c>
      <c r="AB821" t="s">
        <v>56</v>
      </c>
      <c r="AC821" t="s">
        <v>56</v>
      </c>
      <c r="AD821">
        <v>0</v>
      </c>
      <c r="AE821" t="s">
        <v>66</v>
      </c>
      <c r="AF821" t="s">
        <v>56</v>
      </c>
      <c r="AG821" t="s">
        <v>56</v>
      </c>
      <c r="AH821" t="s">
        <v>56</v>
      </c>
      <c r="AI821" t="s">
        <v>56</v>
      </c>
      <c r="AJ821" t="s">
        <v>828</v>
      </c>
      <c r="AK821" t="s">
        <v>829</v>
      </c>
      <c r="AL821" t="s">
        <v>215</v>
      </c>
      <c r="AM821" t="s">
        <v>216</v>
      </c>
      <c r="AN821" t="s">
        <v>56</v>
      </c>
      <c r="AO821" t="s">
        <v>56</v>
      </c>
      <c r="AP821" t="s">
        <v>56</v>
      </c>
      <c r="AQ821" t="s">
        <v>71</v>
      </c>
      <c r="AR821" t="s">
        <v>56</v>
      </c>
      <c r="AS821" t="s">
        <v>56</v>
      </c>
      <c r="AT821" t="s">
        <v>56</v>
      </c>
      <c r="AU821" t="s">
        <v>56</v>
      </c>
      <c r="AV821" t="s">
        <v>56</v>
      </c>
      <c r="AW821" t="s">
        <v>56</v>
      </c>
      <c r="AX821">
        <v>4</v>
      </c>
    </row>
    <row r="822" spans="1:50" x14ac:dyDescent="0.25">
      <c r="A822" t="str">
        <f>"20200127144017064089"</f>
        <v>20200127144017064089</v>
      </c>
      <c r="B822" t="s">
        <v>190</v>
      </c>
      <c r="C822" t="s">
        <v>190</v>
      </c>
      <c r="D822" t="s">
        <v>3601</v>
      </c>
      <c r="E822" t="str">
        <f>"050010210401"</f>
        <v>050010210401</v>
      </c>
      <c r="F822" t="s">
        <v>52</v>
      </c>
      <c r="G822">
        <v>890901826</v>
      </c>
      <c r="H822" t="s">
        <v>1652</v>
      </c>
      <c r="I822" t="s">
        <v>2659</v>
      </c>
      <c r="J822" t="s">
        <v>56</v>
      </c>
      <c r="K822" t="s">
        <v>54</v>
      </c>
      <c r="L822">
        <v>32100608</v>
      </c>
      <c r="M822" t="s">
        <v>504</v>
      </c>
      <c r="N822" t="s">
        <v>3602</v>
      </c>
      <c r="O822" t="s">
        <v>3603</v>
      </c>
      <c r="P822" t="s">
        <v>759</v>
      </c>
      <c r="Q822" t="s">
        <v>3604</v>
      </c>
      <c r="R822" t="s">
        <v>54</v>
      </c>
      <c r="S822">
        <v>1003853863</v>
      </c>
      <c r="T822" t="s">
        <v>667</v>
      </c>
      <c r="U822" t="s">
        <v>627</v>
      </c>
      <c r="V822" t="s">
        <v>715</v>
      </c>
      <c r="W822" t="s">
        <v>715</v>
      </c>
      <c r="X822" t="s">
        <v>3605</v>
      </c>
      <c r="Y822" t="s">
        <v>717</v>
      </c>
      <c r="Z822">
        <v>30</v>
      </c>
      <c r="AA822" t="s">
        <v>661</v>
      </c>
      <c r="AB822">
        <v>1</v>
      </c>
      <c r="AC822" t="s">
        <v>1627</v>
      </c>
      <c r="AD822">
        <v>0</v>
      </c>
      <c r="AE822" t="s">
        <v>66</v>
      </c>
      <c r="AF822" t="s">
        <v>56</v>
      </c>
      <c r="AG822" t="s">
        <v>56</v>
      </c>
      <c r="AH822" t="s">
        <v>56</v>
      </c>
      <c r="AI822" t="s">
        <v>56</v>
      </c>
      <c r="AJ822" t="s">
        <v>160</v>
      </c>
      <c r="AK822" t="s">
        <v>161</v>
      </c>
      <c r="AL822" t="s">
        <v>3606</v>
      </c>
      <c r="AM822" t="s">
        <v>3607</v>
      </c>
      <c r="AN822" t="s">
        <v>3608</v>
      </c>
      <c r="AO822" t="s">
        <v>3609</v>
      </c>
      <c r="AP822" t="s">
        <v>56</v>
      </c>
      <c r="AQ822" t="s">
        <v>71</v>
      </c>
      <c r="AR822" t="s">
        <v>56</v>
      </c>
      <c r="AS822" t="s">
        <v>56</v>
      </c>
      <c r="AT822" t="s">
        <v>56</v>
      </c>
      <c r="AU822" t="s">
        <v>56</v>
      </c>
      <c r="AV822" t="s">
        <v>56</v>
      </c>
      <c r="AW822" t="s">
        <v>56</v>
      </c>
      <c r="AX822">
        <v>4</v>
      </c>
    </row>
    <row r="823" spans="1:50" x14ac:dyDescent="0.25">
      <c r="A823" t="str">
        <f>"20200131174017160435"</f>
        <v>20200131174017160435</v>
      </c>
      <c r="B823" t="s">
        <v>110</v>
      </c>
      <c r="C823" t="s">
        <v>110</v>
      </c>
      <c r="D823" t="s">
        <v>3610</v>
      </c>
      <c r="E823" t="str">
        <f>"200010043101"</f>
        <v>200010043101</v>
      </c>
      <c r="F823" t="s">
        <v>52</v>
      </c>
      <c r="G823">
        <v>892399994</v>
      </c>
      <c r="H823">
        <v>20001</v>
      </c>
      <c r="I823" t="s">
        <v>905</v>
      </c>
      <c r="J823" t="s">
        <v>906</v>
      </c>
      <c r="K823" t="s">
        <v>54</v>
      </c>
      <c r="L823">
        <v>9094917</v>
      </c>
      <c r="M823" t="s">
        <v>1227</v>
      </c>
      <c r="N823" t="s">
        <v>604</v>
      </c>
      <c r="O823" t="s">
        <v>2363</v>
      </c>
      <c r="P823" t="s">
        <v>2364</v>
      </c>
      <c r="Q823" t="s">
        <v>2365</v>
      </c>
      <c r="R823" t="s">
        <v>54</v>
      </c>
      <c r="S823">
        <v>27612278</v>
      </c>
      <c r="T823" t="s">
        <v>3611</v>
      </c>
      <c r="U823" t="s">
        <v>62</v>
      </c>
      <c r="V823" t="s">
        <v>99</v>
      </c>
      <c r="W823" t="s">
        <v>2099</v>
      </c>
      <c r="X823" t="s">
        <v>407</v>
      </c>
      <c r="Y823" t="s">
        <v>86</v>
      </c>
      <c r="Z823">
        <v>12</v>
      </c>
      <c r="AA823" t="s">
        <v>65</v>
      </c>
      <c r="AB823" t="s">
        <v>56</v>
      </c>
      <c r="AC823" t="s">
        <v>56</v>
      </c>
      <c r="AD823">
        <v>0</v>
      </c>
      <c r="AE823" t="s">
        <v>66</v>
      </c>
      <c r="AF823" t="s">
        <v>56</v>
      </c>
      <c r="AG823" t="s">
        <v>56</v>
      </c>
      <c r="AH823" t="s">
        <v>56</v>
      </c>
      <c r="AI823" t="s">
        <v>56</v>
      </c>
      <c r="AJ823" t="s">
        <v>1119</v>
      </c>
      <c r="AK823" t="s">
        <v>1120</v>
      </c>
      <c r="AL823" t="s">
        <v>56</v>
      </c>
      <c r="AM823" t="s">
        <v>56</v>
      </c>
      <c r="AN823" t="s">
        <v>56</v>
      </c>
      <c r="AO823" t="s">
        <v>56</v>
      </c>
      <c r="AP823" t="s">
        <v>56</v>
      </c>
      <c r="AQ823" t="s">
        <v>71</v>
      </c>
      <c r="AR823" t="s">
        <v>56</v>
      </c>
      <c r="AS823" t="s">
        <v>56</v>
      </c>
      <c r="AT823" t="s">
        <v>56</v>
      </c>
      <c r="AU823" t="s">
        <v>56</v>
      </c>
      <c r="AV823" t="s">
        <v>56</v>
      </c>
      <c r="AW823" t="s">
        <v>56</v>
      </c>
      <c r="AX823">
        <v>4</v>
      </c>
    </row>
    <row r="824" spans="1:50" x14ac:dyDescent="0.25">
      <c r="A824" t="str">
        <f>"20200130153017130926"</f>
        <v>20200130153017130926</v>
      </c>
      <c r="B824" t="s">
        <v>124</v>
      </c>
      <c r="C824" t="s">
        <v>124</v>
      </c>
      <c r="D824" t="s">
        <v>3612</v>
      </c>
      <c r="E824" t="str">
        <f>"134300028101"</f>
        <v>134300028101</v>
      </c>
      <c r="F824" t="s">
        <v>52</v>
      </c>
      <c r="G824">
        <v>890480363</v>
      </c>
      <c r="H824">
        <v>13430</v>
      </c>
      <c r="I824" t="s">
        <v>1518</v>
      </c>
      <c r="J824">
        <v>6876043</v>
      </c>
      <c r="K824" t="s">
        <v>338</v>
      </c>
      <c r="L824">
        <v>363724</v>
      </c>
      <c r="M824" t="s">
        <v>76</v>
      </c>
      <c r="N824" t="s">
        <v>164</v>
      </c>
      <c r="O824" t="s">
        <v>3613</v>
      </c>
      <c r="P824" t="s">
        <v>56</v>
      </c>
      <c r="Q824">
        <v>7015710</v>
      </c>
      <c r="R824" t="s">
        <v>54</v>
      </c>
      <c r="S824">
        <v>73241067</v>
      </c>
      <c r="T824" t="s">
        <v>897</v>
      </c>
      <c r="U824" t="s">
        <v>423</v>
      </c>
      <c r="V824" t="s">
        <v>473</v>
      </c>
      <c r="W824" t="s">
        <v>1478</v>
      </c>
      <c r="X824" t="s">
        <v>183</v>
      </c>
      <c r="Y824" t="s">
        <v>101</v>
      </c>
      <c r="Z824">
        <v>12</v>
      </c>
      <c r="AA824" t="s">
        <v>65</v>
      </c>
      <c r="AB824" t="s">
        <v>56</v>
      </c>
      <c r="AC824" t="s">
        <v>56</v>
      </c>
      <c r="AD824">
        <v>0</v>
      </c>
      <c r="AE824" t="s">
        <v>66</v>
      </c>
      <c r="AF824" t="s">
        <v>56</v>
      </c>
      <c r="AG824" t="s">
        <v>56</v>
      </c>
      <c r="AH824" t="s">
        <v>56</v>
      </c>
      <c r="AI824" t="s">
        <v>56</v>
      </c>
      <c r="AJ824" t="s">
        <v>2550</v>
      </c>
      <c r="AK824" t="s">
        <v>2551</v>
      </c>
      <c r="AL824" t="s">
        <v>56</v>
      </c>
      <c r="AM824" t="s">
        <v>56</v>
      </c>
      <c r="AN824" t="s">
        <v>56</v>
      </c>
      <c r="AO824" t="s">
        <v>56</v>
      </c>
      <c r="AP824" t="s">
        <v>56</v>
      </c>
      <c r="AQ824" t="s">
        <v>71</v>
      </c>
      <c r="AR824" t="s">
        <v>56</v>
      </c>
      <c r="AS824" t="s">
        <v>56</v>
      </c>
      <c r="AT824" t="s">
        <v>56</v>
      </c>
      <c r="AU824" t="s">
        <v>56</v>
      </c>
      <c r="AV824" t="s">
        <v>56</v>
      </c>
      <c r="AW824" t="s">
        <v>56</v>
      </c>
      <c r="AX824">
        <v>4</v>
      </c>
    </row>
    <row r="825" spans="1:50" x14ac:dyDescent="0.25">
      <c r="A825" t="str">
        <f>"20200124178017013060"</f>
        <v>20200124178017013060</v>
      </c>
      <c r="B825" t="s">
        <v>201</v>
      </c>
      <c r="C825" t="s">
        <v>201</v>
      </c>
      <c r="D825" t="s">
        <v>3614</v>
      </c>
      <c r="E825" t="str">
        <f>"761470681501"</f>
        <v>761470681501</v>
      </c>
      <c r="F825" t="s">
        <v>52</v>
      </c>
      <c r="G825">
        <v>830515000</v>
      </c>
      <c r="H825">
        <v>76147</v>
      </c>
      <c r="I825" t="s">
        <v>1217</v>
      </c>
      <c r="J825">
        <v>2145150</v>
      </c>
      <c r="K825" t="s">
        <v>54</v>
      </c>
      <c r="L825">
        <v>16231597</v>
      </c>
      <c r="M825" t="s">
        <v>1218</v>
      </c>
      <c r="N825" t="s">
        <v>1219</v>
      </c>
      <c r="O825" t="s">
        <v>1220</v>
      </c>
      <c r="P825" t="s">
        <v>1221</v>
      </c>
      <c r="Q825">
        <v>76257504</v>
      </c>
      <c r="R825" t="s">
        <v>54</v>
      </c>
      <c r="S825">
        <v>29629381</v>
      </c>
      <c r="T825" t="s">
        <v>59</v>
      </c>
      <c r="U825" t="s">
        <v>1336</v>
      </c>
      <c r="V825" t="s">
        <v>294</v>
      </c>
      <c r="W825" t="s">
        <v>425</v>
      </c>
      <c r="X825" t="s">
        <v>63</v>
      </c>
      <c r="Y825" t="s">
        <v>64</v>
      </c>
      <c r="Z825">
        <v>12</v>
      </c>
      <c r="AA825" t="s">
        <v>65</v>
      </c>
      <c r="AB825" t="s">
        <v>56</v>
      </c>
      <c r="AC825" t="s">
        <v>56</v>
      </c>
      <c r="AD825">
        <v>0</v>
      </c>
      <c r="AE825" t="s">
        <v>66</v>
      </c>
      <c r="AF825" t="s">
        <v>56</v>
      </c>
      <c r="AG825" t="s">
        <v>56</v>
      </c>
      <c r="AH825" t="s">
        <v>56</v>
      </c>
      <c r="AI825" t="s">
        <v>56</v>
      </c>
      <c r="AJ825" t="s">
        <v>669</v>
      </c>
      <c r="AK825" t="s">
        <v>670</v>
      </c>
      <c r="AL825" t="s">
        <v>3615</v>
      </c>
      <c r="AM825" t="s">
        <v>3616</v>
      </c>
      <c r="AN825" t="s">
        <v>56</v>
      </c>
      <c r="AO825" t="s">
        <v>56</v>
      </c>
      <c r="AP825" t="s">
        <v>56</v>
      </c>
      <c r="AQ825" t="s">
        <v>71</v>
      </c>
      <c r="AR825" t="s">
        <v>56</v>
      </c>
      <c r="AS825" t="s">
        <v>56</v>
      </c>
      <c r="AT825" t="s">
        <v>56</v>
      </c>
      <c r="AU825" t="s">
        <v>56</v>
      </c>
      <c r="AV825" t="s">
        <v>56</v>
      </c>
      <c r="AW825" t="s">
        <v>56</v>
      </c>
      <c r="AX825">
        <v>4</v>
      </c>
    </row>
    <row r="826" spans="1:50" x14ac:dyDescent="0.25">
      <c r="A826" t="str">
        <f>"20200129121017099160"</f>
        <v>20200129121017099160</v>
      </c>
      <c r="B826" t="s">
        <v>72</v>
      </c>
      <c r="C826" t="s">
        <v>72</v>
      </c>
      <c r="D826" t="s">
        <v>3617</v>
      </c>
      <c r="E826" t="str">
        <f>"080010349401"</f>
        <v>080010349401</v>
      </c>
      <c r="F826" t="s">
        <v>52</v>
      </c>
      <c r="G826">
        <v>900458308</v>
      </c>
      <c r="H826" t="s">
        <v>112</v>
      </c>
      <c r="I826" t="s">
        <v>370</v>
      </c>
      <c r="J826" t="s">
        <v>371</v>
      </c>
      <c r="K826" t="s">
        <v>54</v>
      </c>
      <c r="L826">
        <v>1143378811</v>
      </c>
      <c r="M826" t="s">
        <v>372</v>
      </c>
      <c r="N826" t="s">
        <v>373</v>
      </c>
      <c r="O826" t="s">
        <v>109</v>
      </c>
      <c r="P826" t="s">
        <v>374</v>
      </c>
      <c r="Q826">
        <v>1143378811</v>
      </c>
      <c r="R826" t="s">
        <v>54</v>
      </c>
      <c r="S826">
        <v>1143128676</v>
      </c>
      <c r="T826" t="s">
        <v>3618</v>
      </c>
      <c r="U826" t="s">
        <v>2311</v>
      </c>
      <c r="V826" t="s">
        <v>3619</v>
      </c>
      <c r="W826" t="s">
        <v>225</v>
      </c>
      <c r="X826" t="s">
        <v>299</v>
      </c>
      <c r="Y826" t="s">
        <v>121</v>
      </c>
      <c r="Z826">
        <v>12</v>
      </c>
      <c r="AA826" t="s">
        <v>65</v>
      </c>
      <c r="AB826" t="s">
        <v>56</v>
      </c>
      <c r="AC826" t="s">
        <v>56</v>
      </c>
      <c r="AD826">
        <v>0</v>
      </c>
      <c r="AE826" t="s">
        <v>66</v>
      </c>
      <c r="AF826" t="s">
        <v>56</v>
      </c>
      <c r="AG826" t="s">
        <v>56</v>
      </c>
      <c r="AH826" t="s">
        <v>56</v>
      </c>
      <c r="AI826" t="s">
        <v>56</v>
      </c>
      <c r="AJ826" t="s">
        <v>356</v>
      </c>
      <c r="AK826" t="s">
        <v>357</v>
      </c>
      <c r="AL826" t="s">
        <v>255</v>
      </c>
      <c r="AM826" t="s">
        <v>256</v>
      </c>
      <c r="AN826" t="s">
        <v>56</v>
      </c>
      <c r="AO826" t="s">
        <v>56</v>
      </c>
      <c r="AP826" t="s">
        <v>56</v>
      </c>
      <c r="AQ826" t="s">
        <v>71</v>
      </c>
      <c r="AR826" t="s">
        <v>56</v>
      </c>
      <c r="AS826" t="s">
        <v>56</v>
      </c>
      <c r="AT826" t="s">
        <v>56</v>
      </c>
      <c r="AU826" t="s">
        <v>56</v>
      </c>
      <c r="AV826" t="s">
        <v>56</v>
      </c>
      <c r="AW826" t="s">
        <v>56</v>
      </c>
      <c r="AX826">
        <v>4</v>
      </c>
    </row>
    <row r="827" spans="1:50" x14ac:dyDescent="0.25">
      <c r="A827" t="str">
        <f>"20200201148017183785"</f>
        <v>20200201148017183785</v>
      </c>
      <c r="B827" t="s">
        <v>50</v>
      </c>
      <c r="C827" t="s">
        <v>50</v>
      </c>
      <c r="D827" t="s">
        <v>3620</v>
      </c>
      <c r="E827" t="str">
        <f>"080010003601"</f>
        <v>080010003601</v>
      </c>
      <c r="F827" t="s">
        <v>52</v>
      </c>
      <c r="G827">
        <v>802000955</v>
      </c>
      <c r="H827" t="s">
        <v>112</v>
      </c>
      <c r="I827" t="s">
        <v>218</v>
      </c>
      <c r="J827" t="s">
        <v>56</v>
      </c>
      <c r="K827" t="s">
        <v>54</v>
      </c>
      <c r="L827">
        <v>85472859</v>
      </c>
      <c r="M827" t="s">
        <v>897</v>
      </c>
      <c r="N827" t="s">
        <v>76</v>
      </c>
      <c r="O827" t="s">
        <v>1735</v>
      </c>
      <c r="P827" t="s">
        <v>1736</v>
      </c>
      <c r="Q827" t="s">
        <v>1737</v>
      </c>
      <c r="R827" t="s">
        <v>440</v>
      </c>
      <c r="S827">
        <v>1242488245</v>
      </c>
      <c r="T827" t="s">
        <v>3621</v>
      </c>
      <c r="U827" t="s">
        <v>62</v>
      </c>
      <c r="V827" t="s">
        <v>79</v>
      </c>
      <c r="W827" t="s">
        <v>308</v>
      </c>
      <c r="X827" t="s">
        <v>299</v>
      </c>
      <c r="Y827" t="s">
        <v>121</v>
      </c>
      <c r="Z827">
        <v>12</v>
      </c>
      <c r="AA827" t="s">
        <v>65</v>
      </c>
      <c r="AB827" t="s">
        <v>56</v>
      </c>
      <c r="AC827" t="s">
        <v>56</v>
      </c>
      <c r="AD827">
        <v>0</v>
      </c>
      <c r="AE827" t="s">
        <v>66</v>
      </c>
      <c r="AF827" t="s">
        <v>56</v>
      </c>
      <c r="AG827" t="s">
        <v>56</v>
      </c>
      <c r="AH827" t="s">
        <v>56</v>
      </c>
      <c r="AI827" t="s">
        <v>56</v>
      </c>
      <c r="AJ827" t="s">
        <v>3622</v>
      </c>
      <c r="AK827" t="s">
        <v>3623</v>
      </c>
      <c r="AL827" t="s">
        <v>56</v>
      </c>
      <c r="AM827" t="s">
        <v>56</v>
      </c>
      <c r="AN827" t="s">
        <v>56</v>
      </c>
      <c r="AO827" t="s">
        <v>56</v>
      </c>
      <c r="AP827" t="s">
        <v>56</v>
      </c>
      <c r="AQ827" t="s">
        <v>71</v>
      </c>
      <c r="AR827" t="s">
        <v>56</v>
      </c>
      <c r="AS827" t="s">
        <v>56</v>
      </c>
      <c r="AT827" t="s">
        <v>56</v>
      </c>
      <c r="AU827" t="s">
        <v>56</v>
      </c>
      <c r="AV827" t="s">
        <v>56</v>
      </c>
      <c r="AW827" t="s">
        <v>56</v>
      </c>
      <c r="AX827">
        <v>4</v>
      </c>
    </row>
    <row r="828" spans="1:50" x14ac:dyDescent="0.25">
      <c r="A828" t="str">
        <f>"20200127121017052012"</f>
        <v>20200127121017052012</v>
      </c>
      <c r="B828" t="s">
        <v>190</v>
      </c>
      <c r="C828" t="s">
        <v>190</v>
      </c>
      <c r="D828" t="s">
        <v>3624</v>
      </c>
      <c r="E828" t="str">
        <f>"086380050301"</f>
        <v>086380050301</v>
      </c>
      <c r="F828" t="s">
        <v>52</v>
      </c>
      <c r="G828">
        <v>900008600</v>
      </c>
      <c r="H828" t="s">
        <v>246</v>
      </c>
      <c r="I828" t="s">
        <v>732</v>
      </c>
      <c r="J828" t="s">
        <v>733</v>
      </c>
      <c r="K828" t="s">
        <v>54</v>
      </c>
      <c r="L828">
        <v>1140826415</v>
      </c>
      <c r="M828" t="s">
        <v>141</v>
      </c>
      <c r="N828" t="s">
        <v>1407</v>
      </c>
      <c r="O828" t="s">
        <v>2230</v>
      </c>
      <c r="P828" t="s">
        <v>2231</v>
      </c>
      <c r="Q828" t="s">
        <v>2232</v>
      </c>
      <c r="R828" t="s">
        <v>54</v>
      </c>
      <c r="S828">
        <v>3868291</v>
      </c>
      <c r="T828" t="s">
        <v>2242</v>
      </c>
      <c r="U828" t="s">
        <v>94</v>
      </c>
      <c r="V828" t="s">
        <v>3625</v>
      </c>
      <c r="W828" t="s">
        <v>1548</v>
      </c>
      <c r="X828" t="s">
        <v>254</v>
      </c>
      <c r="Y828" t="s">
        <v>121</v>
      </c>
      <c r="Z828">
        <v>12</v>
      </c>
      <c r="AA828" t="s">
        <v>65</v>
      </c>
      <c r="AB828" t="s">
        <v>56</v>
      </c>
      <c r="AC828" t="s">
        <v>56</v>
      </c>
      <c r="AD828">
        <v>0</v>
      </c>
      <c r="AE828" t="s">
        <v>66</v>
      </c>
      <c r="AF828" t="s">
        <v>56</v>
      </c>
      <c r="AG828" t="s">
        <v>56</v>
      </c>
      <c r="AH828" t="s">
        <v>56</v>
      </c>
      <c r="AI828" t="s">
        <v>56</v>
      </c>
      <c r="AJ828" t="s">
        <v>736</v>
      </c>
      <c r="AK828" t="s">
        <v>737</v>
      </c>
      <c r="AL828" t="s">
        <v>56</v>
      </c>
      <c r="AM828" t="s">
        <v>56</v>
      </c>
      <c r="AN828" t="s">
        <v>56</v>
      </c>
      <c r="AO828" t="s">
        <v>56</v>
      </c>
      <c r="AP828" t="s">
        <v>56</v>
      </c>
      <c r="AQ828" t="s">
        <v>71</v>
      </c>
      <c r="AR828" t="s">
        <v>56</v>
      </c>
      <c r="AS828" t="s">
        <v>56</v>
      </c>
      <c r="AT828" t="s">
        <v>56</v>
      </c>
      <c r="AU828" t="s">
        <v>56</v>
      </c>
      <c r="AV828" t="s">
        <v>56</v>
      </c>
      <c r="AW828" t="s">
        <v>56</v>
      </c>
      <c r="AX828">
        <v>4</v>
      </c>
    </row>
    <row r="829" spans="1:50" x14ac:dyDescent="0.25">
      <c r="A829" t="str">
        <f>"20200126137017037120"</f>
        <v>20200126137017037120</v>
      </c>
      <c r="B829" t="s">
        <v>244</v>
      </c>
      <c r="C829" t="s">
        <v>244</v>
      </c>
      <c r="D829" t="s">
        <v>3626</v>
      </c>
      <c r="E829" t="str">
        <f>"087580001301"</f>
        <v>087580001301</v>
      </c>
      <c r="F829" t="s">
        <v>52</v>
      </c>
      <c r="G829">
        <v>890112801</v>
      </c>
      <c r="H829" t="s">
        <v>74</v>
      </c>
      <c r="I829" t="s">
        <v>75</v>
      </c>
      <c r="J829">
        <v>3715562</v>
      </c>
      <c r="K829" t="s">
        <v>54</v>
      </c>
      <c r="L829">
        <v>55313569</v>
      </c>
      <c r="M829" t="s">
        <v>2660</v>
      </c>
      <c r="N829" t="s">
        <v>627</v>
      </c>
      <c r="O829" t="s">
        <v>3627</v>
      </c>
      <c r="P829" t="s">
        <v>3628</v>
      </c>
      <c r="Q829" t="s">
        <v>3629</v>
      </c>
      <c r="R829" t="s">
        <v>54</v>
      </c>
      <c r="S829">
        <v>1776058</v>
      </c>
      <c r="T829" t="s">
        <v>897</v>
      </c>
      <c r="U829" t="s">
        <v>94</v>
      </c>
      <c r="V829" t="s">
        <v>2009</v>
      </c>
      <c r="W829" t="s">
        <v>3630</v>
      </c>
      <c r="X829" t="s">
        <v>299</v>
      </c>
      <c r="Y829" t="s">
        <v>121</v>
      </c>
      <c r="Z829">
        <v>22</v>
      </c>
      <c r="AA829" t="s">
        <v>102</v>
      </c>
      <c r="AB829">
        <v>0</v>
      </c>
      <c r="AC829" t="s">
        <v>66</v>
      </c>
      <c r="AD829">
        <v>0</v>
      </c>
      <c r="AE829" t="s">
        <v>66</v>
      </c>
      <c r="AF829" t="s">
        <v>56</v>
      </c>
      <c r="AG829" t="s">
        <v>56</v>
      </c>
      <c r="AH829" t="s">
        <v>56</v>
      </c>
      <c r="AI829" t="s">
        <v>56</v>
      </c>
      <c r="AJ829" t="s">
        <v>88</v>
      </c>
      <c r="AK829" t="s">
        <v>89</v>
      </c>
      <c r="AL829" t="s">
        <v>56</v>
      </c>
      <c r="AM829" t="s">
        <v>56</v>
      </c>
      <c r="AN829" t="s">
        <v>56</v>
      </c>
      <c r="AO829" t="s">
        <v>56</v>
      </c>
      <c r="AP829" t="s">
        <v>56</v>
      </c>
      <c r="AQ829" t="s">
        <v>71</v>
      </c>
      <c r="AR829" t="s">
        <v>56</v>
      </c>
      <c r="AS829" t="s">
        <v>56</v>
      </c>
      <c r="AT829" t="s">
        <v>56</v>
      </c>
      <c r="AU829" t="s">
        <v>56</v>
      </c>
      <c r="AV829" t="s">
        <v>56</v>
      </c>
      <c r="AW829" t="s">
        <v>56</v>
      </c>
      <c r="AX829">
        <v>4</v>
      </c>
    </row>
    <row r="830" spans="1:50" x14ac:dyDescent="0.25">
      <c r="A830" t="str">
        <f>"20200130165017141643"</f>
        <v>20200130165017141643</v>
      </c>
      <c r="B830" t="s">
        <v>124</v>
      </c>
      <c r="C830" t="s">
        <v>124</v>
      </c>
      <c r="D830" t="s">
        <v>3631</v>
      </c>
      <c r="E830" t="str">
        <f>"080010054401"</f>
        <v>080010054401</v>
      </c>
      <c r="F830" t="s">
        <v>52</v>
      </c>
      <c r="G830">
        <v>800194798</v>
      </c>
      <c r="H830" t="s">
        <v>112</v>
      </c>
      <c r="I830" t="s">
        <v>616</v>
      </c>
      <c r="J830" t="s">
        <v>56</v>
      </c>
      <c r="K830" t="s">
        <v>54</v>
      </c>
      <c r="L830">
        <v>72244218</v>
      </c>
      <c r="M830" t="s">
        <v>86</v>
      </c>
      <c r="N830" t="s">
        <v>604</v>
      </c>
      <c r="O830" t="s">
        <v>376</v>
      </c>
      <c r="P830" t="s">
        <v>108</v>
      </c>
      <c r="Q830">
        <v>131036106</v>
      </c>
      <c r="R830" t="s">
        <v>54</v>
      </c>
      <c r="S830">
        <v>3826943</v>
      </c>
      <c r="T830" t="s">
        <v>3632</v>
      </c>
      <c r="U830" t="s">
        <v>94</v>
      </c>
      <c r="V830" t="s">
        <v>3633</v>
      </c>
      <c r="W830" t="s">
        <v>3634</v>
      </c>
      <c r="X830" t="s">
        <v>1098</v>
      </c>
      <c r="Y830" t="s">
        <v>101</v>
      </c>
      <c r="Z830">
        <v>12</v>
      </c>
      <c r="AA830" t="s">
        <v>65</v>
      </c>
      <c r="AB830" t="s">
        <v>56</v>
      </c>
      <c r="AC830" t="s">
        <v>56</v>
      </c>
      <c r="AD830">
        <v>0</v>
      </c>
      <c r="AE830" t="s">
        <v>66</v>
      </c>
      <c r="AF830" t="s">
        <v>56</v>
      </c>
      <c r="AG830" t="s">
        <v>56</v>
      </c>
      <c r="AH830" t="s">
        <v>56</v>
      </c>
      <c r="AI830" t="s">
        <v>56</v>
      </c>
      <c r="AJ830" t="s">
        <v>2343</v>
      </c>
      <c r="AK830" t="s">
        <v>2344</v>
      </c>
      <c r="AL830" t="s">
        <v>56</v>
      </c>
      <c r="AM830" t="s">
        <v>56</v>
      </c>
      <c r="AN830" t="s">
        <v>56</v>
      </c>
      <c r="AO830" t="s">
        <v>56</v>
      </c>
      <c r="AP830" t="s">
        <v>56</v>
      </c>
      <c r="AQ830" t="s">
        <v>71</v>
      </c>
      <c r="AR830" t="s">
        <v>56</v>
      </c>
      <c r="AS830" t="s">
        <v>56</v>
      </c>
      <c r="AT830" t="s">
        <v>56</v>
      </c>
      <c r="AU830" t="s">
        <v>56</v>
      </c>
      <c r="AV830" t="s">
        <v>56</v>
      </c>
      <c r="AW830" t="s">
        <v>56</v>
      </c>
      <c r="AX830">
        <v>4</v>
      </c>
    </row>
    <row r="831" spans="1:50" x14ac:dyDescent="0.25">
      <c r="A831" t="str">
        <f>"20200127140017048993"</f>
        <v>20200127140017048993</v>
      </c>
      <c r="B831" t="s">
        <v>190</v>
      </c>
      <c r="C831" t="s">
        <v>190</v>
      </c>
      <c r="D831" t="s">
        <v>3635</v>
      </c>
      <c r="E831" t="str">
        <f>"230010011601"</f>
        <v>230010011601</v>
      </c>
      <c r="F831" t="s">
        <v>52</v>
      </c>
      <c r="G831">
        <v>812005522</v>
      </c>
      <c r="H831">
        <v>23001</v>
      </c>
      <c r="I831" t="s">
        <v>2111</v>
      </c>
      <c r="J831">
        <v>7917725</v>
      </c>
      <c r="K831" t="s">
        <v>54</v>
      </c>
      <c r="L831">
        <v>9081653</v>
      </c>
      <c r="M831" t="s">
        <v>1222</v>
      </c>
      <c r="N831" t="s">
        <v>76</v>
      </c>
      <c r="O831" t="s">
        <v>938</v>
      </c>
      <c r="P831" t="s">
        <v>1068</v>
      </c>
      <c r="Q831" t="s">
        <v>56</v>
      </c>
      <c r="R831" t="s">
        <v>54</v>
      </c>
      <c r="S831">
        <v>11077132</v>
      </c>
      <c r="T831" t="s">
        <v>423</v>
      </c>
      <c r="U831" t="s">
        <v>272</v>
      </c>
      <c r="V831" t="s">
        <v>1400</v>
      </c>
      <c r="W831" t="s">
        <v>425</v>
      </c>
      <c r="X831" t="s">
        <v>3636</v>
      </c>
      <c r="Y831" t="s">
        <v>136</v>
      </c>
      <c r="Z831">
        <v>11</v>
      </c>
      <c r="AA831" t="s">
        <v>87</v>
      </c>
      <c r="AB831" t="s">
        <v>56</v>
      </c>
      <c r="AC831" t="s">
        <v>56</v>
      </c>
      <c r="AD831">
        <v>0</v>
      </c>
      <c r="AE831" t="s">
        <v>66</v>
      </c>
      <c r="AF831" t="s">
        <v>56</v>
      </c>
      <c r="AG831" t="s">
        <v>56</v>
      </c>
      <c r="AH831" t="s">
        <v>56</v>
      </c>
      <c r="AI831" t="s">
        <v>56</v>
      </c>
      <c r="AJ831" t="s">
        <v>3637</v>
      </c>
      <c r="AK831" t="s">
        <v>3638</v>
      </c>
      <c r="AL831" t="s">
        <v>56</v>
      </c>
      <c r="AM831" t="s">
        <v>56</v>
      </c>
      <c r="AN831" t="s">
        <v>56</v>
      </c>
      <c r="AO831" t="s">
        <v>56</v>
      </c>
      <c r="AP831" t="s">
        <v>56</v>
      </c>
      <c r="AQ831" t="s">
        <v>71</v>
      </c>
      <c r="AR831" t="s">
        <v>56</v>
      </c>
      <c r="AS831" t="s">
        <v>56</v>
      </c>
      <c r="AT831" t="s">
        <v>56</v>
      </c>
      <c r="AU831" t="s">
        <v>56</v>
      </c>
      <c r="AV831" t="s">
        <v>56</v>
      </c>
      <c r="AW831" t="s">
        <v>56</v>
      </c>
      <c r="AX831">
        <v>4</v>
      </c>
    </row>
    <row r="832" spans="1:50" x14ac:dyDescent="0.25">
      <c r="A832" t="str">
        <f>"20200128131017076935"</f>
        <v>20200128131017076935</v>
      </c>
      <c r="B832" t="s">
        <v>151</v>
      </c>
      <c r="C832" t="s">
        <v>151</v>
      </c>
      <c r="D832" t="s">
        <v>3639</v>
      </c>
      <c r="E832" t="str">
        <f>"080010054401"</f>
        <v>080010054401</v>
      </c>
      <c r="F832" t="s">
        <v>52</v>
      </c>
      <c r="G832">
        <v>800194798</v>
      </c>
      <c r="H832" t="s">
        <v>112</v>
      </c>
      <c r="I832" t="s">
        <v>616</v>
      </c>
      <c r="J832" t="s">
        <v>56</v>
      </c>
      <c r="K832" t="s">
        <v>54</v>
      </c>
      <c r="L832">
        <v>72157558</v>
      </c>
      <c r="M832" t="s">
        <v>291</v>
      </c>
      <c r="N832" t="s">
        <v>261</v>
      </c>
      <c r="O832" t="s">
        <v>376</v>
      </c>
      <c r="P832" t="s">
        <v>617</v>
      </c>
      <c r="Q832" t="s">
        <v>618</v>
      </c>
      <c r="R832" t="s">
        <v>54</v>
      </c>
      <c r="S832">
        <v>22538945</v>
      </c>
      <c r="T832" t="s">
        <v>1163</v>
      </c>
      <c r="U832" t="s">
        <v>2698</v>
      </c>
      <c r="V832" t="s">
        <v>3640</v>
      </c>
      <c r="W832" t="s">
        <v>3641</v>
      </c>
      <c r="X832" t="s">
        <v>2394</v>
      </c>
      <c r="Y832" t="s">
        <v>121</v>
      </c>
      <c r="Z832">
        <v>12</v>
      </c>
      <c r="AA832" t="s">
        <v>65</v>
      </c>
      <c r="AB832" t="s">
        <v>56</v>
      </c>
      <c r="AC832" t="s">
        <v>56</v>
      </c>
      <c r="AD832">
        <v>0</v>
      </c>
      <c r="AE832" t="s">
        <v>66</v>
      </c>
      <c r="AF832" t="s">
        <v>56</v>
      </c>
      <c r="AG832" t="s">
        <v>56</v>
      </c>
      <c r="AH832" t="s">
        <v>56</v>
      </c>
      <c r="AI832" t="s">
        <v>56</v>
      </c>
      <c r="AJ832" t="s">
        <v>160</v>
      </c>
      <c r="AK832" t="s">
        <v>161</v>
      </c>
      <c r="AL832" t="s">
        <v>56</v>
      </c>
      <c r="AM832" t="s">
        <v>56</v>
      </c>
      <c r="AN832" t="s">
        <v>56</v>
      </c>
      <c r="AO832" t="s">
        <v>56</v>
      </c>
      <c r="AP832" t="s">
        <v>56</v>
      </c>
      <c r="AQ832" t="s">
        <v>71</v>
      </c>
      <c r="AR832" t="s">
        <v>56</v>
      </c>
      <c r="AS832" t="s">
        <v>56</v>
      </c>
      <c r="AT832" t="s">
        <v>56</v>
      </c>
      <c r="AU832" t="s">
        <v>56</v>
      </c>
      <c r="AV832" t="s">
        <v>56</v>
      </c>
      <c r="AW832" t="s">
        <v>56</v>
      </c>
      <c r="AX832">
        <v>4</v>
      </c>
    </row>
    <row r="833" spans="1:50" x14ac:dyDescent="0.25">
      <c r="A833" t="str">
        <f>"20200127137017040576"</f>
        <v>20200127137017040576</v>
      </c>
      <c r="B833" t="s">
        <v>190</v>
      </c>
      <c r="C833" t="s">
        <v>190</v>
      </c>
      <c r="D833" t="s">
        <v>3642</v>
      </c>
      <c r="E833" t="str">
        <f>"080010003601"</f>
        <v>080010003601</v>
      </c>
      <c r="F833" t="s">
        <v>52</v>
      </c>
      <c r="G833">
        <v>802000955</v>
      </c>
      <c r="H833" t="s">
        <v>112</v>
      </c>
      <c r="I833" t="s">
        <v>218</v>
      </c>
      <c r="J833" t="s">
        <v>56</v>
      </c>
      <c r="K833" t="s">
        <v>54</v>
      </c>
      <c r="L833">
        <v>1045754222</v>
      </c>
      <c r="M833" t="s">
        <v>607</v>
      </c>
      <c r="N833" t="s">
        <v>117</v>
      </c>
      <c r="O833" t="s">
        <v>608</v>
      </c>
      <c r="P833" t="s">
        <v>528</v>
      </c>
      <c r="Q833">
        <v>1045754222</v>
      </c>
      <c r="R833" t="s">
        <v>54</v>
      </c>
      <c r="S833">
        <v>32890138</v>
      </c>
      <c r="T833" t="s">
        <v>2824</v>
      </c>
      <c r="U833" t="s">
        <v>1633</v>
      </c>
      <c r="V833" t="s">
        <v>597</v>
      </c>
      <c r="W833" t="s">
        <v>1185</v>
      </c>
      <c r="X833" t="s">
        <v>120</v>
      </c>
      <c r="Y833" t="s">
        <v>121</v>
      </c>
      <c r="Z833">
        <v>12</v>
      </c>
      <c r="AA833" t="s">
        <v>65</v>
      </c>
      <c r="AB833" t="s">
        <v>56</v>
      </c>
      <c r="AC833" t="s">
        <v>56</v>
      </c>
      <c r="AD833">
        <v>0</v>
      </c>
      <c r="AE833" t="s">
        <v>66</v>
      </c>
      <c r="AF833" t="s">
        <v>56</v>
      </c>
      <c r="AG833" t="s">
        <v>56</v>
      </c>
      <c r="AH833" t="s">
        <v>56</v>
      </c>
      <c r="AI833" t="s">
        <v>56</v>
      </c>
      <c r="AJ833" t="s">
        <v>1375</v>
      </c>
      <c r="AK833" t="s">
        <v>1376</v>
      </c>
      <c r="AL833" t="s">
        <v>56</v>
      </c>
      <c r="AM833" t="s">
        <v>56</v>
      </c>
      <c r="AN833" t="s">
        <v>56</v>
      </c>
      <c r="AO833" t="s">
        <v>56</v>
      </c>
      <c r="AP833" t="s">
        <v>56</v>
      </c>
      <c r="AQ833" t="s">
        <v>71</v>
      </c>
      <c r="AR833" t="s">
        <v>56</v>
      </c>
      <c r="AS833" t="s">
        <v>56</v>
      </c>
      <c r="AT833" t="s">
        <v>56</v>
      </c>
      <c r="AU833" t="s">
        <v>56</v>
      </c>
      <c r="AV833" t="s">
        <v>56</v>
      </c>
      <c r="AW833" t="s">
        <v>56</v>
      </c>
      <c r="AX833">
        <v>4</v>
      </c>
    </row>
    <row r="834" spans="1:50" x14ac:dyDescent="0.25">
      <c r="A834" t="str">
        <f>"20200130194017139830"</f>
        <v>20200130194017139830</v>
      </c>
      <c r="B834" t="s">
        <v>124</v>
      </c>
      <c r="C834" t="s">
        <v>124</v>
      </c>
      <c r="D834" t="s">
        <v>3643</v>
      </c>
      <c r="E834" t="str">
        <f>"200010205401"</f>
        <v>200010205401</v>
      </c>
      <c r="F834" t="s">
        <v>52</v>
      </c>
      <c r="G834">
        <v>901058547</v>
      </c>
      <c r="H834">
        <v>20001</v>
      </c>
      <c r="I834" t="s">
        <v>512</v>
      </c>
      <c r="J834" t="s">
        <v>513</v>
      </c>
      <c r="K834" t="s">
        <v>54</v>
      </c>
      <c r="L834">
        <v>18937856</v>
      </c>
      <c r="M834" t="s">
        <v>81</v>
      </c>
      <c r="N834" t="s">
        <v>164</v>
      </c>
      <c r="O834" t="s">
        <v>816</v>
      </c>
      <c r="P834" t="s">
        <v>425</v>
      </c>
      <c r="Q834" t="s">
        <v>817</v>
      </c>
      <c r="R834" t="s">
        <v>54</v>
      </c>
      <c r="S834">
        <v>49733665</v>
      </c>
      <c r="T834" t="s">
        <v>1065</v>
      </c>
      <c r="U834" t="s">
        <v>600</v>
      </c>
      <c r="V834" t="s">
        <v>1478</v>
      </c>
      <c r="W834" t="s">
        <v>293</v>
      </c>
      <c r="X834" t="s">
        <v>462</v>
      </c>
      <c r="Y834" t="s">
        <v>86</v>
      </c>
      <c r="Z834">
        <v>12</v>
      </c>
      <c r="AA834" t="s">
        <v>65</v>
      </c>
      <c r="AB834" t="s">
        <v>56</v>
      </c>
      <c r="AC834" t="s">
        <v>56</v>
      </c>
      <c r="AD834">
        <v>0</v>
      </c>
      <c r="AE834" t="s">
        <v>66</v>
      </c>
      <c r="AF834" t="s">
        <v>56</v>
      </c>
      <c r="AG834" t="s">
        <v>56</v>
      </c>
      <c r="AH834" t="s">
        <v>56</v>
      </c>
      <c r="AI834" t="s">
        <v>56</v>
      </c>
      <c r="AJ834" t="s">
        <v>866</v>
      </c>
      <c r="AK834" t="s">
        <v>867</v>
      </c>
      <c r="AL834" t="s">
        <v>56</v>
      </c>
      <c r="AM834" t="s">
        <v>56</v>
      </c>
      <c r="AN834" t="s">
        <v>56</v>
      </c>
      <c r="AO834" t="s">
        <v>56</v>
      </c>
      <c r="AP834" t="s">
        <v>56</v>
      </c>
      <c r="AQ834" t="s">
        <v>71</v>
      </c>
      <c r="AR834" t="s">
        <v>56</v>
      </c>
      <c r="AS834" t="s">
        <v>56</v>
      </c>
      <c r="AT834" t="s">
        <v>56</v>
      </c>
      <c r="AU834" t="s">
        <v>56</v>
      </c>
      <c r="AV834" t="s">
        <v>56</v>
      </c>
      <c r="AW834" t="s">
        <v>56</v>
      </c>
      <c r="AX834">
        <v>4</v>
      </c>
    </row>
    <row r="835" spans="1:50" x14ac:dyDescent="0.25">
      <c r="A835" t="str">
        <f>"20200129145017122495"</f>
        <v>20200129145017122495</v>
      </c>
      <c r="B835" t="s">
        <v>72</v>
      </c>
      <c r="C835" t="s">
        <v>72</v>
      </c>
      <c r="D835" t="s">
        <v>3644</v>
      </c>
      <c r="E835" t="str">
        <f>"080010003601"</f>
        <v>080010003601</v>
      </c>
      <c r="F835" t="s">
        <v>52</v>
      </c>
      <c r="G835">
        <v>802000955</v>
      </c>
      <c r="H835" t="s">
        <v>112</v>
      </c>
      <c r="I835" t="s">
        <v>218</v>
      </c>
      <c r="J835" t="s">
        <v>56</v>
      </c>
      <c r="K835" t="s">
        <v>54</v>
      </c>
      <c r="L835">
        <v>22582206</v>
      </c>
      <c r="M835" t="s">
        <v>504</v>
      </c>
      <c r="N835" t="s">
        <v>577</v>
      </c>
      <c r="O835" t="s">
        <v>2228</v>
      </c>
      <c r="P835" t="s">
        <v>3645</v>
      </c>
      <c r="Q835" t="s">
        <v>3646</v>
      </c>
      <c r="R835" t="s">
        <v>237</v>
      </c>
      <c r="S835">
        <v>1085044500</v>
      </c>
      <c r="T835" t="s">
        <v>3647</v>
      </c>
      <c r="U835" t="s">
        <v>62</v>
      </c>
      <c r="V835" t="s">
        <v>263</v>
      </c>
      <c r="W835" t="s">
        <v>3648</v>
      </c>
      <c r="X835" t="s">
        <v>1172</v>
      </c>
      <c r="Y835" t="s">
        <v>345</v>
      </c>
      <c r="Z835">
        <v>12</v>
      </c>
      <c r="AA835" t="s">
        <v>65</v>
      </c>
      <c r="AB835" t="s">
        <v>56</v>
      </c>
      <c r="AC835" t="s">
        <v>56</v>
      </c>
      <c r="AD835">
        <v>0</v>
      </c>
      <c r="AE835" t="s">
        <v>66</v>
      </c>
      <c r="AF835" t="s">
        <v>56</v>
      </c>
      <c r="AG835" t="s">
        <v>56</v>
      </c>
      <c r="AH835" t="s">
        <v>56</v>
      </c>
      <c r="AI835" t="s">
        <v>56</v>
      </c>
      <c r="AJ835" t="s">
        <v>534</v>
      </c>
      <c r="AK835" t="s">
        <v>535</v>
      </c>
      <c r="AL835" t="s">
        <v>56</v>
      </c>
      <c r="AM835" t="s">
        <v>56</v>
      </c>
      <c r="AN835" t="s">
        <v>56</v>
      </c>
      <c r="AO835" t="s">
        <v>56</v>
      </c>
      <c r="AP835" t="s">
        <v>56</v>
      </c>
      <c r="AQ835" t="s">
        <v>71</v>
      </c>
      <c r="AR835" t="s">
        <v>56</v>
      </c>
      <c r="AS835" t="s">
        <v>56</v>
      </c>
      <c r="AT835" t="s">
        <v>56</v>
      </c>
      <c r="AU835" t="s">
        <v>56</v>
      </c>
      <c r="AV835" t="s">
        <v>56</v>
      </c>
      <c r="AW835" t="s">
        <v>56</v>
      </c>
      <c r="AX835">
        <v>4</v>
      </c>
    </row>
    <row r="836" spans="1:50" x14ac:dyDescent="0.25">
      <c r="A836" t="str">
        <f>"20200131140017158366"</f>
        <v>20200131140017158366</v>
      </c>
      <c r="B836" t="s">
        <v>110</v>
      </c>
      <c r="C836" t="s">
        <v>110</v>
      </c>
      <c r="D836" t="s">
        <v>3649</v>
      </c>
      <c r="E836" t="str">
        <f>"270010070801"</f>
        <v>270010070801</v>
      </c>
      <c r="F836" t="s">
        <v>52</v>
      </c>
      <c r="G836">
        <v>900488067</v>
      </c>
      <c r="H836">
        <v>27001</v>
      </c>
      <c r="I836" t="s">
        <v>1854</v>
      </c>
      <c r="J836">
        <v>6708703</v>
      </c>
      <c r="K836" t="s">
        <v>54</v>
      </c>
      <c r="L836">
        <v>1151937502</v>
      </c>
      <c r="M836" t="s">
        <v>600</v>
      </c>
      <c r="N836" t="s">
        <v>97</v>
      </c>
      <c r="O836" t="s">
        <v>1855</v>
      </c>
      <c r="P836" t="s">
        <v>801</v>
      </c>
      <c r="Q836" t="s">
        <v>1856</v>
      </c>
      <c r="R836" t="s">
        <v>54</v>
      </c>
      <c r="S836">
        <v>11785816</v>
      </c>
      <c r="T836" t="s">
        <v>380</v>
      </c>
      <c r="U836" t="s">
        <v>3650</v>
      </c>
      <c r="V836" t="s">
        <v>376</v>
      </c>
      <c r="W836" t="s">
        <v>1073</v>
      </c>
      <c r="X836" t="s">
        <v>860</v>
      </c>
      <c r="Y836" t="s">
        <v>717</v>
      </c>
      <c r="Z836">
        <v>11</v>
      </c>
      <c r="AA836" t="s">
        <v>87</v>
      </c>
      <c r="AB836" t="s">
        <v>56</v>
      </c>
      <c r="AC836" t="s">
        <v>56</v>
      </c>
      <c r="AD836">
        <v>0</v>
      </c>
      <c r="AE836" t="s">
        <v>66</v>
      </c>
      <c r="AF836" t="s">
        <v>56</v>
      </c>
      <c r="AG836" t="s">
        <v>56</v>
      </c>
      <c r="AH836" t="s">
        <v>56</v>
      </c>
      <c r="AI836" t="s">
        <v>56</v>
      </c>
      <c r="AJ836" t="s">
        <v>1861</v>
      </c>
      <c r="AK836" t="s">
        <v>1862</v>
      </c>
      <c r="AL836" t="s">
        <v>56</v>
      </c>
      <c r="AM836" t="s">
        <v>56</v>
      </c>
      <c r="AN836" t="s">
        <v>56</v>
      </c>
      <c r="AO836" t="s">
        <v>56</v>
      </c>
      <c r="AP836" t="s">
        <v>56</v>
      </c>
      <c r="AQ836" t="s">
        <v>71</v>
      </c>
      <c r="AR836" t="s">
        <v>56</v>
      </c>
      <c r="AS836" t="s">
        <v>56</v>
      </c>
      <c r="AT836" t="s">
        <v>56</v>
      </c>
      <c r="AU836" t="s">
        <v>56</v>
      </c>
      <c r="AV836" t="s">
        <v>56</v>
      </c>
      <c r="AW836" t="s">
        <v>56</v>
      </c>
      <c r="AX836">
        <v>4</v>
      </c>
    </row>
    <row r="837" spans="1:50" x14ac:dyDescent="0.25">
      <c r="A837" t="str">
        <f>"20200201168017184067"</f>
        <v>20200201168017184067</v>
      </c>
      <c r="B837" t="s">
        <v>50</v>
      </c>
      <c r="C837" t="s">
        <v>50</v>
      </c>
      <c r="D837" t="s">
        <v>3651</v>
      </c>
      <c r="E837" t="str">
        <f>"080010003601"</f>
        <v>080010003601</v>
      </c>
      <c r="F837" t="s">
        <v>52</v>
      </c>
      <c r="G837">
        <v>802000955</v>
      </c>
      <c r="H837" t="s">
        <v>112</v>
      </c>
      <c r="I837" t="s">
        <v>218</v>
      </c>
      <c r="J837" t="s">
        <v>56</v>
      </c>
      <c r="K837" t="s">
        <v>54</v>
      </c>
      <c r="L837">
        <v>32672981</v>
      </c>
      <c r="M837" t="s">
        <v>117</v>
      </c>
      <c r="N837" t="s">
        <v>97</v>
      </c>
      <c r="O837" t="s">
        <v>977</v>
      </c>
      <c r="P837" t="s">
        <v>1168</v>
      </c>
      <c r="Q837" t="s">
        <v>1169</v>
      </c>
      <c r="R837" t="s">
        <v>54</v>
      </c>
      <c r="S837">
        <v>22577614</v>
      </c>
      <c r="T837" t="s">
        <v>1766</v>
      </c>
      <c r="U837" t="s">
        <v>117</v>
      </c>
      <c r="V837" t="s">
        <v>658</v>
      </c>
      <c r="W837" t="s">
        <v>99</v>
      </c>
      <c r="X837" t="s">
        <v>120</v>
      </c>
      <c r="Y837" t="s">
        <v>121</v>
      </c>
      <c r="Z837">
        <v>12</v>
      </c>
      <c r="AA837" t="s">
        <v>65</v>
      </c>
      <c r="AB837" t="s">
        <v>56</v>
      </c>
      <c r="AC837" t="s">
        <v>56</v>
      </c>
      <c r="AD837">
        <v>0</v>
      </c>
      <c r="AE837" t="s">
        <v>66</v>
      </c>
      <c r="AF837" t="s">
        <v>56</v>
      </c>
      <c r="AG837" t="s">
        <v>56</v>
      </c>
      <c r="AH837" t="s">
        <v>56</v>
      </c>
      <c r="AI837" t="s">
        <v>56</v>
      </c>
      <c r="AJ837" t="s">
        <v>3652</v>
      </c>
      <c r="AK837" t="s">
        <v>3653</v>
      </c>
      <c r="AL837" t="s">
        <v>56</v>
      </c>
      <c r="AM837" t="s">
        <v>56</v>
      </c>
      <c r="AN837" t="s">
        <v>56</v>
      </c>
      <c r="AO837" t="s">
        <v>56</v>
      </c>
      <c r="AP837" t="s">
        <v>56</v>
      </c>
      <c r="AQ837" t="s">
        <v>71</v>
      </c>
      <c r="AR837" t="s">
        <v>56</v>
      </c>
      <c r="AS837" t="s">
        <v>56</v>
      </c>
      <c r="AT837" t="s">
        <v>56</v>
      </c>
      <c r="AU837" t="s">
        <v>56</v>
      </c>
      <c r="AV837" t="s">
        <v>56</v>
      </c>
      <c r="AW837" t="s">
        <v>56</v>
      </c>
      <c r="AX837">
        <v>4</v>
      </c>
    </row>
    <row r="838" spans="1:50" x14ac:dyDescent="0.25">
      <c r="A838" t="str">
        <f>"20200131136017160791"</f>
        <v>20200131136017160791</v>
      </c>
      <c r="B838" t="s">
        <v>110</v>
      </c>
      <c r="C838" t="s">
        <v>110</v>
      </c>
      <c r="D838" t="s">
        <v>3654</v>
      </c>
      <c r="E838" t="str">
        <f>"130010256801"</f>
        <v>130010256801</v>
      </c>
      <c r="F838" t="s">
        <v>52</v>
      </c>
      <c r="G838">
        <v>900602320</v>
      </c>
      <c r="H838">
        <v>13001</v>
      </c>
      <c r="I838" t="s">
        <v>418</v>
      </c>
      <c r="J838">
        <v>3145960813</v>
      </c>
      <c r="K838" t="s">
        <v>54</v>
      </c>
      <c r="L838">
        <v>57417649</v>
      </c>
      <c r="M838" t="s">
        <v>419</v>
      </c>
      <c r="N838" t="s">
        <v>420</v>
      </c>
      <c r="O838" t="s">
        <v>421</v>
      </c>
      <c r="P838" t="s">
        <v>207</v>
      </c>
      <c r="Q838" t="s">
        <v>422</v>
      </c>
      <c r="R838" t="s">
        <v>237</v>
      </c>
      <c r="S838">
        <v>1044007820</v>
      </c>
      <c r="T838" t="s">
        <v>3655</v>
      </c>
      <c r="U838" t="s">
        <v>132</v>
      </c>
      <c r="V838" t="s">
        <v>649</v>
      </c>
      <c r="W838" t="s">
        <v>2469</v>
      </c>
      <c r="X838" t="s">
        <v>427</v>
      </c>
      <c r="Y838" t="s">
        <v>101</v>
      </c>
      <c r="Z838">
        <v>11</v>
      </c>
      <c r="AA838" t="s">
        <v>87</v>
      </c>
      <c r="AB838" t="s">
        <v>56</v>
      </c>
      <c r="AC838" t="s">
        <v>56</v>
      </c>
      <c r="AD838">
        <v>0</v>
      </c>
      <c r="AE838" t="s">
        <v>66</v>
      </c>
      <c r="AF838" t="s">
        <v>56</v>
      </c>
      <c r="AG838" t="s">
        <v>56</v>
      </c>
      <c r="AH838" t="s">
        <v>56</v>
      </c>
      <c r="AI838" t="s">
        <v>56</v>
      </c>
      <c r="AJ838" t="s">
        <v>3656</v>
      </c>
      <c r="AK838" t="s">
        <v>3657</v>
      </c>
      <c r="AL838" t="s">
        <v>428</v>
      </c>
      <c r="AM838" t="s">
        <v>429</v>
      </c>
      <c r="AN838" t="s">
        <v>56</v>
      </c>
      <c r="AO838" t="s">
        <v>56</v>
      </c>
      <c r="AP838" t="s">
        <v>56</v>
      </c>
      <c r="AQ838" t="s">
        <v>71</v>
      </c>
      <c r="AR838" t="s">
        <v>56</v>
      </c>
      <c r="AS838" t="s">
        <v>56</v>
      </c>
      <c r="AT838" t="s">
        <v>56</v>
      </c>
      <c r="AU838" t="s">
        <v>56</v>
      </c>
      <c r="AV838" t="s">
        <v>56</v>
      </c>
      <c r="AW838" t="s">
        <v>56</v>
      </c>
      <c r="AX838">
        <v>4</v>
      </c>
    </row>
    <row r="839" spans="1:50" x14ac:dyDescent="0.25">
      <c r="A839" t="str">
        <f>"20200128141017072944"</f>
        <v>20200128141017072944</v>
      </c>
      <c r="B839" t="s">
        <v>151</v>
      </c>
      <c r="C839" t="s">
        <v>151</v>
      </c>
      <c r="D839" t="s">
        <v>3658</v>
      </c>
      <c r="E839" t="str">
        <f>"760200165701"</f>
        <v>760200165701</v>
      </c>
      <c r="F839" t="s">
        <v>52</v>
      </c>
      <c r="G839">
        <v>891900438</v>
      </c>
      <c r="H839">
        <v>76020</v>
      </c>
      <c r="I839" t="s">
        <v>447</v>
      </c>
      <c r="J839">
        <v>2004120</v>
      </c>
      <c r="K839" t="s">
        <v>54</v>
      </c>
      <c r="L839">
        <v>10123191</v>
      </c>
      <c r="M839" t="s">
        <v>291</v>
      </c>
      <c r="N839" t="s">
        <v>838</v>
      </c>
      <c r="O839" t="s">
        <v>839</v>
      </c>
      <c r="P839" t="s">
        <v>425</v>
      </c>
      <c r="Q839">
        <v>762392</v>
      </c>
      <c r="R839" t="s">
        <v>54</v>
      </c>
      <c r="S839">
        <v>29134114</v>
      </c>
      <c r="T839" t="s">
        <v>3504</v>
      </c>
      <c r="U839" t="s">
        <v>62</v>
      </c>
      <c r="V839" t="s">
        <v>3010</v>
      </c>
      <c r="W839" t="s">
        <v>3659</v>
      </c>
      <c r="X839" t="s">
        <v>453</v>
      </c>
      <c r="Y839" t="s">
        <v>64</v>
      </c>
      <c r="Z839">
        <v>11</v>
      </c>
      <c r="AA839" t="s">
        <v>87</v>
      </c>
      <c r="AB839" t="s">
        <v>56</v>
      </c>
      <c r="AC839" t="s">
        <v>56</v>
      </c>
      <c r="AD839">
        <v>0</v>
      </c>
      <c r="AE839" t="s">
        <v>66</v>
      </c>
      <c r="AF839" t="s">
        <v>56</v>
      </c>
      <c r="AG839" t="s">
        <v>56</v>
      </c>
      <c r="AH839" t="s">
        <v>56</v>
      </c>
      <c r="AI839" t="s">
        <v>56</v>
      </c>
      <c r="AJ839" t="s">
        <v>171</v>
      </c>
      <c r="AK839" t="s">
        <v>172</v>
      </c>
      <c r="AL839" t="s">
        <v>56</v>
      </c>
      <c r="AM839" t="s">
        <v>56</v>
      </c>
      <c r="AN839" t="s">
        <v>56</v>
      </c>
      <c r="AO839" t="s">
        <v>56</v>
      </c>
      <c r="AP839" t="s">
        <v>56</v>
      </c>
      <c r="AQ839" t="s">
        <v>71</v>
      </c>
      <c r="AR839" t="s">
        <v>56</v>
      </c>
      <c r="AS839" t="s">
        <v>56</v>
      </c>
      <c r="AT839" t="s">
        <v>56</v>
      </c>
      <c r="AU839" t="s">
        <v>56</v>
      </c>
      <c r="AV839" t="s">
        <v>56</v>
      </c>
      <c r="AW839" t="s">
        <v>56</v>
      </c>
      <c r="AX839">
        <v>4</v>
      </c>
    </row>
    <row r="840" spans="1:50" x14ac:dyDescent="0.25">
      <c r="A840" t="str">
        <f>"20200129113017117603"</f>
        <v>20200129113017117603</v>
      </c>
      <c r="B840" t="s">
        <v>72</v>
      </c>
      <c r="C840" t="s">
        <v>72</v>
      </c>
      <c r="D840" t="s">
        <v>3660</v>
      </c>
      <c r="E840" t="str">
        <f>"200010083101"</f>
        <v>200010083101</v>
      </c>
      <c r="F840" t="s">
        <v>52</v>
      </c>
      <c r="G840">
        <v>900066797</v>
      </c>
      <c r="H840">
        <v>20001</v>
      </c>
      <c r="I840" t="s">
        <v>457</v>
      </c>
      <c r="J840" t="s">
        <v>458</v>
      </c>
      <c r="K840" t="s">
        <v>54</v>
      </c>
      <c r="L840">
        <v>49760462</v>
      </c>
      <c r="M840" t="s">
        <v>459</v>
      </c>
      <c r="N840" t="s">
        <v>117</v>
      </c>
      <c r="O840" t="s">
        <v>460</v>
      </c>
      <c r="P840" t="s">
        <v>403</v>
      </c>
      <c r="Q840">
        <v>8550</v>
      </c>
      <c r="R840" t="s">
        <v>54</v>
      </c>
      <c r="S840">
        <v>36485379</v>
      </c>
      <c r="T840" t="s">
        <v>3661</v>
      </c>
      <c r="U840" t="s">
        <v>1179</v>
      </c>
      <c r="V840" t="s">
        <v>3662</v>
      </c>
      <c r="W840" t="s">
        <v>3625</v>
      </c>
      <c r="X840" t="s">
        <v>462</v>
      </c>
      <c r="Y840" t="s">
        <v>86</v>
      </c>
      <c r="Z840">
        <v>12</v>
      </c>
      <c r="AA840" t="s">
        <v>65</v>
      </c>
      <c r="AB840" t="s">
        <v>56</v>
      </c>
      <c r="AC840" t="s">
        <v>56</v>
      </c>
      <c r="AD840">
        <v>0</v>
      </c>
      <c r="AE840" t="s">
        <v>66</v>
      </c>
      <c r="AF840" t="s">
        <v>56</v>
      </c>
      <c r="AG840" t="s">
        <v>56</v>
      </c>
      <c r="AH840" t="s">
        <v>56</v>
      </c>
      <c r="AI840" t="s">
        <v>56</v>
      </c>
      <c r="AJ840" t="s">
        <v>463</v>
      </c>
      <c r="AK840" t="s">
        <v>464</v>
      </c>
      <c r="AL840" t="s">
        <v>56</v>
      </c>
      <c r="AM840" t="s">
        <v>56</v>
      </c>
      <c r="AN840" t="s">
        <v>56</v>
      </c>
      <c r="AO840" t="s">
        <v>56</v>
      </c>
      <c r="AP840" t="s">
        <v>56</v>
      </c>
      <c r="AQ840" t="s">
        <v>71</v>
      </c>
      <c r="AR840" t="s">
        <v>56</v>
      </c>
      <c r="AS840" t="s">
        <v>56</v>
      </c>
      <c r="AT840" t="s">
        <v>56</v>
      </c>
      <c r="AU840" t="s">
        <v>56</v>
      </c>
      <c r="AV840" t="s">
        <v>56</v>
      </c>
      <c r="AW840" t="s">
        <v>56</v>
      </c>
      <c r="AX840">
        <v>4</v>
      </c>
    </row>
    <row r="841" spans="1:50" x14ac:dyDescent="0.25">
      <c r="A841" t="str">
        <f>"20200127143017059379"</f>
        <v>20200127143017059379</v>
      </c>
      <c r="B841" t="s">
        <v>190</v>
      </c>
      <c r="C841" t="s">
        <v>190</v>
      </c>
      <c r="D841" t="s">
        <v>3663</v>
      </c>
      <c r="E841" t="str">
        <f>"200010222801"</f>
        <v>200010222801</v>
      </c>
      <c r="F841" t="s">
        <v>52</v>
      </c>
      <c r="G841">
        <v>901243826</v>
      </c>
      <c r="H841">
        <v>20001</v>
      </c>
      <c r="I841" t="s">
        <v>2719</v>
      </c>
      <c r="J841" t="s">
        <v>2720</v>
      </c>
      <c r="K841" t="s">
        <v>54</v>
      </c>
      <c r="L841">
        <v>8703687</v>
      </c>
      <c r="M841" t="s">
        <v>76</v>
      </c>
      <c r="N841" t="s">
        <v>424</v>
      </c>
      <c r="O841" t="s">
        <v>376</v>
      </c>
      <c r="P841" t="s">
        <v>675</v>
      </c>
      <c r="Q841">
        <v>2582</v>
      </c>
      <c r="R841" t="s">
        <v>54</v>
      </c>
      <c r="S841">
        <v>36485379</v>
      </c>
      <c r="T841" t="s">
        <v>3661</v>
      </c>
      <c r="U841" t="s">
        <v>1179</v>
      </c>
      <c r="V841" t="s">
        <v>3662</v>
      </c>
      <c r="W841" t="s">
        <v>3625</v>
      </c>
      <c r="X841" t="s">
        <v>462</v>
      </c>
      <c r="Y841" t="s">
        <v>86</v>
      </c>
      <c r="Z841">
        <v>12</v>
      </c>
      <c r="AA841" t="s">
        <v>65</v>
      </c>
      <c r="AB841" t="s">
        <v>56</v>
      </c>
      <c r="AC841" t="s">
        <v>56</v>
      </c>
      <c r="AD841">
        <v>0</v>
      </c>
      <c r="AE841" t="s">
        <v>66</v>
      </c>
      <c r="AF841" t="s">
        <v>56</v>
      </c>
      <c r="AG841" t="s">
        <v>56</v>
      </c>
      <c r="AH841" t="s">
        <v>56</v>
      </c>
      <c r="AI841" t="s">
        <v>56</v>
      </c>
      <c r="AJ841" t="s">
        <v>395</v>
      </c>
      <c r="AK841" t="s">
        <v>396</v>
      </c>
      <c r="AL841" t="s">
        <v>56</v>
      </c>
      <c r="AM841" t="s">
        <v>56</v>
      </c>
      <c r="AN841" t="s">
        <v>56</v>
      </c>
      <c r="AO841" t="s">
        <v>56</v>
      </c>
      <c r="AP841" t="s">
        <v>56</v>
      </c>
      <c r="AQ841" t="s">
        <v>71</v>
      </c>
      <c r="AR841" t="s">
        <v>56</v>
      </c>
      <c r="AS841" t="s">
        <v>56</v>
      </c>
      <c r="AT841" t="s">
        <v>56</v>
      </c>
      <c r="AU841" t="s">
        <v>56</v>
      </c>
      <c r="AV841" t="s">
        <v>56</v>
      </c>
      <c r="AW841" t="s">
        <v>56</v>
      </c>
      <c r="AX841">
        <v>4</v>
      </c>
    </row>
    <row r="842" spans="1:50" x14ac:dyDescent="0.25">
      <c r="A842" t="str">
        <f>"20200130195017143330"</f>
        <v>20200130195017143330</v>
      </c>
      <c r="B842" t="s">
        <v>124</v>
      </c>
      <c r="C842" t="s">
        <v>124</v>
      </c>
      <c r="D842" t="s">
        <v>3664</v>
      </c>
      <c r="E842" t="str">
        <f>"700010096901"</f>
        <v>700010096901</v>
      </c>
      <c r="F842" t="s">
        <v>52</v>
      </c>
      <c r="G842">
        <v>900118990</v>
      </c>
      <c r="H842">
        <v>70001</v>
      </c>
      <c r="I842" t="s">
        <v>869</v>
      </c>
      <c r="J842">
        <v>2761605</v>
      </c>
      <c r="K842" t="s">
        <v>54</v>
      </c>
      <c r="L842">
        <v>15041623</v>
      </c>
      <c r="M842" t="s">
        <v>870</v>
      </c>
      <c r="N842" t="s">
        <v>56</v>
      </c>
      <c r="O842" t="s">
        <v>129</v>
      </c>
      <c r="P842" t="s">
        <v>130</v>
      </c>
      <c r="Q842">
        <v>294</v>
      </c>
      <c r="R842" t="s">
        <v>54</v>
      </c>
      <c r="S842">
        <v>92026932</v>
      </c>
      <c r="T842" t="s">
        <v>234</v>
      </c>
      <c r="U842" t="s">
        <v>155</v>
      </c>
      <c r="V842" t="s">
        <v>109</v>
      </c>
      <c r="W842" t="s">
        <v>194</v>
      </c>
      <c r="X842" t="s">
        <v>605</v>
      </c>
      <c r="Y842" t="s">
        <v>330</v>
      </c>
      <c r="Z842">
        <v>12</v>
      </c>
      <c r="AA842" t="s">
        <v>65</v>
      </c>
      <c r="AB842" t="s">
        <v>56</v>
      </c>
      <c r="AC842" t="s">
        <v>56</v>
      </c>
      <c r="AD842">
        <v>0</v>
      </c>
      <c r="AE842" t="s">
        <v>66</v>
      </c>
      <c r="AF842" t="s">
        <v>56</v>
      </c>
      <c r="AG842" t="s">
        <v>56</v>
      </c>
      <c r="AH842" t="s">
        <v>56</v>
      </c>
      <c r="AI842" t="s">
        <v>56</v>
      </c>
      <c r="AJ842" t="s">
        <v>942</v>
      </c>
      <c r="AK842" t="s">
        <v>943</v>
      </c>
      <c r="AL842" t="s">
        <v>310</v>
      </c>
      <c r="AM842" t="s">
        <v>311</v>
      </c>
      <c r="AN842" t="s">
        <v>56</v>
      </c>
      <c r="AO842" t="s">
        <v>56</v>
      </c>
      <c r="AP842" t="s">
        <v>56</v>
      </c>
      <c r="AQ842" t="s">
        <v>71</v>
      </c>
      <c r="AR842" t="s">
        <v>56</v>
      </c>
      <c r="AS842" t="s">
        <v>56</v>
      </c>
      <c r="AT842" t="s">
        <v>56</v>
      </c>
      <c r="AU842" t="s">
        <v>56</v>
      </c>
      <c r="AV842" t="s">
        <v>56</v>
      </c>
      <c r="AW842" t="s">
        <v>56</v>
      </c>
      <c r="AX842">
        <v>4</v>
      </c>
    </row>
    <row r="843" spans="1:50" x14ac:dyDescent="0.25">
      <c r="A843" t="str">
        <f>"20200127151017049470"</f>
        <v>20200127151017049470</v>
      </c>
      <c r="B843" t="s">
        <v>190</v>
      </c>
      <c r="C843" t="s">
        <v>190</v>
      </c>
      <c r="D843" t="s">
        <v>3665</v>
      </c>
      <c r="E843" t="str">
        <f>"080010112201"</f>
        <v>080010112201</v>
      </c>
      <c r="F843" t="s">
        <v>52</v>
      </c>
      <c r="G843">
        <v>890108597</v>
      </c>
      <c r="H843" t="s">
        <v>112</v>
      </c>
      <c r="I843" t="s">
        <v>2457</v>
      </c>
      <c r="J843">
        <v>3565109</v>
      </c>
      <c r="K843" t="s">
        <v>54</v>
      </c>
      <c r="L843">
        <v>7464267</v>
      </c>
      <c r="M843" t="s">
        <v>250</v>
      </c>
      <c r="N843" t="s">
        <v>165</v>
      </c>
      <c r="O843" t="s">
        <v>134</v>
      </c>
      <c r="P843" t="s">
        <v>1334</v>
      </c>
      <c r="Q843">
        <v>18759</v>
      </c>
      <c r="R843" t="s">
        <v>237</v>
      </c>
      <c r="S843">
        <v>1047339328</v>
      </c>
      <c r="T843" t="s">
        <v>55</v>
      </c>
      <c r="U843" t="s">
        <v>205</v>
      </c>
      <c r="V843" t="s">
        <v>3666</v>
      </c>
      <c r="W843" t="s">
        <v>691</v>
      </c>
      <c r="X843" t="s">
        <v>443</v>
      </c>
      <c r="Y843" t="s">
        <v>121</v>
      </c>
      <c r="Z843">
        <v>12</v>
      </c>
      <c r="AA843" t="s">
        <v>65</v>
      </c>
      <c r="AB843" t="s">
        <v>56</v>
      </c>
      <c r="AC843" t="s">
        <v>56</v>
      </c>
      <c r="AD843">
        <v>0</v>
      </c>
      <c r="AE843" t="s">
        <v>66</v>
      </c>
      <c r="AF843" t="s">
        <v>56</v>
      </c>
      <c r="AG843" t="s">
        <v>56</v>
      </c>
      <c r="AH843" t="s">
        <v>56</v>
      </c>
      <c r="AI843" t="s">
        <v>56</v>
      </c>
      <c r="AJ843" t="s">
        <v>930</v>
      </c>
      <c r="AK843" t="s">
        <v>931</v>
      </c>
      <c r="AL843" t="s">
        <v>56</v>
      </c>
      <c r="AM843" t="s">
        <v>56</v>
      </c>
      <c r="AN843" t="s">
        <v>56</v>
      </c>
      <c r="AO843" t="s">
        <v>56</v>
      </c>
      <c r="AP843" t="s">
        <v>56</v>
      </c>
      <c r="AQ843" t="s">
        <v>71</v>
      </c>
      <c r="AR843" t="s">
        <v>56</v>
      </c>
      <c r="AS843" t="s">
        <v>56</v>
      </c>
      <c r="AT843" t="s">
        <v>56</v>
      </c>
      <c r="AU843" t="s">
        <v>56</v>
      </c>
      <c r="AV843" t="s">
        <v>56</v>
      </c>
      <c r="AW843" t="s">
        <v>56</v>
      </c>
      <c r="AX843">
        <v>4</v>
      </c>
    </row>
    <row r="844" spans="1:50" x14ac:dyDescent="0.25">
      <c r="A844" t="str">
        <f>"20200129183017118766"</f>
        <v>20200129183017118766</v>
      </c>
      <c r="B844" t="s">
        <v>72</v>
      </c>
      <c r="C844" t="s">
        <v>72</v>
      </c>
      <c r="D844" t="s">
        <v>3667</v>
      </c>
      <c r="E844" t="str">
        <f>"700010003801"</f>
        <v>700010003801</v>
      </c>
      <c r="F844" t="s">
        <v>52</v>
      </c>
      <c r="G844">
        <v>823003317</v>
      </c>
      <c r="H844">
        <v>70001</v>
      </c>
      <c r="I844" t="s">
        <v>323</v>
      </c>
      <c r="J844">
        <v>2818471</v>
      </c>
      <c r="K844" t="s">
        <v>54</v>
      </c>
      <c r="L844">
        <v>78711673</v>
      </c>
      <c r="M844" t="s">
        <v>3259</v>
      </c>
      <c r="N844" t="s">
        <v>56</v>
      </c>
      <c r="O844" t="s">
        <v>1548</v>
      </c>
      <c r="P844" t="s">
        <v>560</v>
      </c>
      <c r="Q844">
        <v>78711673</v>
      </c>
      <c r="R844" t="s">
        <v>237</v>
      </c>
      <c r="S844">
        <v>1187464117</v>
      </c>
      <c r="T844" t="s">
        <v>55</v>
      </c>
      <c r="U844" t="s">
        <v>62</v>
      </c>
      <c r="V844" t="s">
        <v>3668</v>
      </c>
      <c r="W844" t="s">
        <v>315</v>
      </c>
      <c r="X844" t="s">
        <v>329</v>
      </c>
      <c r="Y844" t="s">
        <v>330</v>
      </c>
      <c r="Z844">
        <v>12</v>
      </c>
      <c r="AA844" t="s">
        <v>65</v>
      </c>
      <c r="AB844" t="s">
        <v>56</v>
      </c>
      <c r="AC844" t="s">
        <v>56</v>
      </c>
      <c r="AD844">
        <v>0</v>
      </c>
      <c r="AE844" t="s">
        <v>66</v>
      </c>
      <c r="AF844" t="s">
        <v>56</v>
      </c>
      <c r="AG844" t="s">
        <v>56</v>
      </c>
      <c r="AH844" t="s">
        <v>56</v>
      </c>
      <c r="AI844" t="s">
        <v>56</v>
      </c>
      <c r="AJ844" t="s">
        <v>1676</v>
      </c>
      <c r="AK844" t="s">
        <v>1677</v>
      </c>
      <c r="AL844" t="s">
        <v>56</v>
      </c>
      <c r="AM844" t="s">
        <v>56</v>
      </c>
      <c r="AN844" t="s">
        <v>56</v>
      </c>
      <c r="AO844" t="s">
        <v>56</v>
      </c>
      <c r="AP844" t="s">
        <v>56</v>
      </c>
      <c r="AQ844" t="s">
        <v>71</v>
      </c>
      <c r="AR844" t="s">
        <v>56</v>
      </c>
      <c r="AS844" t="s">
        <v>56</v>
      </c>
      <c r="AT844" t="s">
        <v>56</v>
      </c>
      <c r="AU844" t="s">
        <v>56</v>
      </c>
      <c r="AV844" t="s">
        <v>56</v>
      </c>
      <c r="AW844" t="s">
        <v>56</v>
      </c>
      <c r="AX844">
        <v>4</v>
      </c>
    </row>
    <row r="845" spans="1:50" x14ac:dyDescent="0.25">
      <c r="A845" t="str">
        <f>"20200124180017009275"</f>
        <v>20200124180017009275</v>
      </c>
      <c r="B845" t="s">
        <v>201</v>
      </c>
      <c r="C845" t="s">
        <v>201</v>
      </c>
      <c r="D845" t="s">
        <v>3669</v>
      </c>
      <c r="E845" t="str">
        <f>"761470371502"</f>
        <v>761470371502</v>
      </c>
      <c r="F845" t="s">
        <v>52</v>
      </c>
      <c r="G845">
        <v>890303841</v>
      </c>
      <c r="H845">
        <v>76147</v>
      </c>
      <c r="I845" t="s">
        <v>359</v>
      </c>
      <c r="J845">
        <v>2132425</v>
      </c>
      <c r="K845" t="s">
        <v>54</v>
      </c>
      <c r="L845">
        <v>16830715</v>
      </c>
      <c r="M845" t="s">
        <v>127</v>
      </c>
      <c r="N845" t="s">
        <v>360</v>
      </c>
      <c r="O845" t="s">
        <v>361</v>
      </c>
      <c r="P845" t="s">
        <v>362</v>
      </c>
      <c r="Q845">
        <v>1913</v>
      </c>
      <c r="R845" t="s">
        <v>54</v>
      </c>
      <c r="S845">
        <v>2533053</v>
      </c>
      <c r="T845" t="s">
        <v>3486</v>
      </c>
      <c r="U845" t="s">
        <v>62</v>
      </c>
      <c r="V845" t="s">
        <v>977</v>
      </c>
      <c r="W845" t="s">
        <v>62</v>
      </c>
      <c r="X845" t="s">
        <v>573</v>
      </c>
      <c r="Y845" t="s">
        <v>64</v>
      </c>
      <c r="Z845">
        <v>11</v>
      </c>
      <c r="AA845" t="s">
        <v>87</v>
      </c>
      <c r="AB845" t="s">
        <v>56</v>
      </c>
      <c r="AC845" t="s">
        <v>56</v>
      </c>
      <c r="AD845">
        <v>0</v>
      </c>
      <c r="AE845" t="s">
        <v>66</v>
      </c>
      <c r="AF845" t="s">
        <v>56</v>
      </c>
      <c r="AG845" t="s">
        <v>56</v>
      </c>
      <c r="AH845" t="s">
        <v>56</v>
      </c>
      <c r="AI845" t="s">
        <v>56</v>
      </c>
      <c r="AJ845" t="s">
        <v>365</v>
      </c>
      <c r="AK845" t="s">
        <v>366</v>
      </c>
      <c r="AL845" t="s">
        <v>215</v>
      </c>
      <c r="AM845" t="s">
        <v>216</v>
      </c>
      <c r="AN845" t="s">
        <v>56</v>
      </c>
      <c r="AO845" t="s">
        <v>56</v>
      </c>
      <c r="AP845" t="s">
        <v>56</v>
      </c>
      <c r="AQ845" t="s">
        <v>71</v>
      </c>
      <c r="AR845" t="s">
        <v>56</v>
      </c>
      <c r="AS845" t="s">
        <v>56</v>
      </c>
      <c r="AT845" t="s">
        <v>56</v>
      </c>
      <c r="AU845" t="s">
        <v>56</v>
      </c>
      <c r="AV845" t="s">
        <v>56</v>
      </c>
      <c r="AW845" t="s">
        <v>56</v>
      </c>
      <c r="AX845">
        <v>4</v>
      </c>
    </row>
    <row r="846" spans="1:50" x14ac:dyDescent="0.25">
      <c r="A846" t="str">
        <f>"20200129188017122162"</f>
        <v>20200129188017122162</v>
      </c>
      <c r="B846" t="s">
        <v>72</v>
      </c>
      <c r="C846" t="s">
        <v>72</v>
      </c>
      <c r="D846" t="s">
        <v>3670</v>
      </c>
      <c r="E846" t="str">
        <f>"080010025301"</f>
        <v>080010025301</v>
      </c>
      <c r="F846" t="s">
        <v>52</v>
      </c>
      <c r="G846">
        <v>800033723</v>
      </c>
      <c r="H846" t="s">
        <v>112</v>
      </c>
      <c r="I846" t="s">
        <v>763</v>
      </c>
      <c r="J846">
        <v>3681522</v>
      </c>
      <c r="K846" t="s">
        <v>54</v>
      </c>
      <c r="L846">
        <v>72005091</v>
      </c>
      <c r="M846" t="s">
        <v>764</v>
      </c>
      <c r="N846" t="s">
        <v>132</v>
      </c>
      <c r="O846" t="s">
        <v>528</v>
      </c>
      <c r="P846" t="s">
        <v>765</v>
      </c>
      <c r="Q846" t="s">
        <v>766</v>
      </c>
      <c r="R846" t="s">
        <v>54</v>
      </c>
      <c r="S846">
        <v>13715133</v>
      </c>
      <c r="T846" t="s">
        <v>76</v>
      </c>
      <c r="U846" t="s">
        <v>380</v>
      </c>
      <c r="V846" t="s">
        <v>3671</v>
      </c>
      <c r="W846" t="s">
        <v>1711</v>
      </c>
      <c r="X846" t="s">
        <v>120</v>
      </c>
      <c r="Y846" t="s">
        <v>121</v>
      </c>
      <c r="Z846">
        <v>12</v>
      </c>
      <c r="AA846" t="s">
        <v>65</v>
      </c>
      <c r="AB846" t="s">
        <v>56</v>
      </c>
      <c r="AC846" t="s">
        <v>56</v>
      </c>
      <c r="AD846">
        <v>0</v>
      </c>
      <c r="AE846" t="s">
        <v>66</v>
      </c>
      <c r="AF846" t="s">
        <v>56</v>
      </c>
      <c r="AG846" t="s">
        <v>56</v>
      </c>
      <c r="AH846" t="s">
        <v>56</v>
      </c>
      <c r="AI846" t="s">
        <v>56</v>
      </c>
      <c r="AJ846" t="s">
        <v>454</v>
      </c>
      <c r="AK846" t="s">
        <v>455</v>
      </c>
      <c r="AL846" t="s">
        <v>56</v>
      </c>
      <c r="AM846" t="s">
        <v>56</v>
      </c>
      <c r="AN846" t="s">
        <v>56</v>
      </c>
      <c r="AO846" t="s">
        <v>56</v>
      </c>
      <c r="AP846" t="s">
        <v>56</v>
      </c>
      <c r="AQ846" t="s">
        <v>71</v>
      </c>
      <c r="AR846" t="s">
        <v>56</v>
      </c>
      <c r="AS846" t="s">
        <v>56</v>
      </c>
      <c r="AT846" t="s">
        <v>56</v>
      </c>
      <c r="AU846" t="s">
        <v>56</v>
      </c>
      <c r="AV846" t="s">
        <v>56</v>
      </c>
      <c r="AW846" t="s">
        <v>56</v>
      </c>
      <c r="AX846">
        <v>4</v>
      </c>
    </row>
    <row r="847" spans="1:50" x14ac:dyDescent="0.25">
      <c r="A847" t="str">
        <f>"20200130154017132820"</f>
        <v>20200130154017132820</v>
      </c>
      <c r="B847" t="s">
        <v>124</v>
      </c>
      <c r="C847" t="s">
        <v>124</v>
      </c>
      <c r="D847" t="s">
        <v>3672</v>
      </c>
      <c r="E847" t="str">
        <f>"230010048201"</f>
        <v>230010048201</v>
      </c>
      <c r="F847" t="s">
        <v>52</v>
      </c>
      <c r="G847">
        <v>891079999</v>
      </c>
      <c r="H847">
        <v>23001</v>
      </c>
      <c r="I847" t="s">
        <v>126</v>
      </c>
      <c r="J847">
        <v>7958135</v>
      </c>
      <c r="K847" t="s">
        <v>54</v>
      </c>
      <c r="L847">
        <v>15039480</v>
      </c>
      <c r="M847" t="s">
        <v>127</v>
      </c>
      <c r="N847" t="s">
        <v>128</v>
      </c>
      <c r="O847" t="s">
        <v>129</v>
      </c>
      <c r="P847" t="s">
        <v>130</v>
      </c>
      <c r="Q847">
        <v>15039480</v>
      </c>
      <c r="R847" t="s">
        <v>54</v>
      </c>
      <c r="S847">
        <v>11030283</v>
      </c>
      <c r="T847" t="s">
        <v>3673</v>
      </c>
      <c r="U847" t="s">
        <v>155</v>
      </c>
      <c r="V847" t="s">
        <v>3674</v>
      </c>
      <c r="W847" t="s">
        <v>1400</v>
      </c>
      <c r="X847" t="s">
        <v>2114</v>
      </c>
      <c r="Y847" t="s">
        <v>136</v>
      </c>
      <c r="Z847">
        <v>11</v>
      </c>
      <c r="AA847" t="s">
        <v>87</v>
      </c>
      <c r="AB847" t="s">
        <v>56</v>
      </c>
      <c r="AC847" t="s">
        <v>56</v>
      </c>
      <c r="AD847">
        <v>0</v>
      </c>
      <c r="AE847" t="s">
        <v>66</v>
      </c>
      <c r="AF847" t="s">
        <v>56</v>
      </c>
      <c r="AG847" t="s">
        <v>56</v>
      </c>
      <c r="AH847" t="s">
        <v>56</v>
      </c>
      <c r="AI847" t="s">
        <v>56</v>
      </c>
      <c r="AJ847" t="s">
        <v>2424</v>
      </c>
      <c r="AK847" t="s">
        <v>2425</v>
      </c>
      <c r="AL847" t="s">
        <v>56</v>
      </c>
      <c r="AM847" t="s">
        <v>56</v>
      </c>
      <c r="AN847" t="s">
        <v>56</v>
      </c>
      <c r="AO847" t="s">
        <v>56</v>
      </c>
      <c r="AP847" t="s">
        <v>56</v>
      </c>
      <c r="AQ847" t="s">
        <v>71</v>
      </c>
      <c r="AR847" t="s">
        <v>56</v>
      </c>
      <c r="AS847" t="s">
        <v>56</v>
      </c>
      <c r="AT847" t="s">
        <v>56</v>
      </c>
      <c r="AU847" t="s">
        <v>56</v>
      </c>
      <c r="AV847" t="s">
        <v>56</v>
      </c>
      <c r="AW847" t="s">
        <v>56</v>
      </c>
      <c r="AX847">
        <v>4</v>
      </c>
    </row>
    <row r="848" spans="1:50" x14ac:dyDescent="0.25">
      <c r="A848" t="str">
        <f>"20200128128017081532"</f>
        <v>20200128128017081532</v>
      </c>
      <c r="B848" t="s">
        <v>151</v>
      </c>
      <c r="C848" t="s">
        <v>151</v>
      </c>
      <c r="D848" t="s">
        <v>3675</v>
      </c>
      <c r="E848" t="str">
        <f>"080010003601"</f>
        <v>080010003601</v>
      </c>
      <c r="F848" t="s">
        <v>52</v>
      </c>
      <c r="G848">
        <v>802000955</v>
      </c>
      <c r="H848" t="s">
        <v>112</v>
      </c>
      <c r="I848" t="s">
        <v>218</v>
      </c>
      <c r="J848" t="s">
        <v>56</v>
      </c>
      <c r="K848" t="s">
        <v>54</v>
      </c>
      <c r="L848">
        <v>22673633</v>
      </c>
      <c r="M848" t="s">
        <v>2211</v>
      </c>
      <c r="N848" t="s">
        <v>59</v>
      </c>
      <c r="O848" t="s">
        <v>1025</v>
      </c>
      <c r="P848" t="s">
        <v>1015</v>
      </c>
      <c r="Q848" t="s">
        <v>2978</v>
      </c>
      <c r="R848" t="s">
        <v>54</v>
      </c>
      <c r="S848">
        <v>37938057</v>
      </c>
      <c r="T848" t="s">
        <v>3676</v>
      </c>
      <c r="U848" t="s">
        <v>2455</v>
      </c>
      <c r="V848" t="s">
        <v>3677</v>
      </c>
      <c r="W848" t="s">
        <v>775</v>
      </c>
      <c r="X848" t="s">
        <v>120</v>
      </c>
      <c r="Y848" t="s">
        <v>121</v>
      </c>
      <c r="Z848">
        <v>12</v>
      </c>
      <c r="AA848" t="s">
        <v>65</v>
      </c>
      <c r="AB848" t="s">
        <v>56</v>
      </c>
      <c r="AC848" t="s">
        <v>56</v>
      </c>
      <c r="AD848">
        <v>0</v>
      </c>
      <c r="AE848" t="s">
        <v>66</v>
      </c>
      <c r="AF848" t="s">
        <v>56</v>
      </c>
      <c r="AG848" t="s">
        <v>56</v>
      </c>
      <c r="AH848" t="s">
        <v>56</v>
      </c>
      <c r="AI848" t="s">
        <v>56</v>
      </c>
      <c r="AJ848" t="s">
        <v>545</v>
      </c>
      <c r="AK848" t="s">
        <v>546</v>
      </c>
      <c r="AL848" t="s">
        <v>56</v>
      </c>
      <c r="AM848" t="s">
        <v>56</v>
      </c>
      <c r="AN848" t="s">
        <v>56</v>
      </c>
      <c r="AO848" t="s">
        <v>56</v>
      </c>
      <c r="AP848" t="s">
        <v>56</v>
      </c>
      <c r="AQ848" t="s">
        <v>71</v>
      </c>
      <c r="AR848" t="s">
        <v>56</v>
      </c>
      <c r="AS848" t="s">
        <v>56</v>
      </c>
      <c r="AT848" t="s">
        <v>56</v>
      </c>
      <c r="AU848" t="s">
        <v>56</v>
      </c>
      <c r="AV848" t="s">
        <v>56</v>
      </c>
      <c r="AW848" t="s">
        <v>56</v>
      </c>
      <c r="AX848">
        <v>4</v>
      </c>
    </row>
    <row r="849" spans="1:50" x14ac:dyDescent="0.25">
      <c r="A849" t="str">
        <f>"20200124120017001781"</f>
        <v>20200124120017001781</v>
      </c>
      <c r="B849" t="s">
        <v>201</v>
      </c>
      <c r="C849" t="s">
        <v>201</v>
      </c>
      <c r="D849" t="s">
        <v>3678</v>
      </c>
      <c r="E849" t="str">
        <f>"200600164501"</f>
        <v>200600164501</v>
      </c>
      <c r="F849" t="s">
        <v>52</v>
      </c>
      <c r="G849">
        <v>900498069</v>
      </c>
      <c r="H849">
        <v>20060</v>
      </c>
      <c r="I849" t="s">
        <v>2186</v>
      </c>
      <c r="J849">
        <v>301693038</v>
      </c>
      <c r="K849" t="s">
        <v>338</v>
      </c>
      <c r="L849">
        <v>497500</v>
      </c>
      <c r="M849" t="s">
        <v>1091</v>
      </c>
      <c r="N849" t="s">
        <v>76</v>
      </c>
      <c r="O849" t="s">
        <v>3679</v>
      </c>
      <c r="P849" t="s">
        <v>2902</v>
      </c>
      <c r="Q849">
        <v>497500</v>
      </c>
      <c r="R849" t="s">
        <v>54</v>
      </c>
      <c r="S849">
        <v>36710433</v>
      </c>
      <c r="T849" t="s">
        <v>934</v>
      </c>
      <c r="U849" t="s">
        <v>296</v>
      </c>
      <c r="V849" t="s">
        <v>298</v>
      </c>
      <c r="W849" t="s">
        <v>179</v>
      </c>
      <c r="X849" t="s">
        <v>2722</v>
      </c>
      <c r="Y849" t="s">
        <v>86</v>
      </c>
      <c r="Z849">
        <v>12</v>
      </c>
      <c r="AA849" t="s">
        <v>65</v>
      </c>
      <c r="AB849" t="s">
        <v>56</v>
      </c>
      <c r="AC849" t="s">
        <v>56</v>
      </c>
      <c r="AD849">
        <v>0</v>
      </c>
      <c r="AE849" t="s">
        <v>66</v>
      </c>
      <c r="AF849" t="s">
        <v>56</v>
      </c>
      <c r="AG849" t="s">
        <v>56</v>
      </c>
      <c r="AH849" t="s">
        <v>56</v>
      </c>
      <c r="AI849" t="s">
        <v>56</v>
      </c>
      <c r="AJ849" t="s">
        <v>1989</v>
      </c>
      <c r="AK849" t="s">
        <v>1990</v>
      </c>
      <c r="AL849" t="s">
        <v>56</v>
      </c>
      <c r="AM849" t="s">
        <v>56</v>
      </c>
      <c r="AN849" t="s">
        <v>56</v>
      </c>
      <c r="AO849" t="s">
        <v>56</v>
      </c>
      <c r="AP849" t="s">
        <v>56</v>
      </c>
      <c r="AQ849" t="s">
        <v>71</v>
      </c>
      <c r="AR849" t="s">
        <v>56</v>
      </c>
      <c r="AS849" t="s">
        <v>56</v>
      </c>
      <c r="AT849" t="s">
        <v>56</v>
      </c>
      <c r="AU849" t="s">
        <v>56</v>
      </c>
      <c r="AV849" t="s">
        <v>56</v>
      </c>
      <c r="AW849" t="s">
        <v>56</v>
      </c>
      <c r="AX849">
        <v>4</v>
      </c>
    </row>
    <row r="850" spans="1:50" x14ac:dyDescent="0.25">
      <c r="A850" t="str">
        <f>"20200128130017074208"</f>
        <v>20200128130017074208</v>
      </c>
      <c r="B850" t="s">
        <v>151</v>
      </c>
      <c r="C850" t="s">
        <v>151</v>
      </c>
      <c r="D850" t="s">
        <v>3680</v>
      </c>
      <c r="E850" t="str">
        <f>"470580002301"</f>
        <v>470580002301</v>
      </c>
      <c r="F850" t="s">
        <v>52</v>
      </c>
      <c r="G850">
        <v>819001107</v>
      </c>
      <c r="H850">
        <v>47058</v>
      </c>
      <c r="I850" t="s">
        <v>626</v>
      </c>
      <c r="J850">
        <v>4258152</v>
      </c>
      <c r="K850" t="s">
        <v>54</v>
      </c>
      <c r="L850">
        <v>1129508619</v>
      </c>
      <c r="M850" t="s">
        <v>1721</v>
      </c>
      <c r="N850" t="s">
        <v>519</v>
      </c>
      <c r="O850" t="s">
        <v>364</v>
      </c>
      <c r="P850" t="s">
        <v>355</v>
      </c>
      <c r="Q850" t="s">
        <v>3681</v>
      </c>
      <c r="R850" t="s">
        <v>440</v>
      </c>
      <c r="S850">
        <v>1081004442</v>
      </c>
      <c r="T850" t="s">
        <v>702</v>
      </c>
      <c r="U850" t="s">
        <v>62</v>
      </c>
      <c r="V850" t="s">
        <v>84</v>
      </c>
      <c r="W850" t="s">
        <v>3045</v>
      </c>
      <c r="X850" t="s">
        <v>344</v>
      </c>
      <c r="Y850" t="s">
        <v>345</v>
      </c>
      <c r="Z850">
        <v>11</v>
      </c>
      <c r="AA850" t="s">
        <v>87</v>
      </c>
      <c r="AB850" t="s">
        <v>56</v>
      </c>
      <c r="AC850" t="s">
        <v>56</v>
      </c>
      <c r="AD850">
        <v>0</v>
      </c>
      <c r="AE850" t="s">
        <v>66</v>
      </c>
      <c r="AF850" t="s">
        <v>56</v>
      </c>
      <c r="AG850" t="s">
        <v>56</v>
      </c>
      <c r="AH850" t="s">
        <v>56</v>
      </c>
      <c r="AI850" t="s">
        <v>56</v>
      </c>
      <c r="AJ850" t="s">
        <v>3682</v>
      </c>
      <c r="AK850" t="s">
        <v>3683</v>
      </c>
      <c r="AL850" t="s">
        <v>56</v>
      </c>
      <c r="AM850" t="s">
        <v>56</v>
      </c>
      <c r="AN850" t="s">
        <v>56</v>
      </c>
      <c r="AO850" t="s">
        <v>56</v>
      </c>
      <c r="AP850" t="s">
        <v>56</v>
      </c>
      <c r="AQ850" t="s">
        <v>71</v>
      </c>
      <c r="AR850" t="s">
        <v>56</v>
      </c>
      <c r="AS850" t="s">
        <v>56</v>
      </c>
      <c r="AT850" t="s">
        <v>56</v>
      </c>
      <c r="AU850" t="s">
        <v>56</v>
      </c>
      <c r="AV850" t="s">
        <v>56</v>
      </c>
      <c r="AW850" t="s">
        <v>56</v>
      </c>
      <c r="AX850">
        <v>4</v>
      </c>
    </row>
    <row r="851" spans="1:50" x14ac:dyDescent="0.25">
      <c r="A851" t="str">
        <f>"20200130138017134186"</f>
        <v>20200130138017134186</v>
      </c>
      <c r="B851" t="s">
        <v>124</v>
      </c>
      <c r="C851" t="s">
        <v>124</v>
      </c>
      <c r="D851" t="s">
        <v>3684</v>
      </c>
      <c r="E851" t="str">
        <f>"080010349401"</f>
        <v>080010349401</v>
      </c>
      <c r="F851" t="s">
        <v>52</v>
      </c>
      <c r="G851">
        <v>900458308</v>
      </c>
      <c r="H851" t="s">
        <v>112</v>
      </c>
      <c r="I851" t="s">
        <v>370</v>
      </c>
      <c r="J851" t="s">
        <v>371</v>
      </c>
      <c r="K851" t="s">
        <v>54</v>
      </c>
      <c r="L851">
        <v>1143378811</v>
      </c>
      <c r="M851" t="s">
        <v>372</v>
      </c>
      <c r="N851" t="s">
        <v>373</v>
      </c>
      <c r="O851" t="s">
        <v>109</v>
      </c>
      <c r="P851" t="s">
        <v>374</v>
      </c>
      <c r="Q851">
        <v>1143378811</v>
      </c>
      <c r="R851" t="s">
        <v>54</v>
      </c>
      <c r="S851">
        <v>22266197</v>
      </c>
      <c r="T851" t="s">
        <v>2092</v>
      </c>
      <c r="U851" t="s">
        <v>3685</v>
      </c>
      <c r="V851" t="s">
        <v>3686</v>
      </c>
      <c r="W851" t="s">
        <v>403</v>
      </c>
      <c r="X851" t="s">
        <v>299</v>
      </c>
      <c r="Y851" t="s">
        <v>121</v>
      </c>
      <c r="Z851">
        <v>12</v>
      </c>
      <c r="AA851" t="s">
        <v>65</v>
      </c>
      <c r="AB851" t="s">
        <v>56</v>
      </c>
      <c r="AC851" t="s">
        <v>56</v>
      </c>
      <c r="AD851">
        <v>0</v>
      </c>
      <c r="AE851" t="s">
        <v>66</v>
      </c>
      <c r="AF851" t="s">
        <v>56</v>
      </c>
      <c r="AG851" t="s">
        <v>56</v>
      </c>
      <c r="AH851" t="s">
        <v>56</v>
      </c>
      <c r="AI851" t="s">
        <v>56</v>
      </c>
      <c r="AJ851" t="s">
        <v>828</v>
      </c>
      <c r="AK851" t="s">
        <v>829</v>
      </c>
      <c r="AL851" t="s">
        <v>56</v>
      </c>
      <c r="AM851" t="s">
        <v>56</v>
      </c>
      <c r="AN851" t="s">
        <v>56</v>
      </c>
      <c r="AO851" t="s">
        <v>56</v>
      </c>
      <c r="AP851" t="s">
        <v>56</v>
      </c>
      <c r="AQ851" t="s">
        <v>71</v>
      </c>
      <c r="AR851" t="s">
        <v>56</v>
      </c>
      <c r="AS851" t="s">
        <v>56</v>
      </c>
      <c r="AT851" t="s">
        <v>56</v>
      </c>
      <c r="AU851" t="s">
        <v>56</v>
      </c>
      <c r="AV851" t="s">
        <v>56</v>
      </c>
      <c r="AW851" t="s">
        <v>56</v>
      </c>
      <c r="AX851">
        <v>4</v>
      </c>
    </row>
    <row r="852" spans="1:50" x14ac:dyDescent="0.25">
      <c r="A852" t="str">
        <f>"20200131171017171794"</f>
        <v>20200131171017171794</v>
      </c>
      <c r="B852" t="s">
        <v>110</v>
      </c>
      <c r="C852" t="s">
        <v>110</v>
      </c>
      <c r="D852" t="s">
        <v>3687</v>
      </c>
      <c r="E852" t="str">
        <f>"080010030801"</f>
        <v>080010030801</v>
      </c>
      <c r="F852" t="s">
        <v>52</v>
      </c>
      <c r="G852">
        <v>800218024</v>
      </c>
      <c r="H852" t="s">
        <v>112</v>
      </c>
      <c r="I852" t="s">
        <v>1534</v>
      </c>
      <c r="J852">
        <v>3852808</v>
      </c>
      <c r="K852" t="s">
        <v>54</v>
      </c>
      <c r="L852">
        <v>19345831</v>
      </c>
      <c r="M852" t="s">
        <v>423</v>
      </c>
      <c r="N852" t="s">
        <v>261</v>
      </c>
      <c r="O852" t="s">
        <v>1535</v>
      </c>
      <c r="P852" t="s">
        <v>1536</v>
      </c>
      <c r="Q852" t="s">
        <v>1537</v>
      </c>
      <c r="R852" t="s">
        <v>54</v>
      </c>
      <c r="S852">
        <v>22371269</v>
      </c>
      <c r="T852" t="s">
        <v>3688</v>
      </c>
      <c r="U852" t="s">
        <v>117</v>
      </c>
      <c r="V852" t="s">
        <v>3689</v>
      </c>
      <c r="W852" t="s">
        <v>2104</v>
      </c>
      <c r="X852" t="s">
        <v>299</v>
      </c>
      <c r="Y852" t="s">
        <v>121</v>
      </c>
      <c r="Z852">
        <v>12</v>
      </c>
      <c r="AA852" t="s">
        <v>65</v>
      </c>
      <c r="AB852" t="s">
        <v>56</v>
      </c>
      <c r="AC852" t="s">
        <v>56</v>
      </c>
      <c r="AD852">
        <v>0</v>
      </c>
      <c r="AE852" t="s">
        <v>66</v>
      </c>
      <c r="AF852" t="s">
        <v>56</v>
      </c>
      <c r="AG852" t="s">
        <v>56</v>
      </c>
      <c r="AH852" t="s">
        <v>56</v>
      </c>
      <c r="AI852" t="s">
        <v>56</v>
      </c>
      <c r="AJ852" t="s">
        <v>2444</v>
      </c>
      <c r="AK852" t="s">
        <v>2445</v>
      </c>
      <c r="AL852" t="s">
        <v>56</v>
      </c>
      <c r="AM852" t="s">
        <v>56</v>
      </c>
      <c r="AN852" t="s">
        <v>56</v>
      </c>
      <c r="AO852" t="s">
        <v>56</v>
      </c>
      <c r="AP852" t="s">
        <v>56</v>
      </c>
      <c r="AQ852" t="s">
        <v>71</v>
      </c>
      <c r="AR852" t="s">
        <v>56</v>
      </c>
      <c r="AS852" t="s">
        <v>56</v>
      </c>
      <c r="AT852" t="s">
        <v>56</v>
      </c>
      <c r="AU852" t="s">
        <v>56</v>
      </c>
      <c r="AV852" t="s">
        <v>56</v>
      </c>
      <c r="AW852" t="s">
        <v>56</v>
      </c>
      <c r="AX852">
        <v>4</v>
      </c>
    </row>
    <row r="853" spans="1:50" x14ac:dyDescent="0.25">
      <c r="A853" t="str">
        <f>"20200128170017095802"</f>
        <v>20200128170017095802</v>
      </c>
      <c r="B853" t="s">
        <v>151</v>
      </c>
      <c r="C853" t="s">
        <v>151</v>
      </c>
      <c r="D853" t="s">
        <v>3690</v>
      </c>
      <c r="E853" t="str">
        <f>"085730086901"</f>
        <v>085730086901</v>
      </c>
      <c r="F853" t="s">
        <v>52</v>
      </c>
      <c r="G853">
        <v>900617858</v>
      </c>
      <c r="H853" t="s">
        <v>1605</v>
      </c>
      <c r="I853" t="s">
        <v>2564</v>
      </c>
      <c r="J853">
        <v>3584047</v>
      </c>
      <c r="K853" t="s">
        <v>54</v>
      </c>
      <c r="L853">
        <v>73192539</v>
      </c>
      <c r="M853" t="s">
        <v>2565</v>
      </c>
      <c r="N853" t="s">
        <v>56</v>
      </c>
      <c r="O853" t="s">
        <v>2566</v>
      </c>
      <c r="P853" t="s">
        <v>207</v>
      </c>
      <c r="Q853">
        <v>2312</v>
      </c>
      <c r="R853" t="s">
        <v>54</v>
      </c>
      <c r="S853">
        <v>22739482</v>
      </c>
      <c r="T853" t="s">
        <v>3691</v>
      </c>
      <c r="U853" t="s">
        <v>296</v>
      </c>
      <c r="V853" t="s">
        <v>343</v>
      </c>
      <c r="W853" t="s">
        <v>911</v>
      </c>
      <c r="X853" t="s">
        <v>120</v>
      </c>
      <c r="Y853" t="s">
        <v>121</v>
      </c>
      <c r="Z853">
        <v>12</v>
      </c>
      <c r="AA853" t="s">
        <v>65</v>
      </c>
      <c r="AB853" t="s">
        <v>56</v>
      </c>
      <c r="AC853" t="s">
        <v>56</v>
      </c>
      <c r="AD853">
        <v>0</v>
      </c>
      <c r="AE853" t="s">
        <v>66</v>
      </c>
      <c r="AF853" t="s">
        <v>56</v>
      </c>
      <c r="AG853" t="s">
        <v>56</v>
      </c>
      <c r="AH853" t="s">
        <v>56</v>
      </c>
      <c r="AI853" t="s">
        <v>56</v>
      </c>
      <c r="AJ853" t="s">
        <v>3692</v>
      </c>
      <c r="AK853" t="s">
        <v>3693</v>
      </c>
      <c r="AL853" t="s">
        <v>56</v>
      </c>
      <c r="AM853" t="s">
        <v>56</v>
      </c>
      <c r="AN853" t="s">
        <v>56</v>
      </c>
      <c r="AO853" t="s">
        <v>56</v>
      </c>
      <c r="AP853" t="s">
        <v>56</v>
      </c>
      <c r="AQ853" t="s">
        <v>71</v>
      </c>
      <c r="AR853" t="s">
        <v>56</v>
      </c>
      <c r="AS853" t="s">
        <v>56</v>
      </c>
      <c r="AT853" t="s">
        <v>56</v>
      </c>
      <c r="AU853" t="s">
        <v>56</v>
      </c>
      <c r="AV853" t="s">
        <v>56</v>
      </c>
      <c r="AW853" t="s">
        <v>56</v>
      </c>
      <c r="AX853">
        <v>4</v>
      </c>
    </row>
    <row r="854" spans="1:50" x14ac:dyDescent="0.25">
      <c r="A854" t="str">
        <f>"20200130170017154460"</f>
        <v>20200130170017154460</v>
      </c>
      <c r="B854" t="s">
        <v>124</v>
      </c>
      <c r="C854" t="s">
        <v>124</v>
      </c>
      <c r="D854" t="s">
        <v>3694</v>
      </c>
      <c r="E854" t="str">
        <f>"080010003601"</f>
        <v>080010003601</v>
      </c>
      <c r="F854" t="s">
        <v>52</v>
      </c>
      <c r="G854">
        <v>802000955</v>
      </c>
      <c r="H854" t="s">
        <v>112</v>
      </c>
      <c r="I854" t="s">
        <v>218</v>
      </c>
      <c r="J854" t="s">
        <v>56</v>
      </c>
      <c r="K854" t="s">
        <v>54</v>
      </c>
      <c r="L854">
        <v>8725746</v>
      </c>
      <c r="M854" t="s">
        <v>76</v>
      </c>
      <c r="N854" t="s">
        <v>1293</v>
      </c>
      <c r="O854" t="s">
        <v>582</v>
      </c>
      <c r="P854" t="s">
        <v>376</v>
      </c>
      <c r="Q854">
        <v>686</v>
      </c>
      <c r="R854" t="s">
        <v>54</v>
      </c>
      <c r="S854">
        <v>22692747</v>
      </c>
      <c r="T854" t="s">
        <v>530</v>
      </c>
      <c r="U854" t="s">
        <v>1307</v>
      </c>
      <c r="V854" t="s">
        <v>3695</v>
      </c>
      <c r="W854" t="s">
        <v>2429</v>
      </c>
      <c r="X854" t="s">
        <v>299</v>
      </c>
      <c r="Y854" t="s">
        <v>121</v>
      </c>
      <c r="Z854">
        <v>12</v>
      </c>
      <c r="AA854" t="s">
        <v>65</v>
      </c>
      <c r="AB854" t="s">
        <v>56</v>
      </c>
      <c r="AC854" t="s">
        <v>56</v>
      </c>
      <c r="AD854">
        <v>0</v>
      </c>
      <c r="AE854" t="s">
        <v>66</v>
      </c>
      <c r="AF854" t="s">
        <v>56</v>
      </c>
      <c r="AG854" t="s">
        <v>56</v>
      </c>
      <c r="AH854" t="s">
        <v>56</v>
      </c>
      <c r="AI854" t="s">
        <v>56</v>
      </c>
      <c r="AJ854" t="s">
        <v>1575</v>
      </c>
      <c r="AK854" t="s">
        <v>1576</v>
      </c>
      <c r="AL854" t="s">
        <v>56</v>
      </c>
      <c r="AM854" t="s">
        <v>56</v>
      </c>
      <c r="AN854" t="s">
        <v>56</v>
      </c>
      <c r="AO854" t="s">
        <v>56</v>
      </c>
      <c r="AP854" t="s">
        <v>56</v>
      </c>
      <c r="AQ854" t="s">
        <v>71</v>
      </c>
      <c r="AR854" t="s">
        <v>56</v>
      </c>
      <c r="AS854" t="s">
        <v>56</v>
      </c>
      <c r="AT854" t="s">
        <v>56</v>
      </c>
      <c r="AU854" t="s">
        <v>56</v>
      </c>
      <c r="AV854" t="s">
        <v>56</v>
      </c>
      <c r="AW854" t="s">
        <v>56</v>
      </c>
      <c r="AX854">
        <v>4</v>
      </c>
    </row>
    <row r="855" spans="1:50" x14ac:dyDescent="0.25">
      <c r="A855" t="str">
        <f>"20200131150017173211"</f>
        <v>20200131150017173211</v>
      </c>
      <c r="B855" t="s">
        <v>110</v>
      </c>
      <c r="C855" t="s">
        <v>110</v>
      </c>
      <c r="D855" t="s">
        <v>3696</v>
      </c>
      <c r="E855" t="str">
        <f>"270010104901"</f>
        <v>270010104901</v>
      </c>
      <c r="F855" t="s">
        <v>52</v>
      </c>
      <c r="G855">
        <v>900815727</v>
      </c>
      <c r="H855">
        <v>27001</v>
      </c>
      <c r="I855" t="s">
        <v>2316</v>
      </c>
      <c r="J855" t="s">
        <v>2317</v>
      </c>
      <c r="K855" t="s">
        <v>54</v>
      </c>
      <c r="L855">
        <v>10885918</v>
      </c>
      <c r="M855" t="s">
        <v>2318</v>
      </c>
      <c r="N855" t="s">
        <v>164</v>
      </c>
      <c r="O855" t="s">
        <v>707</v>
      </c>
      <c r="P855" t="s">
        <v>1361</v>
      </c>
      <c r="Q855">
        <v>10088</v>
      </c>
      <c r="R855" t="s">
        <v>54</v>
      </c>
      <c r="S855">
        <v>3949674</v>
      </c>
      <c r="T855" t="s">
        <v>2765</v>
      </c>
      <c r="U855" t="s">
        <v>62</v>
      </c>
      <c r="V855" t="s">
        <v>2156</v>
      </c>
      <c r="W855" t="s">
        <v>179</v>
      </c>
      <c r="X855" t="s">
        <v>2277</v>
      </c>
      <c r="Y855" t="s">
        <v>101</v>
      </c>
      <c r="Z855">
        <v>11</v>
      </c>
      <c r="AA855" t="s">
        <v>87</v>
      </c>
      <c r="AB855" t="s">
        <v>56</v>
      </c>
      <c r="AC855" t="s">
        <v>56</v>
      </c>
      <c r="AD855">
        <v>0</v>
      </c>
      <c r="AE855" t="s">
        <v>66</v>
      </c>
      <c r="AF855" t="s">
        <v>56</v>
      </c>
      <c r="AG855" t="s">
        <v>56</v>
      </c>
      <c r="AH855" t="s">
        <v>56</v>
      </c>
      <c r="AI855" t="s">
        <v>56</v>
      </c>
      <c r="AJ855" t="s">
        <v>454</v>
      </c>
      <c r="AK855" t="s">
        <v>455</v>
      </c>
      <c r="AL855" t="s">
        <v>56</v>
      </c>
      <c r="AM855" t="s">
        <v>56</v>
      </c>
      <c r="AN855" t="s">
        <v>56</v>
      </c>
      <c r="AO855" t="s">
        <v>56</v>
      </c>
      <c r="AP855" t="s">
        <v>56</v>
      </c>
      <c r="AQ855" t="s">
        <v>71</v>
      </c>
      <c r="AR855" t="s">
        <v>56</v>
      </c>
      <c r="AS855" t="s">
        <v>56</v>
      </c>
      <c r="AT855" t="s">
        <v>56</v>
      </c>
      <c r="AU855" t="s">
        <v>56</v>
      </c>
      <c r="AV855" t="s">
        <v>56</v>
      </c>
      <c r="AW855" t="s">
        <v>56</v>
      </c>
      <c r="AX855">
        <v>4</v>
      </c>
    </row>
    <row r="856" spans="1:50" x14ac:dyDescent="0.25">
      <c r="A856" t="str">
        <f>"20200124190017015895"</f>
        <v>20200124190017015895</v>
      </c>
      <c r="B856" t="s">
        <v>201</v>
      </c>
      <c r="C856" t="s">
        <v>201</v>
      </c>
      <c r="D856" t="s">
        <v>3697</v>
      </c>
      <c r="E856" t="str">
        <f>"200010205401"</f>
        <v>200010205401</v>
      </c>
      <c r="F856" t="s">
        <v>52</v>
      </c>
      <c r="G856">
        <v>901058547</v>
      </c>
      <c r="H856">
        <v>20001</v>
      </c>
      <c r="I856" t="s">
        <v>512</v>
      </c>
      <c r="J856" t="s">
        <v>513</v>
      </c>
      <c r="K856" t="s">
        <v>54</v>
      </c>
      <c r="L856">
        <v>52961104</v>
      </c>
      <c r="M856" t="s">
        <v>3698</v>
      </c>
      <c r="N856" t="s">
        <v>1407</v>
      </c>
      <c r="O856" t="s">
        <v>402</v>
      </c>
      <c r="P856" t="s">
        <v>207</v>
      </c>
      <c r="Q856" t="s">
        <v>3699</v>
      </c>
      <c r="R856" t="s">
        <v>54</v>
      </c>
      <c r="S856">
        <v>12531537</v>
      </c>
      <c r="T856" t="s">
        <v>3700</v>
      </c>
      <c r="U856" t="s">
        <v>2481</v>
      </c>
      <c r="V856" t="s">
        <v>1254</v>
      </c>
      <c r="W856" t="s">
        <v>3701</v>
      </c>
      <c r="X856" t="s">
        <v>462</v>
      </c>
      <c r="Y856" t="s">
        <v>86</v>
      </c>
      <c r="Z856">
        <v>12</v>
      </c>
      <c r="AA856" t="s">
        <v>65</v>
      </c>
      <c r="AB856" t="s">
        <v>56</v>
      </c>
      <c r="AC856" t="s">
        <v>56</v>
      </c>
      <c r="AD856">
        <v>0</v>
      </c>
      <c r="AE856" t="s">
        <v>66</v>
      </c>
      <c r="AF856" t="s">
        <v>56</v>
      </c>
      <c r="AG856" t="s">
        <v>56</v>
      </c>
      <c r="AH856" t="s">
        <v>56</v>
      </c>
      <c r="AI856" t="s">
        <v>56</v>
      </c>
      <c r="AJ856" t="s">
        <v>902</v>
      </c>
      <c r="AK856" t="s">
        <v>903</v>
      </c>
      <c r="AL856" t="s">
        <v>900</v>
      </c>
      <c r="AM856" t="s">
        <v>901</v>
      </c>
      <c r="AN856" t="s">
        <v>56</v>
      </c>
      <c r="AO856" t="s">
        <v>56</v>
      </c>
      <c r="AP856" t="s">
        <v>56</v>
      </c>
      <c r="AQ856" t="s">
        <v>71</v>
      </c>
      <c r="AR856" t="s">
        <v>56</v>
      </c>
      <c r="AS856" t="s">
        <v>56</v>
      </c>
      <c r="AT856" t="s">
        <v>56</v>
      </c>
      <c r="AU856" t="s">
        <v>56</v>
      </c>
      <c r="AV856" t="s">
        <v>56</v>
      </c>
      <c r="AW856" t="s">
        <v>56</v>
      </c>
      <c r="AX856">
        <v>4</v>
      </c>
    </row>
    <row r="857" spans="1:50" x14ac:dyDescent="0.25">
      <c r="A857" t="str">
        <f>"20200127178017050518"</f>
        <v>20200127178017050518</v>
      </c>
      <c r="B857" t="s">
        <v>190</v>
      </c>
      <c r="C857" t="s">
        <v>190</v>
      </c>
      <c r="D857" t="s">
        <v>3702</v>
      </c>
      <c r="E857" t="str">
        <f>"080010003601"</f>
        <v>080010003601</v>
      </c>
      <c r="F857" t="s">
        <v>52</v>
      </c>
      <c r="G857">
        <v>802000955</v>
      </c>
      <c r="H857" t="s">
        <v>112</v>
      </c>
      <c r="I857" t="s">
        <v>218</v>
      </c>
      <c r="J857" t="s">
        <v>56</v>
      </c>
      <c r="K857" t="s">
        <v>54</v>
      </c>
      <c r="L857">
        <v>32689204</v>
      </c>
      <c r="M857" t="s">
        <v>404</v>
      </c>
      <c r="N857" t="s">
        <v>548</v>
      </c>
      <c r="O857" t="s">
        <v>549</v>
      </c>
      <c r="P857" t="s">
        <v>57</v>
      </c>
      <c r="Q857" t="s">
        <v>550</v>
      </c>
      <c r="R857" t="s">
        <v>54</v>
      </c>
      <c r="S857">
        <v>39265107</v>
      </c>
      <c r="T857" t="s">
        <v>3703</v>
      </c>
      <c r="U857" t="s">
        <v>1371</v>
      </c>
      <c r="V857" t="s">
        <v>1926</v>
      </c>
      <c r="W857" t="s">
        <v>3704</v>
      </c>
      <c r="X857" t="s">
        <v>120</v>
      </c>
      <c r="Y857" t="s">
        <v>121</v>
      </c>
      <c r="Z857">
        <v>12</v>
      </c>
      <c r="AA857" t="s">
        <v>65</v>
      </c>
      <c r="AB857" t="s">
        <v>56</v>
      </c>
      <c r="AC857" t="s">
        <v>56</v>
      </c>
      <c r="AD857">
        <v>0</v>
      </c>
      <c r="AE857" t="s">
        <v>66</v>
      </c>
      <c r="AF857" t="s">
        <v>56</v>
      </c>
      <c r="AG857" t="s">
        <v>56</v>
      </c>
      <c r="AH857" t="s">
        <v>56</v>
      </c>
      <c r="AI857" t="s">
        <v>56</v>
      </c>
      <c r="AJ857" t="s">
        <v>545</v>
      </c>
      <c r="AK857" t="s">
        <v>546</v>
      </c>
      <c r="AL857" t="s">
        <v>56</v>
      </c>
      <c r="AM857" t="s">
        <v>56</v>
      </c>
      <c r="AN857" t="s">
        <v>56</v>
      </c>
      <c r="AO857" t="s">
        <v>56</v>
      </c>
      <c r="AP857" t="s">
        <v>56</v>
      </c>
      <c r="AQ857" t="s">
        <v>71</v>
      </c>
      <c r="AR857" t="s">
        <v>56</v>
      </c>
      <c r="AS857" t="s">
        <v>56</v>
      </c>
      <c r="AT857" t="s">
        <v>56</v>
      </c>
      <c r="AU857" t="s">
        <v>56</v>
      </c>
      <c r="AV857" t="s">
        <v>56</v>
      </c>
      <c r="AW857" t="s">
        <v>56</v>
      </c>
      <c r="AX857">
        <v>4</v>
      </c>
    </row>
    <row r="858" spans="1:50" x14ac:dyDescent="0.25">
      <c r="A858" t="str">
        <f>"20200124188017011030"</f>
        <v>20200124188017011030</v>
      </c>
      <c r="B858" t="s">
        <v>201</v>
      </c>
      <c r="C858" t="s">
        <v>201</v>
      </c>
      <c r="D858" t="s">
        <v>3705</v>
      </c>
      <c r="E858" t="str">
        <f>"086380050301"</f>
        <v>086380050301</v>
      </c>
      <c r="F858" t="s">
        <v>52</v>
      </c>
      <c r="G858">
        <v>900008600</v>
      </c>
      <c r="H858" t="s">
        <v>246</v>
      </c>
      <c r="I858" t="s">
        <v>732</v>
      </c>
      <c r="J858" t="s">
        <v>733</v>
      </c>
      <c r="K858" t="s">
        <v>54</v>
      </c>
      <c r="L858">
        <v>17143468</v>
      </c>
      <c r="M858" t="s">
        <v>233</v>
      </c>
      <c r="N858" t="s">
        <v>2188</v>
      </c>
      <c r="O858" t="s">
        <v>986</v>
      </c>
      <c r="P858" t="s">
        <v>324</v>
      </c>
      <c r="Q858">
        <v>904</v>
      </c>
      <c r="R858" t="s">
        <v>54</v>
      </c>
      <c r="S858">
        <v>22453533</v>
      </c>
      <c r="T858" t="s">
        <v>3354</v>
      </c>
      <c r="U858" t="s">
        <v>62</v>
      </c>
      <c r="V858" t="s">
        <v>99</v>
      </c>
      <c r="W858" t="s">
        <v>3706</v>
      </c>
      <c r="X858" t="s">
        <v>254</v>
      </c>
      <c r="Y858" t="s">
        <v>121</v>
      </c>
      <c r="Z858">
        <v>12</v>
      </c>
      <c r="AA858" t="s">
        <v>65</v>
      </c>
      <c r="AB858" t="s">
        <v>56</v>
      </c>
      <c r="AC858" t="s">
        <v>56</v>
      </c>
      <c r="AD858">
        <v>0</v>
      </c>
      <c r="AE858" t="s">
        <v>66</v>
      </c>
      <c r="AF858" t="s">
        <v>56</v>
      </c>
      <c r="AG858" t="s">
        <v>56</v>
      </c>
      <c r="AH858" t="s">
        <v>56</v>
      </c>
      <c r="AI858" t="s">
        <v>56</v>
      </c>
      <c r="AJ858" t="s">
        <v>736</v>
      </c>
      <c r="AK858" t="s">
        <v>737</v>
      </c>
      <c r="AL858" t="s">
        <v>56</v>
      </c>
      <c r="AM858" t="s">
        <v>56</v>
      </c>
      <c r="AN858" t="s">
        <v>56</v>
      </c>
      <c r="AO858" t="s">
        <v>56</v>
      </c>
      <c r="AP858" t="s">
        <v>56</v>
      </c>
      <c r="AQ858" t="s">
        <v>71</v>
      </c>
      <c r="AR858" t="s">
        <v>56</v>
      </c>
      <c r="AS858" t="s">
        <v>56</v>
      </c>
      <c r="AT858" t="s">
        <v>56</v>
      </c>
      <c r="AU858" t="s">
        <v>56</v>
      </c>
      <c r="AV858" t="s">
        <v>56</v>
      </c>
      <c r="AW858" t="s">
        <v>56</v>
      </c>
      <c r="AX858">
        <v>4</v>
      </c>
    </row>
    <row r="859" spans="1:50" x14ac:dyDescent="0.25">
      <c r="A859" t="str">
        <f>"20200128134017071352"</f>
        <v>20200128134017071352</v>
      </c>
      <c r="B859" t="s">
        <v>151</v>
      </c>
      <c r="C859" t="s">
        <v>151</v>
      </c>
      <c r="D859" t="s">
        <v>1525</v>
      </c>
      <c r="E859" t="str">
        <f>"700010096901"</f>
        <v>700010096901</v>
      </c>
      <c r="F859" t="s">
        <v>52</v>
      </c>
      <c r="G859">
        <v>900118990</v>
      </c>
      <c r="H859">
        <v>70001</v>
      </c>
      <c r="I859" t="s">
        <v>869</v>
      </c>
      <c r="J859">
        <v>2761605</v>
      </c>
      <c r="K859" t="s">
        <v>54</v>
      </c>
      <c r="L859">
        <v>1104864752</v>
      </c>
      <c r="M859" t="s">
        <v>897</v>
      </c>
      <c r="N859" t="s">
        <v>1463</v>
      </c>
      <c r="O859" t="s">
        <v>1464</v>
      </c>
      <c r="P859" t="s">
        <v>1465</v>
      </c>
      <c r="Q859" t="s">
        <v>56</v>
      </c>
      <c r="R859" t="s">
        <v>54</v>
      </c>
      <c r="S859">
        <v>18855598</v>
      </c>
      <c r="T859" t="s">
        <v>2218</v>
      </c>
      <c r="U859" t="s">
        <v>424</v>
      </c>
      <c r="V859" t="s">
        <v>560</v>
      </c>
      <c r="W859" t="s">
        <v>3707</v>
      </c>
      <c r="X859" t="s">
        <v>3319</v>
      </c>
      <c r="Y859" t="s">
        <v>330</v>
      </c>
      <c r="Z859">
        <v>12</v>
      </c>
      <c r="AA859" t="s">
        <v>65</v>
      </c>
      <c r="AB859" t="s">
        <v>56</v>
      </c>
      <c r="AC859" t="s">
        <v>56</v>
      </c>
      <c r="AD859">
        <v>0</v>
      </c>
      <c r="AE859" t="s">
        <v>66</v>
      </c>
      <c r="AF859" t="s">
        <v>56</v>
      </c>
      <c r="AG859" t="s">
        <v>56</v>
      </c>
      <c r="AH859" t="s">
        <v>56</v>
      </c>
      <c r="AI859" t="s">
        <v>56</v>
      </c>
      <c r="AJ859" t="s">
        <v>1467</v>
      </c>
      <c r="AK859" t="s">
        <v>1468</v>
      </c>
      <c r="AL859" t="s">
        <v>56</v>
      </c>
      <c r="AM859" t="s">
        <v>56</v>
      </c>
      <c r="AN859" t="s">
        <v>56</v>
      </c>
      <c r="AO859" t="s">
        <v>56</v>
      </c>
      <c r="AP859" t="s">
        <v>56</v>
      </c>
      <c r="AQ859" t="s">
        <v>71</v>
      </c>
      <c r="AR859" t="s">
        <v>56</v>
      </c>
      <c r="AS859" t="s">
        <v>56</v>
      </c>
      <c r="AT859" t="s">
        <v>56</v>
      </c>
      <c r="AU859" t="s">
        <v>56</v>
      </c>
      <c r="AV859" t="s">
        <v>56</v>
      </c>
      <c r="AW859" t="s">
        <v>56</v>
      </c>
      <c r="AX859">
        <v>4</v>
      </c>
    </row>
    <row r="860" spans="1:50" x14ac:dyDescent="0.25">
      <c r="A860" t="str">
        <f>"20200131188017175736"</f>
        <v>20200131188017175736</v>
      </c>
      <c r="B860" t="s">
        <v>110</v>
      </c>
      <c r="C860" t="s">
        <v>110</v>
      </c>
      <c r="D860" t="s">
        <v>3708</v>
      </c>
      <c r="E860" t="str">
        <f>"700010111401"</f>
        <v>700010111401</v>
      </c>
      <c r="F860" t="s">
        <v>52</v>
      </c>
      <c r="G860">
        <v>900217343</v>
      </c>
      <c r="H860">
        <v>70001</v>
      </c>
      <c r="I860" t="s">
        <v>885</v>
      </c>
      <c r="J860">
        <v>2714280</v>
      </c>
      <c r="K860" t="s">
        <v>54</v>
      </c>
      <c r="L860">
        <v>71339047</v>
      </c>
      <c r="M860" t="s">
        <v>2049</v>
      </c>
      <c r="N860" t="s">
        <v>107</v>
      </c>
      <c r="O860" t="s">
        <v>260</v>
      </c>
      <c r="P860" t="s">
        <v>449</v>
      </c>
      <c r="Q860">
        <v>574004</v>
      </c>
      <c r="R860" t="s">
        <v>54</v>
      </c>
      <c r="S860">
        <v>23220048</v>
      </c>
      <c r="T860" t="s">
        <v>470</v>
      </c>
      <c r="U860" t="s">
        <v>1307</v>
      </c>
      <c r="V860" t="s">
        <v>2460</v>
      </c>
      <c r="W860" t="s">
        <v>957</v>
      </c>
      <c r="X860" t="s">
        <v>605</v>
      </c>
      <c r="Y860" t="s">
        <v>330</v>
      </c>
      <c r="Z860">
        <v>12</v>
      </c>
      <c r="AA860" t="s">
        <v>65</v>
      </c>
      <c r="AB860" t="s">
        <v>56</v>
      </c>
      <c r="AC860" t="s">
        <v>56</v>
      </c>
      <c r="AD860">
        <v>0</v>
      </c>
      <c r="AE860" t="s">
        <v>66</v>
      </c>
      <c r="AF860" t="s">
        <v>56</v>
      </c>
      <c r="AG860" t="s">
        <v>56</v>
      </c>
      <c r="AH860" t="s">
        <v>56</v>
      </c>
      <c r="AI860" t="s">
        <v>56</v>
      </c>
      <c r="AJ860" t="s">
        <v>1740</v>
      </c>
      <c r="AK860" t="s">
        <v>1741</v>
      </c>
      <c r="AL860" t="s">
        <v>56</v>
      </c>
      <c r="AM860" t="s">
        <v>56</v>
      </c>
      <c r="AN860" t="s">
        <v>56</v>
      </c>
      <c r="AO860" t="s">
        <v>56</v>
      </c>
      <c r="AP860" t="s">
        <v>56</v>
      </c>
      <c r="AQ860" t="s">
        <v>71</v>
      </c>
      <c r="AR860" t="s">
        <v>56</v>
      </c>
      <c r="AS860" t="s">
        <v>56</v>
      </c>
      <c r="AT860" t="s">
        <v>56</v>
      </c>
      <c r="AU860" t="s">
        <v>56</v>
      </c>
      <c r="AV860" t="s">
        <v>56</v>
      </c>
      <c r="AW860" t="s">
        <v>56</v>
      </c>
      <c r="AX860">
        <v>4</v>
      </c>
    </row>
    <row r="861" spans="1:50" x14ac:dyDescent="0.25">
      <c r="A861" t="str">
        <f>"20200128156017074775"</f>
        <v>20200128156017074775</v>
      </c>
      <c r="B861" t="s">
        <v>151</v>
      </c>
      <c r="C861" t="s">
        <v>151</v>
      </c>
      <c r="D861" t="s">
        <v>3709</v>
      </c>
      <c r="E861" t="str">
        <f>"080010054401"</f>
        <v>080010054401</v>
      </c>
      <c r="F861" t="s">
        <v>52</v>
      </c>
      <c r="G861">
        <v>800194798</v>
      </c>
      <c r="H861" t="s">
        <v>112</v>
      </c>
      <c r="I861" t="s">
        <v>616</v>
      </c>
      <c r="J861" t="s">
        <v>56</v>
      </c>
      <c r="K861" t="s">
        <v>54</v>
      </c>
      <c r="L861">
        <v>8713794</v>
      </c>
      <c r="M861" t="s">
        <v>291</v>
      </c>
      <c r="N861" t="s">
        <v>261</v>
      </c>
      <c r="O861" t="s">
        <v>449</v>
      </c>
      <c r="P861" t="s">
        <v>284</v>
      </c>
      <c r="Q861">
        <v>24194</v>
      </c>
      <c r="R861" t="s">
        <v>54</v>
      </c>
      <c r="S861">
        <v>32585151</v>
      </c>
      <c r="T861" t="s">
        <v>3710</v>
      </c>
      <c r="U861" t="s">
        <v>373</v>
      </c>
      <c r="V861" t="s">
        <v>298</v>
      </c>
      <c r="W861" t="s">
        <v>3711</v>
      </c>
      <c r="X861" t="s">
        <v>443</v>
      </c>
      <c r="Y861" t="s">
        <v>121</v>
      </c>
      <c r="Z861">
        <v>12</v>
      </c>
      <c r="AA861" t="s">
        <v>65</v>
      </c>
      <c r="AB861" t="s">
        <v>56</v>
      </c>
      <c r="AC861" t="s">
        <v>56</v>
      </c>
      <c r="AD861">
        <v>0</v>
      </c>
      <c r="AE861" t="s">
        <v>66</v>
      </c>
      <c r="AF861" t="s">
        <v>56</v>
      </c>
      <c r="AG861" t="s">
        <v>56</v>
      </c>
      <c r="AH861" t="s">
        <v>56</v>
      </c>
      <c r="AI861" t="s">
        <v>56</v>
      </c>
      <c r="AJ861" t="s">
        <v>3712</v>
      </c>
      <c r="AK861" t="s">
        <v>3713</v>
      </c>
      <c r="AL861" t="s">
        <v>56</v>
      </c>
      <c r="AM861" t="s">
        <v>56</v>
      </c>
      <c r="AN861" t="s">
        <v>56</v>
      </c>
      <c r="AO861" t="s">
        <v>56</v>
      </c>
      <c r="AP861" t="s">
        <v>56</v>
      </c>
      <c r="AQ861" t="s">
        <v>71</v>
      </c>
      <c r="AR861" t="s">
        <v>56</v>
      </c>
      <c r="AS861" t="s">
        <v>56</v>
      </c>
      <c r="AT861" t="s">
        <v>56</v>
      </c>
      <c r="AU861" t="s">
        <v>56</v>
      </c>
      <c r="AV861" t="s">
        <v>56</v>
      </c>
      <c r="AW861" t="s">
        <v>56</v>
      </c>
      <c r="AX861">
        <v>4</v>
      </c>
    </row>
    <row r="862" spans="1:50" x14ac:dyDescent="0.25">
      <c r="A862" t="str">
        <f>"20200128125017077778"</f>
        <v>20200128125017077778</v>
      </c>
      <c r="B862" t="s">
        <v>151</v>
      </c>
      <c r="C862" t="s">
        <v>151</v>
      </c>
      <c r="D862" t="s">
        <v>3714</v>
      </c>
      <c r="E862" t="str">
        <f>"080010409201"</f>
        <v>080010409201</v>
      </c>
      <c r="F862" t="s">
        <v>52</v>
      </c>
      <c r="G862">
        <v>900448414</v>
      </c>
      <c r="H862" t="s">
        <v>112</v>
      </c>
      <c r="I862" t="s">
        <v>785</v>
      </c>
      <c r="J862">
        <v>3545674</v>
      </c>
      <c r="K862" t="s">
        <v>54</v>
      </c>
      <c r="L862">
        <v>72248346</v>
      </c>
      <c r="M862" t="s">
        <v>1189</v>
      </c>
      <c r="N862" t="s">
        <v>1190</v>
      </c>
      <c r="O862" t="s">
        <v>1191</v>
      </c>
      <c r="P862" t="s">
        <v>1192</v>
      </c>
      <c r="Q862">
        <v>23796</v>
      </c>
      <c r="R862" t="s">
        <v>54</v>
      </c>
      <c r="S862">
        <v>85380077</v>
      </c>
      <c r="T862" t="s">
        <v>897</v>
      </c>
      <c r="U862" t="s">
        <v>291</v>
      </c>
      <c r="V862" t="s">
        <v>225</v>
      </c>
      <c r="W862" t="s">
        <v>194</v>
      </c>
      <c r="X862" t="s">
        <v>120</v>
      </c>
      <c r="Y862" t="s">
        <v>121</v>
      </c>
      <c r="Z862">
        <v>12</v>
      </c>
      <c r="AA862" t="s">
        <v>65</v>
      </c>
      <c r="AB862" t="s">
        <v>56</v>
      </c>
      <c r="AC862" t="s">
        <v>56</v>
      </c>
      <c r="AD862">
        <v>0</v>
      </c>
      <c r="AE862" t="s">
        <v>66</v>
      </c>
      <c r="AF862" t="s">
        <v>56</v>
      </c>
      <c r="AG862" t="s">
        <v>56</v>
      </c>
      <c r="AH862" t="s">
        <v>56</v>
      </c>
      <c r="AI862" t="s">
        <v>56</v>
      </c>
      <c r="AJ862" t="s">
        <v>3715</v>
      </c>
      <c r="AK862" t="s">
        <v>3716</v>
      </c>
      <c r="AL862" t="s">
        <v>56</v>
      </c>
      <c r="AM862" t="s">
        <v>56</v>
      </c>
      <c r="AN862" t="s">
        <v>56</v>
      </c>
      <c r="AO862" t="s">
        <v>56</v>
      </c>
      <c r="AP862" t="s">
        <v>56</v>
      </c>
      <c r="AQ862" t="s">
        <v>71</v>
      </c>
      <c r="AR862" t="s">
        <v>56</v>
      </c>
      <c r="AS862" t="s">
        <v>56</v>
      </c>
      <c r="AT862" t="s">
        <v>56</v>
      </c>
      <c r="AU862" t="s">
        <v>56</v>
      </c>
      <c r="AV862" t="s">
        <v>56</v>
      </c>
      <c r="AW862" t="s">
        <v>56</v>
      </c>
      <c r="AX862">
        <v>4</v>
      </c>
    </row>
    <row r="863" spans="1:50" x14ac:dyDescent="0.25">
      <c r="A863" t="str">
        <f>"20200127120017045162"</f>
        <v>20200127120017045162</v>
      </c>
      <c r="B863" t="s">
        <v>190</v>
      </c>
      <c r="C863" t="s">
        <v>190</v>
      </c>
      <c r="D863" t="s">
        <v>3717</v>
      </c>
      <c r="E863" t="str">
        <f>"761470067210"</f>
        <v>761470067210</v>
      </c>
      <c r="F863" t="s">
        <v>52</v>
      </c>
      <c r="G863">
        <v>836000386</v>
      </c>
      <c r="H863">
        <v>76147</v>
      </c>
      <c r="I863" t="s">
        <v>1142</v>
      </c>
      <c r="J863" t="s">
        <v>1143</v>
      </c>
      <c r="K863" t="s">
        <v>54</v>
      </c>
      <c r="L863">
        <v>16210627</v>
      </c>
      <c r="M863" t="s">
        <v>291</v>
      </c>
      <c r="N863" t="s">
        <v>261</v>
      </c>
      <c r="O863" t="s">
        <v>1283</v>
      </c>
      <c r="P863" t="s">
        <v>552</v>
      </c>
      <c r="Q863">
        <v>13451</v>
      </c>
      <c r="R863" t="s">
        <v>54</v>
      </c>
      <c r="S863">
        <v>1006292811</v>
      </c>
      <c r="T863" t="s">
        <v>897</v>
      </c>
      <c r="U863" t="s">
        <v>1463</v>
      </c>
      <c r="V863" t="s">
        <v>2733</v>
      </c>
      <c r="W863" t="s">
        <v>2451</v>
      </c>
      <c r="X863" t="s">
        <v>277</v>
      </c>
      <c r="Y863" t="s">
        <v>64</v>
      </c>
      <c r="Z863">
        <v>11</v>
      </c>
      <c r="AA863" t="s">
        <v>87</v>
      </c>
      <c r="AB863" t="s">
        <v>56</v>
      </c>
      <c r="AC863" t="s">
        <v>56</v>
      </c>
      <c r="AD863">
        <v>0</v>
      </c>
      <c r="AE863" t="s">
        <v>66</v>
      </c>
      <c r="AF863" t="s">
        <v>56</v>
      </c>
      <c r="AG863" t="s">
        <v>56</v>
      </c>
      <c r="AH863" t="s">
        <v>56</v>
      </c>
      <c r="AI863" t="s">
        <v>56</v>
      </c>
      <c r="AJ863" t="s">
        <v>3718</v>
      </c>
      <c r="AK863" t="s">
        <v>3719</v>
      </c>
      <c r="AL863" t="s">
        <v>356</v>
      </c>
      <c r="AM863" t="s">
        <v>357</v>
      </c>
      <c r="AN863" t="s">
        <v>56</v>
      </c>
      <c r="AO863" t="s">
        <v>56</v>
      </c>
      <c r="AP863" t="s">
        <v>56</v>
      </c>
      <c r="AQ863" t="s">
        <v>71</v>
      </c>
      <c r="AR863" t="s">
        <v>56</v>
      </c>
      <c r="AS863" t="s">
        <v>56</v>
      </c>
      <c r="AT863" t="s">
        <v>56</v>
      </c>
      <c r="AU863" t="s">
        <v>56</v>
      </c>
      <c r="AV863" t="s">
        <v>56</v>
      </c>
      <c r="AW863" t="s">
        <v>56</v>
      </c>
      <c r="AX863">
        <v>4</v>
      </c>
    </row>
    <row r="864" spans="1:50" x14ac:dyDescent="0.25">
      <c r="A864" t="str">
        <f>"20200131189017166327"</f>
        <v>20200131189017166327</v>
      </c>
      <c r="B864" t="s">
        <v>110</v>
      </c>
      <c r="C864" t="s">
        <v>110</v>
      </c>
      <c r="D864" t="s">
        <v>3720</v>
      </c>
      <c r="E864" t="str">
        <f>"080010003601"</f>
        <v>080010003601</v>
      </c>
      <c r="F864" t="s">
        <v>52</v>
      </c>
      <c r="G864">
        <v>802000955</v>
      </c>
      <c r="H864" t="s">
        <v>112</v>
      </c>
      <c r="I864" t="s">
        <v>218</v>
      </c>
      <c r="J864" t="s">
        <v>56</v>
      </c>
      <c r="K864" t="s">
        <v>54</v>
      </c>
      <c r="L864">
        <v>1051357508</v>
      </c>
      <c r="M864" t="s">
        <v>644</v>
      </c>
      <c r="N864" t="s">
        <v>645</v>
      </c>
      <c r="O864" t="s">
        <v>646</v>
      </c>
      <c r="P864" t="s">
        <v>647</v>
      </c>
      <c r="Q864">
        <v>81153</v>
      </c>
      <c r="R864" t="s">
        <v>54</v>
      </c>
      <c r="S864">
        <v>8729338</v>
      </c>
      <c r="T864" t="s">
        <v>2419</v>
      </c>
      <c r="U864" t="s">
        <v>62</v>
      </c>
      <c r="V864" t="s">
        <v>3721</v>
      </c>
      <c r="W864" t="s">
        <v>1619</v>
      </c>
      <c r="X864" t="s">
        <v>120</v>
      </c>
      <c r="Y864" t="s">
        <v>121</v>
      </c>
      <c r="Z864">
        <v>12</v>
      </c>
      <c r="AA864" t="s">
        <v>65</v>
      </c>
      <c r="AB864" t="s">
        <v>56</v>
      </c>
      <c r="AC864" t="s">
        <v>56</v>
      </c>
      <c r="AD864">
        <v>0</v>
      </c>
      <c r="AE864" t="s">
        <v>66</v>
      </c>
      <c r="AF864" t="s">
        <v>56</v>
      </c>
      <c r="AG864" t="s">
        <v>56</v>
      </c>
      <c r="AH864" t="s">
        <v>56</v>
      </c>
      <c r="AI864" t="s">
        <v>56</v>
      </c>
      <c r="AJ864" t="s">
        <v>228</v>
      </c>
      <c r="AK864" t="s">
        <v>229</v>
      </c>
      <c r="AL864" t="s">
        <v>56</v>
      </c>
      <c r="AM864" t="s">
        <v>56</v>
      </c>
      <c r="AN864" t="s">
        <v>56</v>
      </c>
      <c r="AO864" t="s">
        <v>56</v>
      </c>
      <c r="AP864" t="s">
        <v>56</v>
      </c>
      <c r="AQ864" t="s">
        <v>71</v>
      </c>
      <c r="AR864" t="s">
        <v>56</v>
      </c>
      <c r="AS864" t="s">
        <v>56</v>
      </c>
      <c r="AT864" t="s">
        <v>56</v>
      </c>
      <c r="AU864" t="s">
        <v>56</v>
      </c>
      <c r="AV864" t="s">
        <v>56</v>
      </c>
      <c r="AW864" t="s">
        <v>56</v>
      </c>
      <c r="AX864">
        <v>4</v>
      </c>
    </row>
    <row r="865" spans="1:50" x14ac:dyDescent="0.25">
      <c r="A865" t="str">
        <f>"20200131167017171777"</f>
        <v>20200131167017171777</v>
      </c>
      <c r="B865" t="s">
        <v>110</v>
      </c>
      <c r="C865" t="s">
        <v>110</v>
      </c>
      <c r="D865" t="s">
        <v>3722</v>
      </c>
      <c r="E865" t="str">
        <f>"086380015401"</f>
        <v>086380015401</v>
      </c>
      <c r="F865" t="s">
        <v>52</v>
      </c>
      <c r="G865">
        <v>890103127</v>
      </c>
      <c r="H865" t="s">
        <v>246</v>
      </c>
      <c r="I865" t="s">
        <v>797</v>
      </c>
      <c r="J865" t="s">
        <v>798</v>
      </c>
      <c r="K865" t="s">
        <v>54</v>
      </c>
      <c r="L865">
        <v>72162152</v>
      </c>
      <c r="M865" t="s">
        <v>81</v>
      </c>
      <c r="N865" t="s">
        <v>799</v>
      </c>
      <c r="O865" t="s">
        <v>800</v>
      </c>
      <c r="P865" t="s">
        <v>801</v>
      </c>
      <c r="Q865" t="s">
        <v>802</v>
      </c>
      <c r="R865" t="s">
        <v>54</v>
      </c>
      <c r="S865">
        <v>22737268</v>
      </c>
      <c r="T865" t="s">
        <v>3723</v>
      </c>
      <c r="U865" t="s">
        <v>62</v>
      </c>
      <c r="V865" t="s">
        <v>3724</v>
      </c>
      <c r="W865" t="s">
        <v>1809</v>
      </c>
      <c r="X865" t="s">
        <v>1470</v>
      </c>
      <c r="Y865" t="s">
        <v>121</v>
      </c>
      <c r="Z865">
        <v>12</v>
      </c>
      <c r="AA865" t="s">
        <v>65</v>
      </c>
      <c r="AB865" t="s">
        <v>56</v>
      </c>
      <c r="AC865" t="s">
        <v>56</v>
      </c>
      <c r="AD865">
        <v>0</v>
      </c>
      <c r="AE865" t="s">
        <v>66</v>
      </c>
      <c r="AF865" t="s">
        <v>56</v>
      </c>
      <c r="AG865" t="s">
        <v>56</v>
      </c>
      <c r="AH865" t="s">
        <v>56</v>
      </c>
      <c r="AI865" t="s">
        <v>56</v>
      </c>
      <c r="AJ865" t="s">
        <v>980</v>
      </c>
      <c r="AK865" t="s">
        <v>981</v>
      </c>
      <c r="AL865" t="s">
        <v>56</v>
      </c>
      <c r="AM865" t="s">
        <v>56</v>
      </c>
      <c r="AN865" t="s">
        <v>56</v>
      </c>
      <c r="AO865" t="s">
        <v>56</v>
      </c>
      <c r="AP865" t="s">
        <v>56</v>
      </c>
      <c r="AQ865" t="s">
        <v>71</v>
      </c>
      <c r="AR865" t="s">
        <v>56</v>
      </c>
      <c r="AS865" t="s">
        <v>56</v>
      </c>
      <c r="AT865" t="s">
        <v>56</v>
      </c>
      <c r="AU865" t="s">
        <v>56</v>
      </c>
      <c r="AV865" t="s">
        <v>56</v>
      </c>
      <c r="AW865" t="s">
        <v>56</v>
      </c>
      <c r="AX865">
        <v>4</v>
      </c>
    </row>
    <row r="866" spans="1:50" x14ac:dyDescent="0.25">
      <c r="A866" t="str">
        <f>"20200131158017171646"</f>
        <v>20200131158017171646</v>
      </c>
      <c r="B866" t="s">
        <v>110</v>
      </c>
      <c r="C866" t="s">
        <v>110</v>
      </c>
      <c r="D866" t="s">
        <v>3725</v>
      </c>
      <c r="E866" t="str">
        <f>"086380015401"</f>
        <v>086380015401</v>
      </c>
      <c r="F866" t="s">
        <v>52</v>
      </c>
      <c r="G866">
        <v>890103127</v>
      </c>
      <c r="H866" t="s">
        <v>246</v>
      </c>
      <c r="I866" t="s">
        <v>797</v>
      </c>
      <c r="J866" t="s">
        <v>798</v>
      </c>
      <c r="K866" t="s">
        <v>54</v>
      </c>
      <c r="L866">
        <v>72162152</v>
      </c>
      <c r="M866" t="s">
        <v>81</v>
      </c>
      <c r="N866" t="s">
        <v>799</v>
      </c>
      <c r="O866" t="s">
        <v>800</v>
      </c>
      <c r="P866" t="s">
        <v>801</v>
      </c>
      <c r="Q866" t="s">
        <v>802</v>
      </c>
      <c r="R866" t="s">
        <v>54</v>
      </c>
      <c r="S866">
        <v>22737268</v>
      </c>
      <c r="T866" t="s">
        <v>3723</v>
      </c>
      <c r="U866" t="s">
        <v>62</v>
      </c>
      <c r="V866" t="s">
        <v>3724</v>
      </c>
      <c r="W866" t="s">
        <v>1809</v>
      </c>
      <c r="X866" t="s">
        <v>1470</v>
      </c>
      <c r="Y866" t="s">
        <v>121</v>
      </c>
      <c r="Z866">
        <v>12</v>
      </c>
      <c r="AA866" t="s">
        <v>65</v>
      </c>
      <c r="AB866" t="s">
        <v>56</v>
      </c>
      <c r="AC866" t="s">
        <v>56</v>
      </c>
      <c r="AD866">
        <v>0</v>
      </c>
      <c r="AE866" t="s">
        <v>66</v>
      </c>
      <c r="AF866" t="s">
        <v>56</v>
      </c>
      <c r="AG866" t="s">
        <v>56</v>
      </c>
      <c r="AH866" t="s">
        <v>56</v>
      </c>
      <c r="AI866" t="s">
        <v>56</v>
      </c>
      <c r="AJ866" t="s">
        <v>255</v>
      </c>
      <c r="AK866" t="s">
        <v>256</v>
      </c>
      <c r="AL866" t="s">
        <v>56</v>
      </c>
      <c r="AM866" t="s">
        <v>56</v>
      </c>
      <c r="AN866" t="s">
        <v>56</v>
      </c>
      <c r="AO866" t="s">
        <v>56</v>
      </c>
      <c r="AP866" t="s">
        <v>56</v>
      </c>
      <c r="AQ866" t="s">
        <v>71</v>
      </c>
      <c r="AR866" t="s">
        <v>56</v>
      </c>
      <c r="AS866" t="s">
        <v>56</v>
      </c>
      <c r="AT866" t="s">
        <v>56</v>
      </c>
      <c r="AU866" t="s">
        <v>56</v>
      </c>
      <c r="AV866" t="s">
        <v>56</v>
      </c>
      <c r="AW866" t="s">
        <v>56</v>
      </c>
      <c r="AX866">
        <v>4</v>
      </c>
    </row>
    <row r="867" spans="1:50" x14ac:dyDescent="0.25">
      <c r="A867" t="str">
        <f>"20200124124017020895"</f>
        <v>20200124124017020895</v>
      </c>
      <c r="B867" t="s">
        <v>201</v>
      </c>
      <c r="C867" t="s">
        <v>201</v>
      </c>
      <c r="D867" t="s">
        <v>3726</v>
      </c>
      <c r="E867" t="str">
        <f>"080010409201"</f>
        <v>080010409201</v>
      </c>
      <c r="F867" t="s">
        <v>52</v>
      </c>
      <c r="G867">
        <v>900448414</v>
      </c>
      <c r="H867" t="s">
        <v>112</v>
      </c>
      <c r="I867" t="s">
        <v>785</v>
      </c>
      <c r="J867">
        <v>3545674</v>
      </c>
      <c r="K867" t="s">
        <v>54</v>
      </c>
      <c r="L867">
        <v>8736587</v>
      </c>
      <c r="M867" t="s">
        <v>164</v>
      </c>
      <c r="N867" t="s">
        <v>281</v>
      </c>
      <c r="O867" t="s">
        <v>1101</v>
      </c>
      <c r="P867" t="s">
        <v>309</v>
      </c>
      <c r="Q867" t="s">
        <v>1412</v>
      </c>
      <c r="R867" t="s">
        <v>54</v>
      </c>
      <c r="S867">
        <v>22307891</v>
      </c>
      <c r="T867" t="s">
        <v>3727</v>
      </c>
      <c r="U867" t="s">
        <v>62</v>
      </c>
      <c r="V867" t="s">
        <v>425</v>
      </c>
      <c r="W867" t="s">
        <v>2035</v>
      </c>
      <c r="X867" t="s">
        <v>120</v>
      </c>
      <c r="Y867" t="s">
        <v>121</v>
      </c>
      <c r="Z867">
        <v>12</v>
      </c>
      <c r="AA867" t="s">
        <v>65</v>
      </c>
      <c r="AB867" t="s">
        <v>56</v>
      </c>
      <c r="AC867" t="s">
        <v>56</v>
      </c>
      <c r="AD867">
        <v>0</v>
      </c>
      <c r="AE867" t="s">
        <v>66</v>
      </c>
      <c r="AF867" t="s">
        <v>56</v>
      </c>
      <c r="AG867" t="s">
        <v>56</v>
      </c>
      <c r="AH867" t="s">
        <v>56</v>
      </c>
      <c r="AI867" t="s">
        <v>56</v>
      </c>
      <c r="AJ867" t="s">
        <v>215</v>
      </c>
      <c r="AK867" t="s">
        <v>216</v>
      </c>
      <c r="AL867" t="s">
        <v>56</v>
      </c>
      <c r="AM867" t="s">
        <v>56</v>
      </c>
      <c r="AN867" t="s">
        <v>56</v>
      </c>
      <c r="AO867" t="s">
        <v>56</v>
      </c>
      <c r="AP867" t="s">
        <v>56</v>
      </c>
      <c r="AQ867" t="s">
        <v>71</v>
      </c>
      <c r="AR867" t="s">
        <v>56</v>
      </c>
      <c r="AS867" t="s">
        <v>56</v>
      </c>
      <c r="AT867" t="s">
        <v>56</v>
      </c>
      <c r="AU867" t="s">
        <v>56</v>
      </c>
      <c r="AV867" t="s">
        <v>56</v>
      </c>
      <c r="AW867" t="s">
        <v>56</v>
      </c>
      <c r="AX867">
        <v>4</v>
      </c>
    </row>
    <row r="868" spans="1:50" x14ac:dyDescent="0.25">
      <c r="A868" t="str">
        <f>"20200131123017161437"</f>
        <v>20200131123017161437</v>
      </c>
      <c r="B868" t="s">
        <v>110</v>
      </c>
      <c r="C868" t="s">
        <v>110</v>
      </c>
      <c r="D868" t="s">
        <v>3728</v>
      </c>
      <c r="E868" t="str">
        <f>"080010409201"</f>
        <v>080010409201</v>
      </c>
      <c r="F868" t="s">
        <v>52</v>
      </c>
      <c r="G868">
        <v>900448414</v>
      </c>
      <c r="H868" t="s">
        <v>112</v>
      </c>
      <c r="I868" t="s">
        <v>785</v>
      </c>
      <c r="J868">
        <v>3545674</v>
      </c>
      <c r="K868" t="s">
        <v>54</v>
      </c>
      <c r="L868">
        <v>8736587</v>
      </c>
      <c r="M868" t="s">
        <v>164</v>
      </c>
      <c r="N868" t="s">
        <v>281</v>
      </c>
      <c r="O868" t="s">
        <v>1101</v>
      </c>
      <c r="P868" t="s">
        <v>309</v>
      </c>
      <c r="Q868" t="s">
        <v>1412</v>
      </c>
      <c r="R868" t="s">
        <v>54</v>
      </c>
      <c r="S868">
        <v>22307891</v>
      </c>
      <c r="T868" t="s">
        <v>3727</v>
      </c>
      <c r="U868" t="s">
        <v>62</v>
      </c>
      <c r="V868" t="s">
        <v>425</v>
      </c>
      <c r="W868" t="s">
        <v>2035</v>
      </c>
      <c r="X868" t="s">
        <v>120</v>
      </c>
      <c r="Y868" t="s">
        <v>121</v>
      </c>
      <c r="Z868">
        <v>12</v>
      </c>
      <c r="AA868" t="s">
        <v>65</v>
      </c>
      <c r="AB868" t="s">
        <v>56</v>
      </c>
      <c r="AC868" t="s">
        <v>56</v>
      </c>
      <c r="AD868">
        <v>0</v>
      </c>
      <c r="AE868" t="s">
        <v>66</v>
      </c>
      <c r="AF868" t="s">
        <v>56</v>
      </c>
      <c r="AG868" t="s">
        <v>56</v>
      </c>
      <c r="AH868" t="s">
        <v>56</v>
      </c>
      <c r="AI868" t="s">
        <v>56</v>
      </c>
      <c r="AJ868" t="s">
        <v>215</v>
      </c>
      <c r="AK868" t="s">
        <v>216</v>
      </c>
      <c r="AL868" t="s">
        <v>56</v>
      </c>
      <c r="AM868" t="s">
        <v>56</v>
      </c>
      <c r="AN868" t="s">
        <v>56</v>
      </c>
      <c r="AO868" t="s">
        <v>56</v>
      </c>
      <c r="AP868" t="s">
        <v>56</v>
      </c>
      <c r="AQ868" t="s">
        <v>71</v>
      </c>
      <c r="AR868" t="s">
        <v>56</v>
      </c>
      <c r="AS868" t="s">
        <v>56</v>
      </c>
      <c r="AT868">
        <v>1</v>
      </c>
      <c r="AU868" t="s">
        <v>3729</v>
      </c>
      <c r="AV868" t="s">
        <v>56</v>
      </c>
      <c r="AW868" t="s">
        <v>56</v>
      </c>
      <c r="AX868">
        <v>4</v>
      </c>
    </row>
    <row r="869" spans="1:50" x14ac:dyDescent="0.25">
      <c r="A869" t="str">
        <f>"20200130137017130929"</f>
        <v>20200130137017130929</v>
      </c>
      <c r="B869" t="s">
        <v>124</v>
      </c>
      <c r="C869" t="s">
        <v>124</v>
      </c>
      <c r="D869" t="s">
        <v>3730</v>
      </c>
      <c r="E869" t="str">
        <f>"270010036201"</f>
        <v>270010036201</v>
      </c>
      <c r="F869" t="s">
        <v>52</v>
      </c>
      <c r="G869">
        <v>900210883</v>
      </c>
      <c r="H869">
        <v>27001</v>
      </c>
      <c r="I869" t="s">
        <v>2057</v>
      </c>
      <c r="J869">
        <v>6724232</v>
      </c>
      <c r="K869" t="s">
        <v>54</v>
      </c>
      <c r="L869">
        <v>11811594</v>
      </c>
      <c r="M869" t="s">
        <v>2526</v>
      </c>
      <c r="N869" t="s">
        <v>56</v>
      </c>
      <c r="O869" t="s">
        <v>2527</v>
      </c>
      <c r="P869" t="s">
        <v>249</v>
      </c>
      <c r="Q869">
        <v>270126</v>
      </c>
      <c r="R869" t="s">
        <v>54</v>
      </c>
      <c r="S869">
        <v>82361125</v>
      </c>
      <c r="T869" t="s">
        <v>3731</v>
      </c>
      <c r="U869" t="s">
        <v>2590</v>
      </c>
      <c r="V869" t="s">
        <v>715</v>
      </c>
      <c r="W869" t="s">
        <v>1073</v>
      </c>
      <c r="X869" t="s">
        <v>3732</v>
      </c>
      <c r="Y869" t="s">
        <v>717</v>
      </c>
      <c r="Z869">
        <v>11</v>
      </c>
      <c r="AA869" t="s">
        <v>87</v>
      </c>
      <c r="AB869" t="s">
        <v>56</v>
      </c>
      <c r="AC869" t="s">
        <v>56</v>
      </c>
      <c r="AD869">
        <v>0</v>
      </c>
      <c r="AE869" t="s">
        <v>66</v>
      </c>
      <c r="AF869" t="s">
        <v>56</v>
      </c>
      <c r="AG869" t="s">
        <v>56</v>
      </c>
      <c r="AH869" t="s">
        <v>56</v>
      </c>
      <c r="AI869" t="s">
        <v>56</v>
      </c>
      <c r="AJ869" t="s">
        <v>3733</v>
      </c>
      <c r="AK869" t="s">
        <v>3734</v>
      </c>
      <c r="AL869" t="s">
        <v>56</v>
      </c>
      <c r="AM869" t="s">
        <v>56</v>
      </c>
      <c r="AN869" t="s">
        <v>56</v>
      </c>
      <c r="AO869" t="s">
        <v>56</v>
      </c>
      <c r="AP869" t="s">
        <v>56</v>
      </c>
      <c r="AQ869" t="s">
        <v>71</v>
      </c>
      <c r="AR869" t="s">
        <v>56</v>
      </c>
      <c r="AS869" t="s">
        <v>56</v>
      </c>
      <c r="AT869" t="s">
        <v>56</v>
      </c>
      <c r="AU869" t="s">
        <v>56</v>
      </c>
      <c r="AV869" t="s">
        <v>56</v>
      </c>
      <c r="AW869" t="s">
        <v>56</v>
      </c>
      <c r="AX869">
        <v>4</v>
      </c>
    </row>
    <row r="870" spans="1:50" x14ac:dyDescent="0.25">
      <c r="A870" t="str">
        <f>"20200127126017043306"</f>
        <v>20200127126017043306</v>
      </c>
      <c r="B870" t="s">
        <v>190</v>
      </c>
      <c r="C870" t="s">
        <v>190</v>
      </c>
      <c r="D870" t="s">
        <v>3735</v>
      </c>
      <c r="E870" t="str">
        <f>"761470851601"</f>
        <v>761470851601</v>
      </c>
      <c r="F870" t="s">
        <v>52</v>
      </c>
      <c r="G870">
        <v>900472731</v>
      </c>
      <c r="H870">
        <v>76147</v>
      </c>
      <c r="I870" t="s">
        <v>53</v>
      </c>
      <c r="J870">
        <v>2146686</v>
      </c>
      <c r="K870" t="s">
        <v>54</v>
      </c>
      <c r="L870">
        <v>10110853</v>
      </c>
      <c r="M870" t="s">
        <v>897</v>
      </c>
      <c r="N870" t="s">
        <v>291</v>
      </c>
      <c r="O870" t="s">
        <v>1962</v>
      </c>
      <c r="P870" t="s">
        <v>2466</v>
      </c>
      <c r="Q870">
        <v>1217</v>
      </c>
      <c r="R870" t="s">
        <v>54</v>
      </c>
      <c r="S870">
        <v>29392377</v>
      </c>
      <c r="T870" t="s">
        <v>3736</v>
      </c>
      <c r="U870" t="s">
        <v>62</v>
      </c>
      <c r="V870" t="s">
        <v>1516</v>
      </c>
      <c r="W870" t="s">
        <v>364</v>
      </c>
      <c r="X870" t="s">
        <v>277</v>
      </c>
      <c r="Y870" t="s">
        <v>64</v>
      </c>
      <c r="Z870">
        <v>12</v>
      </c>
      <c r="AA870" t="s">
        <v>65</v>
      </c>
      <c r="AB870" t="s">
        <v>56</v>
      </c>
      <c r="AC870" t="s">
        <v>56</v>
      </c>
      <c r="AD870">
        <v>0</v>
      </c>
      <c r="AE870" t="s">
        <v>66</v>
      </c>
      <c r="AF870" t="s">
        <v>56</v>
      </c>
      <c r="AG870" t="s">
        <v>56</v>
      </c>
      <c r="AH870" t="s">
        <v>56</v>
      </c>
      <c r="AI870" t="s">
        <v>56</v>
      </c>
      <c r="AJ870" t="s">
        <v>3737</v>
      </c>
      <c r="AK870" t="s">
        <v>3738</v>
      </c>
      <c r="AL870" t="s">
        <v>56</v>
      </c>
      <c r="AM870" t="s">
        <v>56</v>
      </c>
      <c r="AN870" t="s">
        <v>56</v>
      </c>
      <c r="AO870" t="s">
        <v>56</v>
      </c>
      <c r="AP870" t="s">
        <v>56</v>
      </c>
      <c r="AQ870" t="s">
        <v>71</v>
      </c>
      <c r="AR870" t="s">
        <v>56</v>
      </c>
      <c r="AS870" t="s">
        <v>56</v>
      </c>
      <c r="AT870" t="s">
        <v>56</v>
      </c>
      <c r="AU870" t="s">
        <v>56</v>
      </c>
      <c r="AV870" t="s">
        <v>56</v>
      </c>
      <c r="AW870" t="s">
        <v>56</v>
      </c>
      <c r="AX870">
        <v>4</v>
      </c>
    </row>
    <row r="871" spans="1:50" x14ac:dyDescent="0.25">
      <c r="A871" t="str">
        <f>"20200127136017062893"</f>
        <v>20200127136017062893</v>
      </c>
      <c r="B871" t="s">
        <v>190</v>
      </c>
      <c r="C871" t="s">
        <v>190</v>
      </c>
      <c r="D871" t="s">
        <v>3739</v>
      </c>
      <c r="E871" t="str">
        <f>"700010026001"</f>
        <v>700010026001</v>
      </c>
      <c r="F871" t="s">
        <v>52</v>
      </c>
      <c r="G871">
        <v>892201100</v>
      </c>
      <c r="H871">
        <v>70001</v>
      </c>
      <c r="I871" t="s">
        <v>1705</v>
      </c>
      <c r="J871">
        <v>2743300</v>
      </c>
      <c r="K871" t="s">
        <v>54</v>
      </c>
      <c r="L871">
        <v>45448266</v>
      </c>
      <c r="M871" t="s">
        <v>3740</v>
      </c>
      <c r="N871" t="s">
        <v>3741</v>
      </c>
      <c r="O871" t="s">
        <v>2451</v>
      </c>
      <c r="P871" t="s">
        <v>1622</v>
      </c>
      <c r="Q871">
        <v>45448266</v>
      </c>
      <c r="R871" t="s">
        <v>54</v>
      </c>
      <c r="S871">
        <v>3923750</v>
      </c>
      <c r="T871" t="s">
        <v>2419</v>
      </c>
      <c r="U871" t="s">
        <v>62</v>
      </c>
      <c r="V871" t="s">
        <v>324</v>
      </c>
      <c r="W871" t="s">
        <v>3742</v>
      </c>
      <c r="X871" t="s">
        <v>605</v>
      </c>
      <c r="Y871" t="s">
        <v>330</v>
      </c>
      <c r="Z871">
        <v>12</v>
      </c>
      <c r="AA871" t="s">
        <v>65</v>
      </c>
      <c r="AB871" t="s">
        <v>56</v>
      </c>
      <c r="AC871" t="s">
        <v>56</v>
      </c>
      <c r="AD871">
        <v>0</v>
      </c>
      <c r="AE871" t="s">
        <v>66</v>
      </c>
      <c r="AF871" t="s">
        <v>56</v>
      </c>
      <c r="AG871" t="s">
        <v>56</v>
      </c>
      <c r="AH871" t="s">
        <v>56</v>
      </c>
      <c r="AI871" t="s">
        <v>56</v>
      </c>
      <c r="AJ871" t="s">
        <v>3743</v>
      </c>
      <c r="AK871" t="s">
        <v>3744</v>
      </c>
      <c r="AL871" t="s">
        <v>56</v>
      </c>
      <c r="AM871" t="s">
        <v>56</v>
      </c>
      <c r="AN871" t="s">
        <v>56</v>
      </c>
      <c r="AO871" t="s">
        <v>56</v>
      </c>
      <c r="AP871" t="s">
        <v>56</v>
      </c>
      <c r="AQ871" t="s">
        <v>71</v>
      </c>
      <c r="AR871" t="s">
        <v>56</v>
      </c>
      <c r="AS871" t="s">
        <v>56</v>
      </c>
      <c r="AT871" t="s">
        <v>56</v>
      </c>
      <c r="AU871" t="s">
        <v>56</v>
      </c>
      <c r="AV871" t="s">
        <v>56</v>
      </c>
      <c r="AW871" t="s">
        <v>56</v>
      </c>
      <c r="AX871">
        <v>4</v>
      </c>
    </row>
    <row r="872" spans="1:50" x14ac:dyDescent="0.25">
      <c r="A872" t="str">
        <f>"20200202183017191548"</f>
        <v>20200202183017191548</v>
      </c>
      <c r="B872" t="s">
        <v>90</v>
      </c>
      <c r="C872" t="s">
        <v>90</v>
      </c>
      <c r="D872" t="s">
        <v>3745</v>
      </c>
      <c r="E872" t="str">
        <f>"050010217501"</f>
        <v>050010217501</v>
      </c>
      <c r="F872" t="s">
        <v>52</v>
      </c>
      <c r="G872">
        <v>890900518</v>
      </c>
      <c r="H872" t="s">
        <v>1652</v>
      </c>
      <c r="I872" t="s">
        <v>1653</v>
      </c>
      <c r="J872">
        <v>4441333</v>
      </c>
      <c r="K872" t="s">
        <v>54</v>
      </c>
      <c r="L872">
        <v>1036932553</v>
      </c>
      <c r="M872" t="s">
        <v>1444</v>
      </c>
      <c r="N872" t="s">
        <v>1494</v>
      </c>
      <c r="O872" t="s">
        <v>2602</v>
      </c>
      <c r="P872" t="s">
        <v>109</v>
      </c>
      <c r="Q872">
        <v>5497412</v>
      </c>
      <c r="R872" t="s">
        <v>440</v>
      </c>
      <c r="S872">
        <v>1078100160</v>
      </c>
      <c r="T872" t="s">
        <v>3746</v>
      </c>
      <c r="U872" t="s">
        <v>62</v>
      </c>
      <c r="V872" t="s">
        <v>3747</v>
      </c>
      <c r="W872" t="s">
        <v>2466</v>
      </c>
      <c r="X872" t="s">
        <v>56</v>
      </c>
      <c r="Y872" t="s">
        <v>56</v>
      </c>
      <c r="Z872">
        <v>30</v>
      </c>
      <c r="AA872" t="s">
        <v>661</v>
      </c>
      <c r="AB872">
        <v>0</v>
      </c>
      <c r="AC872" t="s">
        <v>66</v>
      </c>
      <c r="AD872">
        <v>0</v>
      </c>
      <c r="AE872" t="s">
        <v>66</v>
      </c>
      <c r="AF872" t="s">
        <v>56</v>
      </c>
      <c r="AG872" t="s">
        <v>56</v>
      </c>
      <c r="AH872" t="s">
        <v>56</v>
      </c>
      <c r="AI872" t="s">
        <v>56</v>
      </c>
      <c r="AJ872" t="s">
        <v>1173</v>
      </c>
      <c r="AK872" t="s">
        <v>1174</v>
      </c>
      <c r="AL872" t="s">
        <v>56</v>
      </c>
      <c r="AM872" t="s">
        <v>56</v>
      </c>
      <c r="AN872" t="s">
        <v>56</v>
      </c>
      <c r="AO872" t="s">
        <v>56</v>
      </c>
      <c r="AP872" t="s">
        <v>56</v>
      </c>
      <c r="AQ872" t="s">
        <v>71</v>
      </c>
      <c r="AR872" t="s">
        <v>56</v>
      </c>
      <c r="AS872" t="s">
        <v>56</v>
      </c>
      <c r="AT872" t="s">
        <v>56</v>
      </c>
      <c r="AU872" t="s">
        <v>56</v>
      </c>
      <c r="AV872" t="s">
        <v>56</v>
      </c>
      <c r="AW872" t="s">
        <v>56</v>
      </c>
      <c r="AX872">
        <v>4</v>
      </c>
    </row>
    <row r="873" spans="1:50" x14ac:dyDescent="0.25">
      <c r="A873" t="str">
        <f>"20200201167017185446"</f>
        <v>20200201167017185446</v>
      </c>
      <c r="B873" t="s">
        <v>50</v>
      </c>
      <c r="C873" t="s">
        <v>50</v>
      </c>
      <c r="D873" t="s">
        <v>3748</v>
      </c>
      <c r="E873" t="str">
        <f>"134300060301"</f>
        <v>134300060301</v>
      </c>
      <c r="F873" t="s">
        <v>52</v>
      </c>
      <c r="G873">
        <v>900378914</v>
      </c>
      <c r="H873">
        <v>13430</v>
      </c>
      <c r="I873" t="s">
        <v>3749</v>
      </c>
      <c r="J873">
        <v>6875591</v>
      </c>
      <c r="K873" t="s">
        <v>54</v>
      </c>
      <c r="L873">
        <v>56057880</v>
      </c>
      <c r="M873" t="s">
        <v>117</v>
      </c>
      <c r="N873" t="s">
        <v>76</v>
      </c>
      <c r="O873" t="s">
        <v>425</v>
      </c>
      <c r="P873" t="s">
        <v>252</v>
      </c>
      <c r="Q873">
        <v>70027</v>
      </c>
      <c r="R873" t="s">
        <v>3750</v>
      </c>
      <c r="S873">
        <v>158522185</v>
      </c>
      <c r="T873" t="s">
        <v>3751</v>
      </c>
      <c r="U873" t="s">
        <v>373</v>
      </c>
      <c r="V873" t="s">
        <v>376</v>
      </c>
      <c r="W873" t="s">
        <v>560</v>
      </c>
      <c r="X873" t="s">
        <v>56</v>
      </c>
      <c r="Y873" t="s">
        <v>56</v>
      </c>
      <c r="Z873">
        <v>11</v>
      </c>
      <c r="AA873" t="s">
        <v>87</v>
      </c>
      <c r="AB873" t="s">
        <v>56</v>
      </c>
      <c r="AC873" t="s">
        <v>56</v>
      </c>
      <c r="AD873">
        <v>0</v>
      </c>
      <c r="AE873" t="s">
        <v>66</v>
      </c>
      <c r="AF873" t="s">
        <v>56</v>
      </c>
      <c r="AG873" t="s">
        <v>56</v>
      </c>
      <c r="AH873" t="s">
        <v>56</v>
      </c>
      <c r="AI873" t="s">
        <v>56</v>
      </c>
      <c r="AJ873" t="s">
        <v>2081</v>
      </c>
      <c r="AK873" t="s">
        <v>2082</v>
      </c>
      <c r="AL873" t="s">
        <v>56</v>
      </c>
      <c r="AM873" t="s">
        <v>56</v>
      </c>
      <c r="AN873" t="s">
        <v>56</v>
      </c>
      <c r="AO873" t="s">
        <v>56</v>
      </c>
      <c r="AP873" t="s">
        <v>56</v>
      </c>
      <c r="AQ873" t="s">
        <v>71</v>
      </c>
      <c r="AR873" t="s">
        <v>54</v>
      </c>
      <c r="AS873">
        <v>1052995554</v>
      </c>
      <c r="AT873" t="s">
        <v>56</v>
      </c>
      <c r="AU873" t="s">
        <v>56</v>
      </c>
      <c r="AV873" t="s">
        <v>56</v>
      </c>
      <c r="AW873" t="s">
        <v>56</v>
      </c>
      <c r="AX873">
        <v>4</v>
      </c>
    </row>
    <row r="874" spans="1:50" x14ac:dyDescent="0.25">
      <c r="A874" t="str">
        <f>"20200126138017037735"</f>
        <v>20200126138017037735</v>
      </c>
      <c r="B874" t="s">
        <v>244</v>
      </c>
      <c r="C874" t="s">
        <v>244</v>
      </c>
      <c r="D874" t="s">
        <v>3752</v>
      </c>
      <c r="E874" t="str">
        <f>"760010379901"</f>
        <v>760010379901</v>
      </c>
      <c r="F874" t="s">
        <v>52</v>
      </c>
      <c r="G874">
        <v>890303461</v>
      </c>
      <c r="H874">
        <v>76001</v>
      </c>
      <c r="I874" t="s">
        <v>270</v>
      </c>
      <c r="J874" t="s">
        <v>271</v>
      </c>
      <c r="K874" t="s">
        <v>54</v>
      </c>
      <c r="L874">
        <v>67024700</v>
      </c>
      <c r="M874" t="s">
        <v>3753</v>
      </c>
      <c r="N874" t="s">
        <v>3754</v>
      </c>
      <c r="O874" t="s">
        <v>3755</v>
      </c>
      <c r="P874" t="s">
        <v>198</v>
      </c>
      <c r="Q874">
        <v>67024700</v>
      </c>
      <c r="R874" t="s">
        <v>3750</v>
      </c>
      <c r="S874">
        <v>154878694</v>
      </c>
      <c r="T874" t="s">
        <v>117</v>
      </c>
      <c r="U874" t="s">
        <v>448</v>
      </c>
      <c r="V874" t="s">
        <v>3756</v>
      </c>
      <c r="W874" t="s">
        <v>1283</v>
      </c>
      <c r="X874" t="s">
        <v>56</v>
      </c>
      <c r="Y874" t="s">
        <v>56</v>
      </c>
      <c r="Z874">
        <v>22</v>
      </c>
      <c r="AA874" t="s">
        <v>102</v>
      </c>
      <c r="AB874">
        <v>0</v>
      </c>
      <c r="AC874" t="s">
        <v>66</v>
      </c>
      <c r="AD874">
        <v>0</v>
      </c>
      <c r="AE874" t="s">
        <v>66</v>
      </c>
      <c r="AF874" t="s">
        <v>56</v>
      </c>
      <c r="AG874" t="s">
        <v>56</v>
      </c>
      <c r="AH874" t="s">
        <v>56</v>
      </c>
      <c r="AI874" t="s">
        <v>56</v>
      </c>
      <c r="AJ874" t="s">
        <v>1330</v>
      </c>
      <c r="AK874" t="s">
        <v>1331</v>
      </c>
      <c r="AL874" t="s">
        <v>3757</v>
      </c>
      <c r="AM874" t="s">
        <v>3758</v>
      </c>
      <c r="AN874" t="s">
        <v>56</v>
      </c>
      <c r="AO874" t="s">
        <v>56</v>
      </c>
      <c r="AP874" t="s">
        <v>56</v>
      </c>
      <c r="AQ874" t="s">
        <v>71</v>
      </c>
      <c r="AR874" t="s">
        <v>54</v>
      </c>
      <c r="AS874">
        <v>1114401870</v>
      </c>
      <c r="AT874" t="s">
        <v>56</v>
      </c>
      <c r="AU874" t="s">
        <v>56</v>
      </c>
      <c r="AV874" t="s">
        <v>56</v>
      </c>
      <c r="AW874" t="s">
        <v>56</v>
      </c>
      <c r="AX874">
        <v>4</v>
      </c>
    </row>
    <row r="875" spans="1:50" x14ac:dyDescent="0.25">
      <c r="A875" t="str">
        <f>"20200201120017186253"</f>
        <v>20200201120017186253</v>
      </c>
      <c r="B875" t="s">
        <v>50</v>
      </c>
      <c r="C875" t="s">
        <v>50</v>
      </c>
      <c r="D875" t="s">
        <v>3759</v>
      </c>
      <c r="E875" t="str">
        <f>"080010003701"</f>
        <v>080010003701</v>
      </c>
      <c r="F875" t="s">
        <v>52</v>
      </c>
      <c r="G875">
        <v>890102768</v>
      </c>
      <c r="H875" t="s">
        <v>112</v>
      </c>
      <c r="I875" t="s">
        <v>2340</v>
      </c>
      <c r="J875">
        <v>3091999</v>
      </c>
      <c r="K875" t="s">
        <v>54</v>
      </c>
      <c r="L875">
        <v>8699774</v>
      </c>
      <c r="M875" t="s">
        <v>291</v>
      </c>
      <c r="N875" t="s">
        <v>261</v>
      </c>
      <c r="O875" t="s">
        <v>3760</v>
      </c>
      <c r="P875" t="s">
        <v>2733</v>
      </c>
      <c r="Q875">
        <v>19634</v>
      </c>
      <c r="R875" t="s">
        <v>3750</v>
      </c>
      <c r="S875">
        <v>154878694</v>
      </c>
      <c r="T875" t="s">
        <v>117</v>
      </c>
      <c r="U875" t="s">
        <v>448</v>
      </c>
      <c r="V875" t="s">
        <v>3756</v>
      </c>
      <c r="W875" t="s">
        <v>1283</v>
      </c>
      <c r="X875" t="s">
        <v>56</v>
      </c>
      <c r="Y875" t="s">
        <v>56</v>
      </c>
      <c r="Z875">
        <v>22</v>
      </c>
      <c r="AA875" t="s">
        <v>102</v>
      </c>
      <c r="AB875">
        <v>0</v>
      </c>
      <c r="AC875" t="s">
        <v>66</v>
      </c>
      <c r="AD875">
        <v>0</v>
      </c>
      <c r="AE875" t="s">
        <v>66</v>
      </c>
      <c r="AF875" t="s">
        <v>56</v>
      </c>
      <c r="AG875" t="s">
        <v>56</v>
      </c>
      <c r="AH875" t="s">
        <v>56</v>
      </c>
      <c r="AI875" t="s">
        <v>56</v>
      </c>
      <c r="AJ875" t="s">
        <v>3761</v>
      </c>
      <c r="AK875" t="s">
        <v>3762</v>
      </c>
      <c r="AL875" t="s">
        <v>56</v>
      </c>
      <c r="AM875" t="s">
        <v>56</v>
      </c>
      <c r="AN875" t="s">
        <v>56</v>
      </c>
      <c r="AO875" t="s">
        <v>56</v>
      </c>
      <c r="AP875" t="s">
        <v>56</v>
      </c>
      <c r="AQ875" t="s">
        <v>71</v>
      </c>
      <c r="AR875" t="s">
        <v>54</v>
      </c>
      <c r="AS875">
        <v>1114401870</v>
      </c>
      <c r="AT875" t="s">
        <v>56</v>
      </c>
      <c r="AU875" t="s">
        <v>56</v>
      </c>
      <c r="AV875" t="s">
        <v>56</v>
      </c>
      <c r="AW875" t="s">
        <v>56</v>
      </c>
      <c r="AX875">
        <v>4</v>
      </c>
    </row>
    <row r="876" spans="1:50" x14ac:dyDescent="0.25">
      <c r="A876" t="str">
        <f>"20200129170017124758"</f>
        <v>20200129170017124758</v>
      </c>
      <c r="B876" t="s">
        <v>72</v>
      </c>
      <c r="C876" t="s">
        <v>72</v>
      </c>
      <c r="D876" t="s">
        <v>3763</v>
      </c>
      <c r="E876" t="str">
        <f>"472451558901"</f>
        <v>472451558901</v>
      </c>
      <c r="F876" t="s">
        <v>52</v>
      </c>
      <c r="G876">
        <v>900609215</v>
      </c>
      <c r="H876">
        <v>47245</v>
      </c>
      <c r="I876" t="s">
        <v>3764</v>
      </c>
      <c r="J876">
        <v>4292805</v>
      </c>
      <c r="K876" t="s">
        <v>54</v>
      </c>
      <c r="L876">
        <v>77186478</v>
      </c>
      <c r="M876" t="s">
        <v>916</v>
      </c>
      <c r="N876" t="s">
        <v>3765</v>
      </c>
      <c r="O876" t="s">
        <v>3766</v>
      </c>
      <c r="P876" t="s">
        <v>1108</v>
      </c>
      <c r="Q876">
        <v>6612</v>
      </c>
      <c r="R876" t="s">
        <v>440</v>
      </c>
      <c r="S876">
        <v>1137881381</v>
      </c>
      <c r="T876" t="s">
        <v>3767</v>
      </c>
      <c r="U876" t="s">
        <v>995</v>
      </c>
      <c r="V876" t="s">
        <v>364</v>
      </c>
      <c r="W876" t="s">
        <v>743</v>
      </c>
      <c r="X876" t="s">
        <v>56</v>
      </c>
      <c r="Y876" t="s">
        <v>56</v>
      </c>
      <c r="Z876">
        <v>30</v>
      </c>
      <c r="AA876" t="s">
        <v>661</v>
      </c>
      <c r="AB876">
        <v>0</v>
      </c>
      <c r="AC876" t="s">
        <v>66</v>
      </c>
      <c r="AD876">
        <v>0</v>
      </c>
      <c r="AE876" t="s">
        <v>66</v>
      </c>
      <c r="AF876" t="s">
        <v>56</v>
      </c>
      <c r="AG876" t="s">
        <v>56</v>
      </c>
      <c r="AH876" t="s">
        <v>56</v>
      </c>
      <c r="AI876" t="s">
        <v>56</v>
      </c>
      <c r="AJ876" t="s">
        <v>3768</v>
      </c>
      <c r="AK876" t="s">
        <v>3769</v>
      </c>
      <c r="AL876" t="s">
        <v>56</v>
      </c>
      <c r="AM876" t="s">
        <v>56</v>
      </c>
      <c r="AN876" t="s">
        <v>56</v>
      </c>
      <c r="AO876" t="s">
        <v>56</v>
      </c>
      <c r="AP876" t="s">
        <v>56</v>
      </c>
      <c r="AQ876" t="s">
        <v>71</v>
      </c>
      <c r="AR876" t="s">
        <v>56</v>
      </c>
      <c r="AS876" t="s">
        <v>56</v>
      </c>
      <c r="AT876" t="s">
        <v>56</v>
      </c>
      <c r="AU876" t="s">
        <v>56</v>
      </c>
      <c r="AV876" t="s">
        <v>56</v>
      </c>
      <c r="AW876" t="s">
        <v>56</v>
      </c>
      <c r="AX876">
        <v>4</v>
      </c>
    </row>
    <row r="877" spans="1:50" x14ac:dyDescent="0.25">
      <c r="A877" t="str">
        <f>"20200127186017059748"</f>
        <v>20200127186017059748</v>
      </c>
      <c r="B877" t="s">
        <v>190</v>
      </c>
      <c r="C877" t="s">
        <v>3770</v>
      </c>
      <c r="D877" t="s">
        <v>3728</v>
      </c>
      <c r="E877" t="str">
        <f>"200010001801"</f>
        <v>200010001801</v>
      </c>
      <c r="F877" t="s">
        <v>52</v>
      </c>
      <c r="G877">
        <v>900008328</v>
      </c>
      <c r="H877">
        <v>20001</v>
      </c>
      <c r="I877" t="s">
        <v>336</v>
      </c>
      <c r="J877" t="s">
        <v>337</v>
      </c>
      <c r="K877" t="s">
        <v>54</v>
      </c>
      <c r="L877">
        <v>1140828491</v>
      </c>
      <c r="M877" t="s">
        <v>1954</v>
      </c>
      <c r="N877" t="s">
        <v>117</v>
      </c>
      <c r="O877" t="s">
        <v>3771</v>
      </c>
      <c r="P877" t="s">
        <v>2178</v>
      </c>
      <c r="Q877">
        <v>201205</v>
      </c>
      <c r="R877" t="s">
        <v>3772</v>
      </c>
      <c r="S877">
        <v>15826957</v>
      </c>
      <c r="T877" t="s">
        <v>3773</v>
      </c>
      <c r="U877" t="s">
        <v>62</v>
      </c>
      <c r="V877" t="s">
        <v>393</v>
      </c>
      <c r="W877" t="s">
        <v>472</v>
      </c>
      <c r="X877" t="s">
        <v>56</v>
      </c>
      <c r="Y877" t="s">
        <v>56</v>
      </c>
      <c r="Z877">
        <v>22</v>
      </c>
      <c r="AA877" t="s">
        <v>102</v>
      </c>
      <c r="AB877">
        <v>0</v>
      </c>
      <c r="AC877" t="s">
        <v>66</v>
      </c>
      <c r="AD877">
        <v>0</v>
      </c>
      <c r="AE877" t="s">
        <v>66</v>
      </c>
      <c r="AF877" t="s">
        <v>56</v>
      </c>
      <c r="AG877" t="s">
        <v>56</v>
      </c>
      <c r="AH877" t="s">
        <v>56</v>
      </c>
      <c r="AI877" t="s">
        <v>56</v>
      </c>
      <c r="AJ877" t="s">
        <v>2081</v>
      </c>
      <c r="AK877" t="s">
        <v>2082</v>
      </c>
      <c r="AL877" t="s">
        <v>3774</v>
      </c>
      <c r="AM877" t="s">
        <v>3775</v>
      </c>
      <c r="AN877" t="s">
        <v>56</v>
      </c>
      <c r="AO877" t="s">
        <v>56</v>
      </c>
      <c r="AP877" t="s">
        <v>56</v>
      </c>
      <c r="AQ877" t="s">
        <v>71</v>
      </c>
      <c r="AR877" t="s">
        <v>56</v>
      </c>
      <c r="AS877" t="s">
        <v>56</v>
      </c>
      <c r="AT877">
        <v>4</v>
      </c>
      <c r="AU877" t="s">
        <v>3776</v>
      </c>
      <c r="AV877" t="s">
        <v>56</v>
      </c>
      <c r="AW877" t="s">
        <v>56</v>
      </c>
      <c r="AX877">
        <v>4</v>
      </c>
    </row>
    <row r="878" spans="1:50" x14ac:dyDescent="0.25">
      <c r="A878" t="str">
        <f>"20200127150017057892"</f>
        <v>20200127150017057892</v>
      </c>
      <c r="B878" t="s">
        <v>190</v>
      </c>
      <c r="C878" t="s">
        <v>3770</v>
      </c>
      <c r="D878" t="s">
        <v>3728</v>
      </c>
      <c r="E878" t="str">
        <f>"200010001801"</f>
        <v>200010001801</v>
      </c>
      <c r="F878" t="s">
        <v>52</v>
      </c>
      <c r="G878">
        <v>900008328</v>
      </c>
      <c r="H878">
        <v>20001</v>
      </c>
      <c r="I878" t="s">
        <v>336</v>
      </c>
      <c r="J878" t="s">
        <v>337</v>
      </c>
      <c r="K878" t="s">
        <v>54</v>
      </c>
      <c r="L878">
        <v>49793274</v>
      </c>
      <c r="M878" t="s">
        <v>1738</v>
      </c>
      <c r="N878" t="s">
        <v>3777</v>
      </c>
      <c r="O878" t="s">
        <v>963</v>
      </c>
      <c r="P878" t="s">
        <v>1922</v>
      </c>
      <c r="Q878">
        <v>5713</v>
      </c>
      <c r="R878" t="s">
        <v>3772</v>
      </c>
      <c r="S878">
        <v>15826957</v>
      </c>
      <c r="T878" t="s">
        <v>3773</v>
      </c>
      <c r="U878" t="s">
        <v>62</v>
      </c>
      <c r="V878" t="s">
        <v>393</v>
      </c>
      <c r="W878" t="s">
        <v>472</v>
      </c>
      <c r="X878" t="s">
        <v>56</v>
      </c>
      <c r="Y878" t="s">
        <v>56</v>
      </c>
      <c r="Z878">
        <v>22</v>
      </c>
      <c r="AA878" t="s">
        <v>102</v>
      </c>
      <c r="AB878">
        <v>0</v>
      </c>
      <c r="AC878" t="s">
        <v>66</v>
      </c>
      <c r="AD878">
        <v>0</v>
      </c>
      <c r="AE878" t="s">
        <v>66</v>
      </c>
      <c r="AF878" t="s">
        <v>56</v>
      </c>
      <c r="AG878" t="s">
        <v>56</v>
      </c>
      <c r="AH878" t="s">
        <v>56</v>
      </c>
      <c r="AI878" t="s">
        <v>56</v>
      </c>
      <c r="AJ878" t="s">
        <v>3768</v>
      </c>
      <c r="AK878" t="s">
        <v>3769</v>
      </c>
      <c r="AL878" t="s">
        <v>56</v>
      </c>
      <c r="AM878" t="s">
        <v>56</v>
      </c>
      <c r="AN878" t="s">
        <v>56</v>
      </c>
      <c r="AO878" t="s">
        <v>56</v>
      </c>
      <c r="AP878" t="s">
        <v>56</v>
      </c>
      <c r="AQ878" t="s">
        <v>71</v>
      </c>
      <c r="AR878" t="s">
        <v>56</v>
      </c>
      <c r="AS878" t="s">
        <v>56</v>
      </c>
      <c r="AT878">
        <v>4</v>
      </c>
      <c r="AU878" t="s">
        <v>3776</v>
      </c>
      <c r="AV878" t="s">
        <v>56</v>
      </c>
      <c r="AW878" t="s">
        <v>56</v>
      </c>
      <c r="AX878">
        <v>4</v>
      </c>
    </row>
    <row r="879" spans="1:50" x14ac:dyDescent="0.25">
      <c r="A879" t="str">
        <f>"20200128136017091413"</f>
        <v>20200128136017091413</v>
      </c>
      <c r="B879" t="s">
        <v>151</v>
      </c>
      <c r="C879" t="s">
        <v>151</v>
      </c>
      <c r="D879" t="s">
        <v>3778</v>
      </c>
      <c r="E879" t="str">
        <f>"472451558901"</f>
        <v>472451558901</v>
      </c>
      <c r="F879" t="s">
        <v>52</v>
      </c>
      <c r="G879">
        <v>900609215</v>
      </c>
      <c r="H879">
        <v>47245</v>
      </c>
      <c r="I879" t="s">
        <v>3764</v>
      </c>
      <c r="J879">
        <v>4292805</v>
      </c>
      <c r="K879" t="s">
        <v>54</v>
      </c>
      <c r="L879">
        <v>77186478</v>
      </c>
      <c r="M879" t="s">
        <v>916</v>
      </c>
      <c r="N879" t="s">
        <v>3765</v>
      </c>
      <c r="O879" t="s">
        <v>3766</v>
      </c>
      <c r="P879" t="s">
        <v>1108</v>
      </c>
      <c r="Q879">
        <v>6612</v>
      </c>
      <c r="R879" t="s">
        <v>3750</v>
      </c>
      <c r="S879">
        <v>158431668</v>
      </c>
      <c r="T879" t="s">
        <v>3779</v>
      </c>
      <c r="U879" t="s">
        <v>62</v>
      </c>
      <c r="V879" t="s">
        <v>263</v>
      </c>
      <c r="W879" t="s">
        <v>3780</v>
      </c>
      <c r="X879" t="s">
        <v>56</v>
      </c>
      <c r="Y879" t="s">
        <v>56</v>
      </c>
      <c r="Z879">
        <v>30</v>
      </c>
      <c r="AA879" t="s">
        <v>661</v>
      </c>
      <c r="AB879">
        <v>0</v>
      </c>
      <c r="AC879" t="s">
        <v>66</v>
      </c>
      <c r="AD879">
        <v>0</v>
      </c>
      <c r="AE879" t="s">
        <v>66</v>
      </c>
      <c r="AF879" t="s">
        <v>56</v>
      </c>
      <c r="AG879" t="s">
        <v>56</v>
      </c>
      <c r="AH879" t="s">
        <v>56</v>
      </c>
      <c r="AI879" t="s">
        <v>56</v>
      </c>
      <c r="AJ879" t="s">
        <v>3768</v>
      </c>
      <c r="AK879" t="s">
        <v>3769</v>
      </c>
      <c r="AL879" t="s">
        <v>56</v>
      </c>
      <c r="AM879" t="s">
        <v>56</v>
      </c>
      <c r="AN879" t="s">
        <v>56</v>
      </c>
      <c r="AO879" t="s">
        <v>56</v>
      </c>
      <c r="AP879" t="s">
        <v>56</v>
      </c>
      <c r="AQ879" t="s">
        <v>71</v>
      </c>
      <c r="AR879" t="s">
        <v>237</v>
      </c>
      <c r="AS879">
        <v>1050066281</v>
      </c>
      <c r="AT879" t="s">
        <v>56</v>
      </c>
      <c r="AU879" t="s">
        <v>56</v>
      </c>
      <c r="AV879" t="s">
        <v>56</v>
      </c>
      <c r="AW879" t="s">
        <v>56</v>
      </c>
      <c r="AX879">
        <v>4</v>
      </c>
    </row>
    <row r="880" spans="1:50" x14ac:dyDescent="0.25">
      <c r="A880" t="str">
        <f>"20200128172017084048"</f>
        <v>20200128172017084048</v>
      </c>
      <c r="B880" t="s">
        <v>151</v>
      </c>
      <c r="C880" t="s">
        <v>151</v>
      </c>
      <c r="D880" t="s">
        <v>3781</v>
      </c>
      <c r="E880" t="str">
        <f>"200010001801"</f>
        <v>200010001801</v>
      </c>
      <c r="F880" t="s">
        <v>52</v>
      </c>
      <c r="G880">
        <v>900008328</v>
      </c>
      <c r="H880">
        <v>20001</v>
      </c>
      <c r="I880" t="s">
        <v>336</v>
      </c>
      <c r="J880" t="s">
        <v>337</v>
      </c>
      <c r="K880" t="s">
        <v>54</v>
      </c>
      <c r="L880">
        <v>1065617403</v>
      </c>
      <c r="M880" t="s">
        <v>117</v>
      </c>
      <c r="N880" t="s">
        <v>3688</v>
      </c>
      <c r="O880" t="s">
        <v>115</v>
      </c>
      <c r="P880" t="s">
        <v>2825</v>
      </c>
      <c r="Q880">
        <v>44165</v>
      </c>
      <c r="R880" t="s">
        <v>3750</v>
      </c>
      <c r="S880">
        <v>158724062</v>
      </c>
      <c r="T880" t="s">
        <v>470</v>
      </c>
      <c r="U880" t="s">
        <v>117</v>
      </c>
      <c r="V880" t="s">
        <v>405</v>
      </c>
      <c r="W880" t="s">
        <v>376</v>
      </c>
      <c r="X880" t="s">
        <v>56</v>
      </c>
      <c r="Y880" t="s">
        <v>56</v>
      </c>
      <c r="Z880">
        <v>22</v>
      </c>
      <c r="AA880" t="s">
        <v>102</v>
      </c>
      <c r="AB880">
        <v>0</v>
      </c>
      <c r="AC880" t="s">
        <v>66</v>
      </c>
      <c r="AD880">
        <v>0</v>
      </c>
      <c r="AE880" t="s">
        <v>66</v>
      </c>
      <c r="AF880" t="s">
        <v>56</v>
      </c>
      <c r="AG880" t="s">
        <v>56</v>
      </c>
      <c r="AH880" t="s">
        <v>56</v>
      </c>
      <c r="AI880" t="s">
        <v>56</v>
      </c>
      <c r="AJ880" t="s">
        <v>3768</v>
      </c>
      <c r="AK880" t="s">
        <v>3769</v>
      </c>
      <c r="AL880" t="s">
        <v>56</v>
      </c>
      <c r="AM880" t="s">
        <v>56</v>
      </c>
      <c r="AN880" t="s">
        <v>56</v>
      </c>
      <c r="AO880" t="s">
        <v>56</v>
      </c>
      <c r="AP880" t="s">
        <v>56</v>
      </c>
      <c r="AQ880" t="s">
        <v>71</v>
      </c>
      <c r="AR880" t="s">
        <v>54</v>
      </c>
      <c r="AS880">
        <v>1082241047</v>
      </c>
      <c r="AT880" t="s">
        <v>56</v>
      </c>
      <c r="AU880" t="s">
        <v>56</v>
      </c>
      <c r="AV880" t="s">
        <v>56</v>
      </c>
      <c r="AW880" t="s">
        <v>56</v>
      </c>
      <c r="AX880">
        <v>4</v>
      </c>
    </row>
    <row r="881" spans="1:50" x14ac:dyDescent="0.25">
      <c r="A881" t="str">
        <f>"20200125117017032189"</f>
        <v>20200125117017032189</v>
      </c>
      <c r="B881" t="s">
        <v>752</v>
      </c>
      <c r="C881" t="s">
        <v>752</v>
      </c>
      <c r="D881" t="s">
        <v>3782</v>
      </c>
      <c r="E881" t="str">
        <f>"130010314101"</f>
        <v>130010314101</v>
      </c>
      <c r="F881" t="s">
        <v>52</v>
      </c>
      <c r="G881">
        <v>901031682</v>
      </c>
      <c r="H881">
        <v>13001</v>
      </c>
      <c r="I881" t="s">
        <v>2792</v>
      </c>
      <c r="J881">
        <v>6448161</v>
      </c>
      <c r="K881" t="s">
        <v>54</v>
      </c>
      <c r="L881">
        <v>42824704</v>
      </c>
      <c r="M881" t="s">
        <v>3074</v>
      </c>
      <c r="N881" t="s">
        <v>117</v>
      </c>
      <c r="O881" t="s">
        <v>3783</v>
      </c>
      <c r="P881" t="s">
        <v>3784</v>
      </c>
      <c r="Q881">
        <v>51454</v>
      </c>
      <c r="R881" t="s">
        <v>3750</v>
      </c>
      <c r="S881">
        <v>158513923</v>
      </c>
      <c r="T881" t="s">
        <v>495</v>
      </c>
      <c r="U881" t="s">
        <v>1006</v>
      </c>
      <c r="V881" t="s">
        <v>1715</v>
      </c>
      <c r="W881" t="s">
        <v>284</v>
      </c>
      <c r="X881" t="s">
        <v>56</v>
      </c>
      <c r="Y881" t="s">
        <v>56</v>
      </c>
      <c r="Z881">
        <v>22</v>
      </c>
      <c r="AA881" t="s">
        <v>102</v>
      </c>
      <c r="AB881">
        <v>0</v>
      </c>
      <c r="AC881" t="s">
        <v>66</v>
      </c>
      <c r="AD881">
        <v>0</v>
      </c>
      <c r="AE881" t="s">
        <v>66</v>
      </c>
      <c r="AF881" t="s">
        <v>56</v>
      </c>
      <c r="AG881" t="s">
        <v>56</v>
      </c>
      <c r="AH881" t="s">
        <v>56</v>
      </c>
      <c r="AI881" t="s">
        <v>56</v>
      </c>
      <c r="AJ881" t="s">
        <v>3785</v>
      </c>
      <c r="AK881" t="s">
        <v>3786</v>
      </c>
      <c r="AL881" t="s">
        <v>56</v>
      </c>
      <c r="AM881" t="s">
        <v>56</v>
      </c>
      <c r="AN881" t="s">
        <v>56</v>
      </c>
      <c r="AO881" t="s">
        <v>56</v>
      </c>
      <c r="AP881" t="s">
        <v>56</v>
      </c>
      <c r="AQ881" t="s">
        <v>71</v>
      </c>
      <c r="AR881" t="s">
        <v>54</v>
      </c>
      <c r="AS881">
        <v>1193549690</v>
      </c>
      <c r="AT881" t="s">
        <v>56</v>
      </c>
      <c r="AU881" t="s">
        <v>56</v>
      </c>
      <c r="AV881" t="s">
        <v>56</v>
      </c>
      <c r="AW881" t="s">
        <v>56</v>
      </c>
      <c r="AX881">
        <v>4</v>
      </c>
    </row>
    <row r="882" spans="1:50" x14ac:dyDescent="0.25">
      <c r="A882" t="str">
        <f>"20200128165017073895"</f>
        <v>20200128165017073895</v>
      </c>
      <c r="B882" t="s">
        <v>151</v>
      </c>
      <c r="C882" t="s">
        <v>151</v>
      </c>
      <c r="D882" t="s">
        <v>3787</v>
      </c>
      <c r="E882" t="str">
        <f>"130010314101"</f>
        <v>130010314101</v>
      </c>
      <c r="F882" t="s">
        <v>52</v>
      </c>
      <c r="G882">
        <v>901031682</v>
      </c>
      <c r="H882">
        <v>13001</v>
      </c>
      <c r="I882" t="s">
        <v>2792</v>
      </c>
      <c r="J882">
        <v>6448161</v>
      </c>
      <c r="K882" t="s">
        <v>54</v>
      </c>
      <c r="L882">
        <v>45531133</v>
      </c>
      <c r="M882" t="s">
        <v>3788</v>
      </c>
      <c r="N882" t="s">
        <v>3789</v>
      </c>
      <c r="O882" t="s">
        <v>1306</v>
      </c>
      <c r="P882" t="s">
        <v>3790</v>
      </c>
      <c r="Q882">
        <v>4582</v>
      </c>
      <c r="R882" t="s">
        <v>3750</v>
      </c>
      <c r="S882">
        <v>158513923</v>
      </c>
      <c r="T882" t="s">
        <v>495</v>
      </c>
      <c r="U882" t="s">
        <v>1006</v>
      </c>
      <c r="V882" t="s">
        <v>1715</v>
      </c>
      <c r="W882" t="s">
        <v>284</v>
      </c>
      <c r="X882" t="s">
        <v>56</v>
      </c>
      <c r="Y882" t="s">
        <v>56</v>
      </c>
      <c r="Z882">
        <v>22</v>
      </c>
      <c r="AA882" t="s">
        <v>102</v>
      </c>
      <c r="AB882">
        <v>0</v>
      </c>
      <c r="AC882" t="s">
        <v>66</v>
      </c>
      <c r="AD882">
        <v>0</v>
      </c>
      <c r="AE882" t="s">
        <v>66</v>
      </c>
      <c r="AF882" t="s">
        <v>56</v>
      </c>
      <c r="AG882" t="s">
        <v>56</v>
      </c>
      <c r="AH882" t="s">
        <v>56</v>
      </c>
      <c r="AI882" t="s">
        <v>56</v>
      </c>
      <c r="AJ882" t="s">
        <v>3785</v>
      </c>
      <c r="AK882" t="s">
        <v>3786</v>
      </c>
      <c r="AL882" t="s">
        <v>56</v>
      </c>
      <c r="AM882" t="s">
        <v>56</v>
      </c>
      <c r="AN882" t="s">
        <v>56</v>
      </c>
      <c r="AO882" t="s">
        <v>56</v>
      </c>
      <c r="AP882" t="s">
        <v>56</v>
      </c>
      <c r="AQ882" t="s">
        <v>71</v>
      </c>
      <c r="AR882" t="s">
        <v>54</v>
      </c>
      <c r="AS882">
        <v>1193549690</v>
      </c>
      <c r="AT882" t="s">
        <v>56</v>
      </c>
      <c r="AU882" t="s">
        <v>56</v>
      </c>
      <c r="AV882" t="s">
        <v>56</v>
      </c>
      <c r="AW882" t="s">
        <v>56</v>
      </c>
      <c r="AX882">
        <v>4</v>
      </c>
    </row>
    <row r="883" spans="1:50" x14ac:dyDescent="0.25">
      <c r="A883" t="str">
        <f>"20200125144017029649"</f>
        <v>20200125144017029649</v>
      </c>
      <c r="B883" t="s">
        <v>752</v>
      </c>
      <c r="C883" t="s">
        <v>752</v>
      </c>
      <c r="D883" t="s">
        <v>3791</v>
      </c>
      <c r="E883" t="str">
        <f>"134300060301"</f>
        <v>134300060301</v>
      </c>
      <c r="F883" t="s">
        <v>52</v>
      </c>
      <c r="G883">
        <v>900378914</v>
      </c>
      <c r="H883">
        <v>13430</v>
      </c>
      <c r="I883" t="s">
        <v>3749</v>
      </c>
      <c r="J883">
        <v>6875591</v>
      </c>
      <c r="K883" t="s">
        <v>54</v>
      </c>
      <c r="L883">
        <v>92517817</v>
      </c>
      <c r="M883" t="s">
        <v>2684</v>
      </c>
      <c r="N883" t="s">
        <v>128</v>
      </c>
      <c r="O883" t="s">
        <v>3792</v>
      </c>
      <c r="P883" t="s">
        <v>99</v>
      </c>
      <c r="Q883" t="s">
        <v>3793</v>
      </c>
      <c r="R883" t="s">
        <v>3750</v>
      </c>
      <c r="S883">
        <v>158520412</v>
      </c>
      <c r="T883" t="s">
        <v>3794</v>
      </c>
      <c r="U883" t="s">
        <v>196</v>
      </c>
      <c r="V883" t="s">
        <v>792</v>
      </c>
      <c r="W883" t="s">
        <v>2361</v>
      </c>
      <c r="X883" t="s">
        <v>56</v>
      </c>
      <c r="Y883" t="s">
        <v>56</v>
      </c>
      <c r="Z883">
        <v>12</v>
      </c>
      <c r="AA883" t="s">
        <v>65</v>
      </c>
      <c r="AB883" t="s">
        <v>56</v>
      </c>
      <c r="AC883" t="s">
        <v>56</v>
      </c>
      <c r="AD883">
        <v>0</v>
      </c>
      <c r="AE883" t="s">
        <v>66</v>
      </c>
      <c r="AF883" t="s">
        <v>56</v>
      </c>
      <c r="AG883" t="s">
        <v>56</v>
      </c>
      <c r="AH883" t="s">
        <v>56</v>
      </c>
      <c r="AI883" t="s">
        <v>56</v>
      </c>
      <c r="AJ883" t="s">
        <v>2081</v>
      </c>
      <c r="AK883" t="s">
        <v>2082</v>
      </c>
      <c r="AL883" t="s">
        <v>3774</v>
      </c>
      <c r="AM883" t="s">
        <v>3775</v>
      </c>
      <c r="AN883" t="s">
        <v>3795</v>
      </c>
      <c r="AO883" t="s">
        <v>3796</v>
      </c>
      <c r="AP883" t="s">
        <v>56</v>
      </c>
      <c r="AQ883" t="s">
        <v>71</v>
      </c>
      <c r="AR883" t="s">
        <v>54</v>
      </c>
      <c r="AS883">
        <v>1046396890</v>
      </c>
      <c r="AT883" t="s">
        <v>56</v>
      </c>
      <c r="AU883" t="s">
        <v>56</v>
      </c>
      <c r="AV883" t="s">
        <v>56</v>
      </c>
      <c r="AW883" t="s">
        <v>56</v>
      </c>
      <c r="AX883">
        <v>4</v>
      </c>
    </row>
    <row r="884" spans="1:50" x14ac:dyDescent="0.25">
      <c r="A884" t="str">
        <f>"20200128140017074507"</f>
        <v>20200128140017074507</v>
      </c>
      <c r="B884" t="s">
        <v>151</v>
      </c>
      <c r="C884" t="s">
        <v>201</v>
      </c>
      <c r="D884" t="s">
        <v>3728</v>
      </c>
      <c r="E884" t="str">
        <f>"200010018301"</f>
        <v>200010018301</v>
      </c>
      <c r="F884" t="s">
        <v>52</v>
      </c>
      <c r="G884">
        <v>824002277</v>
      </c>
      <c r="H884">
        <v>20001</v>
      </c>
      <c r="I884" t="s">
        <v>2217</v>
      </c>
      <c r="J884">
        <v>5806494</v>
      </c>
      <c r="K884" t="s">
        <v>54</v>
      </c>
      <c r="L884">
        <v>32746801</v>
      </c>
      <c r="M884" t="s">
        <v>2037</v>
      </c>
      <c r="N884" t="s">
        <v>342</v>
      </c>
      <c r="O884" t="s">
        <v>691</v>
      </c>
      <c r="P884" t="s">
        <v>2038</v>
      </c>
      <c r="Q884">
        <v>1083</v>
      </c>
      <c r="R884" t="s">
        <v>440</v>
      </c>
      <c r="S884">
        <v>1004306503</v>
      </c>
      <c r="T884" t="s">
        <v>3797</v>
      </c>
      <c r="U884" t="s">
        <v>519</v>
      </c>
      <c r="V884" t="s">
        <v>109</v>
      </c>
      <c r="W884" t="s">
        <v>1108</v>
      </c>
      <c r="X884" t="s">
        <v>56</v>
      </c>
      <c r="Y884" t="s">
        <v>56</v>
      </c>
      <c r="Z884">
        <v>22</v>
      </c>
      <c r="AA884" t="s">
        <v>102</v>
      </c>
      <c r="AB884">
        <v>0</v>
      </c>
      <c r="AC884" t="s">
        <v>66</v>
      </c>
      <c r="AD884">
        <v>0</v>
      </c>
      <c r="AE884" t="s">
        <v>66</v>
      </c>
      <c r="AF884" t="s">
        <v>56</v>
      </c>
      <c r="AG884" t="s">
        <v>56</v>
      </c>
      <c r="AH884" t="s">
        <v>56</v>
      </c>
      <c r="AI884" t="s">
        <v>56</v>
      </c>
      <c r="AJ884" t="s">
        <v>3798</v>
      </c>
      <c r="AK884" t="s">
        <v>3799</v>
      </c>
      <c r="AL884" t="s">
        <v>2081</v>
      </c>
      <c r="AM884" t="s">
        <v>2082</v>
      </c>
      <c r="AN884" t="s">
        <v>56</v>
      </c>
      <c r="AO884" t="s">
        <v>56</v>
      </c>
      <c r="AP884" t="s">
        <v>56</v>
      </c>
      <c r="AQ884" t="s">
        <v>71</v>
      </c>
      <c r="AR884" t="s">
        <v>56</v>
      </c>
      <c r="AS884" t="s">
        <v>56</v>
      </c>
      <c r="AT884">
        <v>3</v>
      </c>
      <c r="AU884" t="s">
        <v>3800</v>
      </c>
      <c r="AV884" t="s">
        <v>56</v>
      </c>
      <c r="AW884" t="s">
        <v>56</v>
      </c>
      <c r="AX884">
        <v>4</v>
      </c>
    </row>
    <row r="885" spans="1:50" x14ac:dyDescent="0.25">
      <c r="A885" t="str">
        <f>"20200127192017042400"</f>
        <v>20200127192017042400</v>
      </c>
      <c r="B885" t="s">
        <v>190</v>
      </c>
      <c r="C885" t="s">
        <v>190</v>
      </c>
      <c r="D885" t="s">
        <v>3801</v>
      </c>
      <c r="E885" t="str">
        <f>"050010217501"</f>
        <v>050010217501</v>
      </c>
      <c r="F885" t="s">
        <v>52</v>
      </c>
      <c r="G885">
        <v>890900518</v>
      </c>
      <c r="H885" t="s">
        <v>1652</v>
      </c>
      <c r="I885" t="s">
        <v>1653</v>
      </c>
      <c r="J885">
        <v>4441333</v>
      </c>
      <c r="K885" t="s">
        <v>54</v>
      </c>
      <c r="L885">
        <v>43562586</v>
      </c>
      <c r="M885" t="s">
        <v>117</v>
      </c>
      <c r="N885" t="s">
        <v>3802</v>
      </c>
      <c r="O885" t="s">
        <v>3803</v>
      </c>
      <c r="P885" t="s">
        <v>99</v>
      </c>
      <c r="Q885">
        <v>5056796</v>
      </c>
      <c r="R885" t="s">
        <v>3750</v>
      </c>
      <c r="S885">
        <v>158561373</v>
      </c>
      <c r="T885" t="s">
        <v>373</v>
      </c>
      <c r="U885" t="s">
        <v>2745</v>
      </c>
      <c r="V885" t="s">
        <v>1254</v>
      </c>
      <c r="W885" t="s">
        <v>715</v>
      </c>
      <c r="X885" t="s">
        <v>56</v>
      </c>
      <c r="Y885" t="s">
        <v>56</v>
      </c>
      <c r="Z885">
        <v>22</v>
      </c>
      <c r="AA885" t="s">
        <v>102</v>
      </c>
      <c r="AB885">
        <v>0</v>
      </c>
      <c r="AC885" t="s">
        <v>66</v>
      </c>
      <c r="AD885">
        <v>0</v>
      </c>
      <c r="AE885" t="s">
        <v>66</v>
      </c>
      <c r="AF885" t="s">
        <v>56</v>
      </c>
      <c r="AG885" t="s">
        <v>56</v>
      </c>
      <c r="AH885" t="s">
        <v>56</v>
      </c>
      <c r="AI885" t="s">
        <v>56</v>
      </c>
      <c r="AJ885" t="s">
        <v>2081</v>
      </c>
      <c r="AK885" t="s">
        <v>2082</v>
      </c>
      <c r="AL885" t="s">
        <v>3804</v>
      </c>
      <c r="AM885" t="s">
        <v>3805</v>
      </c>
      <c r="AN885" t="s">
        <v>3806</v>
      </c>
      <c r="AO885" t="s">
        <v>3807</v>
      </c>
      <c r="AP885" t="s">
        <v>56</v>
      </c>
      <c r="AQ885" t="s">
        <v>71</v>
      </c>
      <c r="AR885" t="s">
        <v>54</v>
      </c>
      <c r="AS885">
        <v>1030420289</v>
      </c>
      <c r="AT885" t="s">
        <v>56</v>
      </c>
      <c r="AU885" t="s">
        <v>56</v>
      </c>
      <c r="AV885" t="s">
        <v>56</v>
      </c>
      <c r="AW885" t="s">
        <v>56</v>
      </c>
      <c r="AX885">
        <v>4</v>
      </c>
    </row>
    <row r="886" spans="1:50" x14ac:dyDescent="0.25">
      <c r="A886" t="str">
        <f>"20200124134017020812"</f>
        <v>20200124134017020812</v>
      </c>
      <c r="B886" t="s">
        <v>201</v>
      </c>
      <c r="C886" t="s">
        <v>201</v>
      </c>
      <c r="D886" t="s">
        <v>3808</v>
      </c>
      <c r="E886" t="str">
        <f>"130010167501"</f>
        <v>130010167501</v>
      </c>
      <c r="F886" t="s">
        <v>52</v>
      </c>
      <c r="G886">
        <v>900036695</v>
      </c>
      <c r="H886">
        <v>13001</v>
      </c>
      <c r="I886" t="s">
        <v>3809</v>
      </c>
      <c r="J886">
        <v>6722153</v>
      </c>
      <c r="K886" t="s">
        <v>54</v>
      </c>
      <c r="L886">
        <v>12561214</v>
      </c>
      <c r="M886" t="s">
        <v>291</v>
      </c>
      <c r="N886" t="s">
        <v>165</v>
      </c>
      <c r="O886" t="s">
        <v>3810</v>
      </c>
      <c r="P886" t="s">
        <v>560</v>
      </c>
      <c r="Q886">
        <v>12561214</v>
      </c>
      <c r="R886" t="s">
        <v>3750</v>
      </c>
      <c r="S886">
        <v>158511235</v>
      </c>
      <c r="T886" t="s">
        <v>117</v>
      </c>
      <c r="U886" t="s">
        <v>3811</v>
      </c>
      <c r="V886" t="s">
        <v>324</v>
      </c>
      <c r="W886" t="s">
        <v>854</v>
      </c>
      <c r="X886" t="s">
        <v>56</v>
      </c>
      <c r="Y886" t="s">
        <v>56</v>
      </c>
      <c r="Z886">
        <v>22</v>
      </c>
      <c r="AA886" t="s">
        <v>102</v>
      </c>
      <c r="AB886">
        <v>0</v>
      </c>
      <c r="AC886" t="s">
        <v>66</v>
      </c>
      <c r="AD886">
        <v>0</v>
      </c>
      <c r="AE886" t="s">
        <v>66</v>
      </c>
      <c r="AF886" t="s">
        <v>56</v>
      </c>
      <c r="AG886" t="s">
        <v>56</v>
      </c>
      <c r="AH886" t="s">
        <v>56</v>
      </c>
      <c r="AI886" t="s">
        <v>56</v>
      </c>
      <c r="AJ886" t="s">
        <v>3798</v>
      </c>
      <c r="AK886" t="s">
        <v>3799</v>
      </c>
      <c r="AL886" t="s">
        <v>56</v>
      </c>
      <c r="AM886" t="s">
        <v>56</v>
      </c>
      <c r="AN886" t="s">
        <v>56</v>
      </c>
      <c r="AO886" t="s">
        <v>56</v>
      </c>
      <c r="AP886" t="s">
        <v>56</v>
      </c>
      <c r="AQ886" t="s">
        <v>71</v>
      </c>
      <c r="AR886" t="s">
        <v>54</v>
      </c>
      <c r="AS886">
        <v>1047500032</v>
      </c>
      <c r="AT886" t="s">
        <v>56</v>
      </c>
      <c r="AU886" t="s">
        <v>56</v>
      </c>
      <c r="AV886" t="s">
        <v>56</v>
      </c>
      <c r="AW886" t="s">
        <v>56</v>
      </c>
      <c r="AX886">
        <v>4</v>
      </c>
    </row>
    <row r="887" spans="1:50" x14ac:dyDescent="0.25">
      <c r="A887" t="str">
        <f>"20200130120017155085"</f>
        <v>20200130120017155085</v>
      </c>
      <c r="B887" t="s">
        <v>124</v>
      </c>
      <c r="C887" t="s">
        <v>124</v>
      </c>
      <c r="D887" t="s">
        <v>3812</v>
      </c>
      <c r="E887" t="str">
        <f>"080010445438"</f>
        <v>080010445438</v>
      </c>
      <c r="F887" t="s">
        <v>52</v>
      </c>
      <c r="G887">
        <v>901139193</v>
      </c>
      <c r="H887" t="s">
        <v>112</v>
      </c>
      <c r="I887" t="s">
        <v>1771</v>
      </c>
      <c r="J887">
        <v>3781483</v>
      </c>
      <c r="K887" t="s">
        <v>54</v>
      </c>
      <c r="L887">
        <v>8693173</v>
      </c>
      <c r="M887" t="s">
        <v>1492</v>
      </c>
      <c r="N887" t="s">
        <v>165</v>
      </c>
      <c r="O887" t="s">
        <v>449</v>
      </c>
      <c r="P887" t="s">
        <v>3813</v>
      </c>
      <c r="Q887">
        <v>12076</v>
      </c>
      <c r="R887" t="s">
        <v>3750</v>
      </c>
      <c r="S887">
        <v>158298335</v>
      </c>
      <c r="T887" t="s">
        <v>3814</v>
      </c>
      <c r="U887" t="s">
        <v>962</v>
      </c>
      <c r="V887" t="s">
        <v>3815</v>
      </c>
      <c r="W887" t="s">
        <v>1254</v>
      </c>
      <c r="X887" t="s">
        <v>56</v>
      </c>
      <c r="Y887" t="s">
        <v>56</v>
      </c>
      <c r="Z887">
        <v>22</v>
      </c>
      <c r="AA887" t="s">
        <v>102</v>
      </c>
      <c r="AB887">
        <v>0</v>
      </c>
      <c r="AC887" t="s">
        <v>66</v>
      </c>
      <c r="AD887">
        <v>0</v>
      </c>
      <c r="AE887" t="s">
        <v>66</v>
      </c>
      <c r="AF887" t="s">
        <v>56</v>
      </c>
      <c r="AG887" t="s">
        <v>56</v>
      </c>
      <c r="AH887" t="s">
        <v>56</v>
      </c>
      <c r="AI887" t="s">
        <v>56</v>
      </c>
      <c r="AJ887" t="s">
        <v>3768</v>
      </c>
      <c r="AK887" t="s">
        <v>3769</v>
      </c>
      <c r="AL887" t="s">
        <v>56</v>
      </c>
      <c r="AM887" t="s">
        <v>56</v>
      </c>
      <c r="AN887" t="s">
        <v>56</v>
      </c>
      <c r="AO887" t="s">
        <v>56</v>
      </c>
      <c r="AP887" t="s">
        <v>56</v>
      </c>
      <c r="AQ887" t="s">
        <v>71</v>
      </c>
      <c r="AR887" t="s">
        <v>54</v>
      </c>
      <c r="AS887">
        <v>1143456115</v>
      </c>
      <c r="AT887" t="s">
        <v>56</v>
      </c>
      <c r="AU887" t="s">
        <v>56</v>
      </c>
      <c r="AV887" t="s">
        <v>56</v>
      </c>
      <c r="AW887" t="s">
        <v>56</v>
      </c>
      <c r="AX887">
        <v>4</v>
      </c>
    </row>
    <row r="888" spans="1:50" x14ac:dyDescent="0.25">
      <c r="A888" t="str">
        <f>"20200124174017004228"</f>
        <v>20200124174017004228</v>
      </c>
      <c r="B888" t="s">
        <v>201</v>
      </c>
      <c r="C888" t="s">
        <v>201</v>
      </c>
      <c r="D888" t="s">
        <v>3816</v>
      </c>
      <c r="E888" t="str">
        <f>"134300060301"</f>
        <v>134300060301</v>
      </c>
      <c r="F888" t="s">
        <v>52</v>
      </c>
      <c r="G888">
        <v>900378914</v>
      </c>
      <c r="H888">
        <v>13430</v>
      </c>
      <c r="I888" t="s">
        <v>3749</v>
      </c>
      <c r="J888">
        <v>6875591</v>
      </c>
      <c r="K888" t="s">
        <v>54</v>
      </c>
      <c r="L888">
        <v>1052942318</v>
      </c>
      <c r="M888" t="s">
        <v>3817</v>
      </c>
      <c r="N888" t="s">
        <v>56</v>
      </c>
      <c r="O888" t="s">
        <v>3818</v>
      </c>
      <c r="P888" t="s">
        <v>1711</v>
      </c>
      <c r="Q888">
        <v>70270</v>
      </c>
      <c r="R888" t="s">
        <v>3750</v>
      </c>
      <c r="S888">
        <v>158520661</v>
      </c>
      <c r="T888" t="s">
        <v>3819</v>
      </c>
      <c r="U888" t="s">
        <v>448</v>
      </c>
      <c r="V888" t="s">
        <v>2009</v>
      </c>
      <c r="W888" t="s">
        <v>129</v>
      </c>
      <c r="X888" t="s">
        <v>56</v>
      </c>
      <c r="Y888" t="s">
        <v>56</v>
      </c>
      <c r="Z888">
        <v>11</v>
      </c>
      <c r="AA888" t="s">
        <v>87</v>
      </c>
      <c r="AB888" t="s">
        <v>56</v>
      </c>
      <c r="AC888" t="s">
        <v>56</v>
      </c>
      <c r="AD888">
        <v>0</v>
      </c>
      <c r="AE888" t="s">
        <v>66</v>
      </c>
      <c r="AF888" t="s">
        <v>56</v>
      </c>
      <c r="AG888" t="s">
        <v>56</v>
      </c>
      <c r="AH888" t="s">
        <v>56</v>
      </c>
      <c r="AI888" t="s">
        <v>56</v>
      </c>
      <c r="AJ888" t="s">
        <v>2081</v>
      </c>
      <c r="AK888" t="s">
        <v>2082</v>
      </c>
      <c r="AL888" t="s">
        <v>3804</v>
      </c>
      <c r="AM888" t="s">
        <v>3805</v>
      </c>
      <c r="AN888" t="s">
        <v>56</v>
      </c>
      <c r="AO888" t="s">
        <v>56</v>
      </c>
      <c r="AP888" t="s">
        <v>56</v>
      </c>
      <c r="AQ888" t="s">
        <v>71</v>
      </c>
      <c r="AR888" t="s">
        <v>54</v>
      </c>
      <c r="AS888">
        <v>1004499293</v>
      </c>
      <c r="AT888" t="s">
        <v>56</v>
      </c>
      <c r="AU888" t="s">
        <v>56</v>
      </c>
      <c r="AV888" t="s">
        <v>56</v>
      </c>
      <c r="AW888" t="s">
        <v>56</v>
      </c>
      <c r="AX888">
        <v>4</v>
      </c>
    </row>
    <row r="889" spans="1:50" x14ac:dyDescent="0.25">
      <c r="A889" t="str">
        <f>"20200124110017004408"</f>
        <v>20200124110017004408</v>
      </c>
      <c r="B889" t="s">
        <v>201</v>
      </c>
      <c r="C889" t="s">
        <v>201</v>
      </c>
      <c r="D889" t="s">
        <v>3820</v>
      </c>
      <c r="E889" t="str">
        <f>"134300060301"</f>
        <v>134300060301</v>
      </c>
      <c r="F889" t="s">
        <v>52</v>
      </c>
      <c r="G889">
        <v>900378914</v>
      </c>
      <c r="H889">
        <v>13430</v>
      </c>
      <c r="I889" t="s">
        <v>3749</v>
      </c>
      <c r="J889">
        <v>6875591</v>
      </c>
      <c r="K889" t="s">
        <v>54</v>
      </c>
      <c r="L889">
        <v>1052942318</v>
      </c>
      <c r="M889" t="s">
        <v>3817</v>
      </c>
      <c r="N889" t="s">
        <v>56</v>
      </c>
      <c r="O889" t="s">
        <v>3818</v>
      </c>
      <c r="P889" t="s">
        <v>1711</v>
      </c>
      <c r="Q889">
        <v>70270</v>
      </c>
      <c r="R889" t="s">
        <v>3750</v>
      </c>
      <c r="S889">
        <v>158520661</v>
      </c>
      <c r="T889" t="s">
        <v>3819</v>
      </c>
      <c r="U889" t="s">
        <v>448</v>
      </c>
      <c r="V889" t="s">
        <v>2009</v>
      </c>
      <c r="W889" t="s">
        <v>129</v>
      </c>
      <c r="X889" t="s">
        <v>56</v>
      </c>
      <c r="Y889" t="s">
        <v>56</v>
      </c>
      <c r="Z889">
        <v>11</v>
      </c>
      <c r="AA889" t="s">
        <v>87</v>
      </c>
      <c r="AB889" t="s">
        <v>56</v>
      </c>
      <c r="AC889" t="s">
        <v>56</v>
      </c>
      <c r="AD889">
        <v>0</v>
      </c>
      <c r="AE889" t="s">
        <v>66</v>
      </c>
      <c r="AF889" t="s">
        <v>56</v>
      </c>
      <c r="AG889" t="s">
        <v>56</v>
      </c>
      <c r="AH889" t="s">
        <v>56</v>
      </c>
      <c r="AI889" t="s">
        <v>56</v>
      </c>
      <c r="AJ889" t="s">
        <v>2081</v>
      </c>
      <c r="AK889" t="s">
        <v>2082</v>
      </c>
      <c r="AL889" t="s">
        <v>3804</v>
      </c>
      <c r="AM889" t="s">
        <v>3805</v>
      </c>
      <c r="AN889" t="s">
        <v>56</v>
      </c>
      <c r="AO889" t="s">
        <v>56</v>
      </c>
      <c r="AP889" t="s">
        <v>56</v>
      </c>
      <c r="AQ889" t="s">
        <v>71</v>
      </c>
      <c r="AR889" t="s">
        <v>54</v>
      </c>
      <c r="AS889">
        <v>1004499293</v>
      </c>
      <c r="AT889" t="s">
        <v>56</v>
      </c>
      <c r="AU889" t="s">
        <v>56</v>
      </c>
      <c r="AV889" t="s">
        <v>56</v>
      </c>
      <c r="AW889" t="s">
        <v>56</v>
      </c>
      <c r="AX889">
        <v>4</v>
      </c>
    </row>
    <row r="890" spans="1:50" x14ac:dyDescent="0.25">
      <c r="A890" t="str">
        <f>"20200124133017004556"</f>
        <v>20200124133017004556</v>
      </c>
      <c r="B890" t="s">
        <v>201</v>
      </c>
      <c r="C890" t="s">
        <v>201</v>
      </c>
      <c r="D890" t="s">
        <v>3821</v>
      </c>
      <c r="E890" t="str">
        <f>"134300060301"</f>
        <v>134300060301</v>
      </c>
      <c r="F890" t="s">
        <v>52</v>
      </c>
      <c r="G890">
        <v>900378914</v>
      </c>
      <c r="H890">
        <v>13430</v>
      </c>
      <c r="I890" t="s">
        <v>3749</v>
      </c>
      <c r="J890">
        <v>6875591</v>
      </c>
      <c r="K890" t="s">
        <v>54</v>
      </c>
      <c r="L890">
        <v>1052942318</v>
      </c>
      <c r="M890" t="s">
        <v>3817</v>
      </c>
      <c r="N890" t="s">
        <v>56</v>
      </c>
      <c r="O890" t="s">
        <v>3818</v>
      </c>
      <c r="P890" t="s">
        <v>1711</v>
      </c>
      <c r="Q890">
        <v>70270</v>
      </c>
      <c r="R890" t="s">
        <v>3750</v>
      </c>
      <c r="S890">
        <v>158520661</v>
      </c>
      <c r="T890" t="s">
        <v>3819</v>
      </c>
      <c r="U890" t="s">
        <v>448</v>
      </c>
      <c r="V890" t="s">
        <v>2009</v>
      </c>
      <c r="W890" t="s">
        <v>129</v>
      </c>
      <c r="X890" t="s">
        <v>56</v>
      </c>
      <c r="Y890" t="s">
        <v>56</v>
      </c>
      <c r="Z890">
        <v>11</v>
      </c>
      <c r="AA890" t="s">
        <v>87</v>
      </c>
      <c r="AB890" t="s">
        <v>56</v>
      </c>
      <c r="AC890" t="s">
        <v>56</v>
      </c>
      <c r="AD890">
        <v>0</v>
      </c>
      <c r="AE890" t="s">
        <v>66</v>
      </c>
      <c r="AF890" t="s">
        <v>56</v>
      </c>
      <c r="AG890" t="s">
        <v>56</v>
      </c>
      <c r="AH890" t="s">
        <v>56</v>
      </c>
      <c r="AI890" t="s">
        <v>56</v>
      </c>
      <c r="AJ890" t="s">
        <v>2081</v>
      </c>
      <c r="AK890" t="s">
        <v>2082</v>
      </c>
      <c r="AL890" t="s">
        <v>3804</v>
      </c>
      <c r="AM890" t="s">
        <v>3805</v>
      </c>
      <c r="AN890" t="s">
        <v>56</v>
      </c>
      <c r="AO890" t="s">
        <v>56</v>
      </c>
      <c r="AP890" t="s">
        <v>56</v>
      </c>
      <c r="AQ890" t="s">
        <v>71</v>
      </c>
      <c r="AR890" t="s">
        <v>54</v>
      </c>
      <c r="AS890">
        <v>1004499293</v>
      </c>
      <c r="AT890" t="s">
        <v>56</v>
      </c>
      <c r="AU890" t="s">
        <v>56</v>
      </c>
      <c r="AV890" t="s">
        <v>56</v>
      </c>
      <c r="AW890" t="s">
        <v>56</v>
      </c>
      <c r="AX890">
        <v>4</v>
      </c>
    </row>
    <row r="891" spans="1:50" x14ac:dyDescent="0.25">
      <c r="A891" t="str">
        <f>"20200124190017006541"</f>
        <v>20200124190017006541</v>
      </c>
      <c r="B891" t="s">
        <v>201</v>
      </c>
      <c r="C891" t="s">
        <v>201</v>
      </c>
      <c r="D891" t="s">
        <v>3822</v>
      </c>
      <c r="E891" t="str">
        <f>"134300060301"</f>
        <v>134300060301</v>
      </c>
      <c r="F891" t="s">
        <v>52</v>
      </c>
      <c r="G891">
        <v>900378914</v>
      </c>
      <c r="H891">
        <v>13430</v>
      </c>
      <c r="I891" t="s">
        <v>3749</v>
      </c>
      <c r="J891">
        <v>6875591</v>
      </c>
      <c r="K891" t="s">
        <v>54</v>
      </c>
      <c r="L891">
        <v>1052942318</v>
      </c>
      <c r="M891" t="s">
        <v>3817</v>
      </c>
      <c r="N891" t="s">
        <v>56</v>
      </c>
      <c r="O891" t="s">
        <v>3818</v>
      </c>
      <c r="P891" t="s">
        <v>1711</v>
      </c>
      <c r="Q891">
        <v>70270</v>
      </c>
      <c r="R891" t="s">
        <v>3750</v>
      </c>
      <c r="S891">
        <v>158500655</v>
      </c>
      <c r="T891" t="s">
        <v>1105</v>
      </c>
      <c r="U891" t="s">
        <v>62</v>
      </c>
      <c r="V891" t="s">
        <v>3823</v>
      </c>
      <c r="W891" t="s">
        <v>406</v>
      </c>
      <c r="X891" t="s">
        <v>56</v>
      </c>
      <c r="Y891" t="s">
        <v>56</v>
      </c>
      <c r="Z891">
        <v>22</v>
      </c>
      <c r="AA891" t="s">
        <v>102</v>
      </c>
      <c r="AB891">
        <v>0</v>
      </c>
      <c r="AC891" t="s">
        <v>66</v>
      </c>
      <c r="AD891">
        <v>0</v>
      </c>
      <c r="AE891" t="s">
        <v>66</v>
      </c>
      <c r="AF891" t="s">
        <v>56</v>
      </c>
      <c r="AG891" t="s">
        <v>56</v>
      </c>
      <c r="AH891" t="s">
        <v>56</v>
      </c>
      <c r="AI891" t="s">
        <v>56</v>
      </c>
      <c r="AJ891" t="s">
        <v>850</v>
      </c>
      <c r="AK891" t="s">
        <v>851</v>
      </c>
      <c r="AL891" t="s">
        <v>56</v>
      </c>
      <c r="AM891" t="s">
        <v>56</v>
      </c>
      <c r="AN891" t="s">
        <v>56</v>
      </c>
      <c r="AO891" t="s">
        <v>56</v>
      </c>
      <c r="AP891" t="s">
        <v>56</v>
      </c>
      <c r="AQ891" t="s">
        <v>71</v>
      </c>
      <c r="AR891" t="s">
        <v>54</v>
      </c>
      <c r="AS891">
        <v>1053010850</v>
      </c>
      <c r="AT891" t="s">
        <v>56</v>
      </c>
      <c r="AU891" t="s">
        <v>56</v>
      </c>
      <c r="AV891" t="s">
        <v>56</v>
      </c>
      <c r="AW891" t="s">
        <v>56</v>
      </c>
      <c r="AX891">
        <v>4</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16"/>
  <sheetViews>
    <sheetView workbookViewId="0">
      <selection activeCell="C31" sqref="C31"/>
    </sheetView>
  </sheetViews>
  <sheetFormatPr baseColWidth="10" defaultRowHeight="15" x14ac:dyDescent="0.25"/>
  <cols>
    <col min="3" max="3" width="47" customWidth="1"/>
  </cols>
  <sheetData>
    <row r="3" spans="3:3" x14ac:dyDescent="0.25">
      <c r="C3" s="1" t="s">
        <v>6572</v>
      </c>
    </row>
    <row r="4" spans="3:3" x14ac:dyDescent="0.25">
      <c r="C4" s="1" t="s">
        <v>6573</v>
      </c>
    </row>
    <row r="5" spans="3:3" x14ac:dyDescent="0.25">
      <c r="C5" s="1" t="s">
        <v>6574</v>
      </c>
    </row>
    <row r="6" spans="3:3" x14ac:dyDescent="0.25">
      <c r="C6" s="1" t="s">
        <v>6575</v>
      </c>
    </row>
    <row r="7" spans="3:3" x14ac:dyDescent="0.25">
      <c r="C7" s="1" t="s">
        <v>6576</v>
      </c>
    </row>
    <row r="8" spans="3:3" x14ac:dyDescent="0.25">
      <c r="C8" s="1" t="s">
        <v>6577</v>
      </c>
    </row>
    <row r="9" spans="3:3" x14ac:dyDescent="0.25">
      <c r="C9" s="1" t="s">
        <v>6578</v>
      </c>
    </row>
    <row r="10" spans="3:3" x14ac:dyDescent="0.25">
      <c r="C10" s="1" t="s">
        <v>6579</v>
      </c>
    </row>
    <row r="11" spans="3:3" x14ac:dyDescent="0.25">
      <c r="C11" s="1" t="s">
        <v>6580</v>
      </c>
    </row>
    <row r="12" spans="3:3" x14ac:dyDescent="0.25">
      <c r="C12" s="1" t="s">
        <v>6586</v>
      </c>
    </row>
    <row r="13" spans="3:3" x14ac:dyDescent="0.25">
      <c r="C13" s="1" t="s">
        <v>6583</v>
      </c>
    </row>
    <row r="14" spans="3:3" x14ac:dyDescent="0.25">
      <c r="C14" s="1" t="s">
        <v>6584</v>
      </c>
    </row>
    <row r="15" spans="3:3" x14ac:dyDescent="0.25">
      <c r="C15" s="1" t="s">
        <v>6581</v>
      </c>
    </row>
    <row r="16" spans="3:3" x14ac:dyDescent="0.25">
      <c r="C16" s="1" t="s">
        <v>6582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701"/>
  <sheetViews>
    <sheetView zoomScale="70" zoomScaleNormal="70" workbookViewId="0">
      <selection activeCell="BB35" sqref="BB35"/>
    </sheetView>
  </sheetViews>
  <sheetFormatPr baseColWidth="10" defaultColWidth="9.140625" defaultRowHeight="15" x14ac:dyDescent="0.25"/>
  <cols>
    <col min="1" max="1" width="9.28515625" bestFit="1" customWidth="1"/>
    <col min="2" max="2" width="24.7109375" bestFit="1" customWidth="1"/>
    <col min="3" max="3" width="10.5703125" bestFit="1" customWidth="1"/>
    <col min="4" max="4" width="9.28515625" bestFit="1" customWidth="1"/>
    <col min="5" max="5" width="15.28515625" bestFit="1" customWidth="1"/>
    <col min="6" max="6" width="11.7109375" bestFit="1" customWidth="1"/>
    <col min="7" max="7" width="9.28515625" bestFit="1" customWidth="1"/>
    <col min="8" max="8" width="15.28515625" bestFit="1" customWidth="1"/>
    <col min="9" max="9" width="9.28515625" bestFit="1" customWidth="1"/>
    <col min="10" max="10" width="15.28515625" bestFit="1" customWidth="1"/>
    <col min="11" max="11" width="9.28515625" bestFit="1" customWidth="1"/>
    <col min="12" max="12" width="15.28515625" bestFit="1" customWidth="1"/>
    <col min="13" max="13" width="83.7109375" bestFit="1" customWidth="1"/>
    <col min="14" max="14" width="14" bestFit="1" customWidth="1"/>
    <col min="15" max="15" width="20" bestFit="1" customWidth="1"/>
    <col min="16" max="16" width="189.85546875" bestFit="1" customWidth="1"/>
    <col min="17" max="17" width="14" bestFit="1" customWidth="1"/>
    <col min="18" max="18" width="20" bestFit="1" customWidth="1"/>
    <col min="19" max="19" width="45.85546875" bestFit="1" customWidth="1"/>
    <col min="20" max="20" width="11.7109375" bestFit="1" customWidth="1"/>
    <col min="21" max="21" width="15.28515625" bestFit="1" customWidth="1"/>
    <col min="22" max="22" width="20" bestFit="1" customWidth="1"/>
    <col min="23" max="23" width="14" bestFit="1" customWidth="1"/>
    <col min="24" max="24" width="20" bestFit="1" customWidth="1"/>
    <col min="25" max="25" width="189.85546875" bestFit="1" customWidth="1"/>
    <col min="26" max="26" width="14" bestFit="1" customWidth="1"/>
    <col min="27" max="27" width="20" bestFit="1" customWidth="1"/>
    <col min="28" max="28" width="86" bestFit="1" customWidth="1"/>
    <col min="29" max="29" width="14" bestFit="1" customWidth="1"/>
    <col min="30" max="30" width="20" bestFit="1" customWidth="1"/>
    <col min="31" max="31" width="38.85546875" bestFit="1" customWidth="1"/>
    <col min="32" max="32" width="14" bestFit="1" customWidth="1"/>
    <col min="33" max="33" width="20" bestFit="1" customWidth="1"/>
    <col min="34" max="34" width="33" bestFit="1" customWidth="1"/>
    <col min="35" max="35" width="11.7109375" bestFit="1" customWidth="1"/>
    <col min="36" max="36" width="15.28515625" bestFit="1" customWidth="1"/>
    <col min="37" max="37" width="12.85546875" bestFit="1" customWidth="1"/>
    <col min="38" max="38" width="18.7109375" bestFit="1" customWidth="1"/>
    <col min="39" max="39" width="11.7109375" bestFit="1" customWidth="1"/>
    <col min="40" max="40" width="15.28515625" bestFit="1" customWidth="1"/>
    <col min="41" max="41" width="86.42578125" customWidth="1"/>
    <col min="42" max="42" width="10.5703125" bestFit="1" customWidth="1"/>
    <col min="43" max="43" width="43.5703125" bestFit="1" customWidth="1"/>
    <col min="44" max="44" width="7" bestFit="1" customWidth="1"/>
    <col min="45" max="45" width="21.140625" bestFit="1" customWidth="1"/>
    <col min="46" max="46" width="601.5703125" bestFit="1" customWidth="1"/>
    <col min="47" max="47" width="9.28515625" bestFit="1" customWidth="1"/>
    <col min="48" max="48" width="45.85546875" bestFit="1" customWidth="1"/>
    <col min="49" max="49" width="16.42578125" bestFit="1" customWidth="1"/>
    <col min="50" max="50" width="10.5703125" bestFit="1" customWidth="1"/>
    <col min="51" max="51" width="14" bestFit="1" customWidth="1"/>
    <col min="52" max="52" width="36.42578125" bestFit="1" customWidth="1"/>
    <col min="53" max="53" width="8.140625" bestFit="1" customWidth="1"/>
    <col min="54" max="54" width="35.28515625" bestFit="1" customWidth="1"/>
    <col min="55" max="55" width="9.28515625" bestFit="1" customWidth="1"/>
    <col min="56" max="56" width="11" bestFit="1" customWidth="1"/>
    <col min="57" max="57" width="15.28515625" bestFit="1" customWidth="1"/>
    <col min="58" max="58" width="12.85546875" bestFit="1" customWidth="1"/>
    <col min="59" max="59" width="14" bestFit="1" customWidth="1"/>
    <col min="60" max="60" width="22.28515625" bestFit="1" customWidth="1"/>
    <col min="61" max="61" width="232.28515625" bestFit="1" customWidth="1"/>
    <col min="62" max="62" width="7" bestFit="1" customWidth="1"/>
    <col min="63" max="63" width="64.85546875" bestFit="1" customWidth="1"/>
  </cols>
  <sheetData>
    <row r="1" spans="1:63" ht="75" x14ac:dyDescent="0.25">
      <c r="C1" s="2" t="s">
        <v>6567</v>
      </c>
      <c r="E1" s="2" t="s">
        <v>6567</v>
      </c>
    </row>
    <row r="2" spans="1:63" x14ac:dyDescent="0.25">
      <c r="C2" s="3" t="s">
        <v>6569</v>
      </c>
      <c r="E2" s="3" t="s">
        <v>6568</v>
      </c>
    </row>
    <row r="3" spans="1:63" x14ac:dyDescent="0.25">
      <c r="A3" t="s">
        <v>3824</v>
      </c>
      <c r="B3" t="s">
        <v>0</v>
      </c>
      <c r="C3" t="s">
        <v>3825</v>
      </c>
      <c r="D3" t="s">
        <v>3826</v>
      </c>
      <c r="E3" t="s">
        <v>3827</v>
      </c>
      <c r="F3" t="s">
        <v>3828</v>
      </c>
      <c r="G3" t="s">
        <v>3829</v>
      </c>
      <c r="H3" t="s">
        <v>3830</v>
      </c>
      <c r="I3" t="s">
        <v>3831</v>
      </c>
      <c r="J3" t="s">
        <v>3832</v>
      </c>
      <c r="K3" t="s">
        <v>3833</v>
      </c>
      <c r="L3" t="s">
        <v>3834</v>
      </c>
      <c r="M3" t="s">
        <v>3835</v>
      </c>
      <c r="N3" t="s">
        <v>3836</v>
      </c>
      <c r="O3" t="s">
        <v>3837</v>
      </c>
      <c r="P3" t="s">
        <v>3838</v>
      </c>
      <c r="Q3" t="s">
        <v>3839</v>
      </c>
      <c r="R3" t="s">
        <v>3840</v>
      </c>
      <c r="S3" t="s">
        <v>3841</v>
      </c>
      <c r="T3" t="s">
        <v>3842</v>
      </c>
      <c r="U3" t="s">
        <v>3843</v>
      </c>
      <c r="V3" t="s">
        <v>3844</v>
      </c>
      <c r="W3" t="s">
        <v>3845</v>
      </c>
      <c r="X3" t="s">
        <v>3846</v>
      </c>
      <c r="Y3" t="s">
        <v>3847</v>
      </c>
      <c r="Z3" t="s">
        <v>3848</v>
      </c>
      <c r="AA3" t="s">
        <v>3849</v>
      </c>
      <c r="AB3" t="s">
        <v>3850</v>
      </c>
      <c r="AC3" t="s">
        <v>3851</v>
      </c>
      <c r="AD3" t="s">
        <v>3852</v>
      </c>
      <c r="AE3" t="s">
        <v>3853</v>
      </c>
      <c r="AF3" t="s">
        <v>3854</v>
      </c>
      <c r="AG3" t="s">
        <v>3855</v>
      </c>
      <c r="AH3" t="s">
        <v>3856</v>
      </c>
      <c r="AI3" t="s">
        <v>3857</v>
      </c>
      <c r="AJ3" t="s">
        <v>3858</v>
      </c>
      <c r="AK3" t="s">
        <v>3859</v>
      </c>
      <c r="AL3" t="s">
        <v>3860</v>
      </c>
      <c r="AM3" t="s">
        <v>3861</v>
      </c>
      <c r="AN3" t="s">
        <v>3862</v>
      </c>
      <c r="AO3" t="s">
        <v>3863</v>
      </c>
      <c r="AP3" t="s">
        <v>3864</v>
      </c>
      <c r="AQ3" t="s">
        <v>3865</v>
      </c>
      <c r="AR3" t="s">
        <v>3866</v>
      </c>
      <c r="AS3" t="s">
        <v>3867</v>
      </c>
      <c r="AT3" t="s">
        <v>3868</v>
      </c>
      <c r="AU3" t="s">
        <v>3869</v>
      </c>
      <c r="AV3" t="s">
        <v>3870</v>
      </c>
      <c r="AW3" t="s">
        <v>3871</v>
      </c>
      <c r="AX3" t="s">
        <v>3872</v>
      </c>
      <c r="AY3" t="s">
        <v>3873</v>
      </c>
      <c r="AZ3" t="s">
        <v>3874</v>
      </c>
      <c r="BA3" t="s">
        <v>3875</v>
      </c>
      <c r="BB3" t="s">
        <v>3876</v>
      </c>
      <c r="BC3" t="s">
        <v>3877</v>
      </c>
      <c r="BD3" s="4" t="s">
        <v>3878</v>
      </c>
      <c r="BE3" t="s">
        <v>3879</v>
      </c>
      <c r="BF3" t="s">
        <v>3880</v>
      </c>
      <c r="BG3" t="s">
        <v>3881</v>
      </c>
      <c r="BH3" t="s">
        <v>3882</v>
      </c>
      <c r="BI3" t="s">
        <v>3883</v>
      </c>
      <c r="BJ3" t="s">
        <v>3884</v>
      </c>
      <c r="BK3" t="s">
        <v>3885</v>
      </c>
    </row>
    <row r="4" spans="1:63" x14ac:dyDescent="0.25">
      <c r="A4">
        <v>1046</v>
      </c>
      <c r="B4" t="str">
        <f>"20200124188017006003"</f>
        <v>20200124188017006003</v>
      </c>
      <c r="C4">
        <v>1</v>
      </c>
      <c r="D4">
        <v>1</v>
      </c>
      <c r="E4" t="s">
        <v>3886</v>
      </c>
      <c r="F4">
        <v>2</v>
      </c>
      <c r="G4">
        <v>0</v>
      </c>
      <c r="H4" t="s">
        <v>66</v>
      </c>
      <c r="I4">
        <v>0</v>
      </c>
      <c r="J4" t="s">
        <v>66</v>
      </c>
      <c r="K4">
        <v>0</v>
      </c>
      <c r="L4" t="s">
        <v>66</v>
      </c>
      <c r="M4" t="s">
        <v>56</v>
      </c>
      <c r="N4">
        <v>0</v>
      </c>
      <c r="O4" t="s">
        <v>66</v>
      </c>
      <c r="P4" t="s">
        <v>56</v>
      </c>
      <c r="Q4">
        <v>0</v>
      </c>
      <c r="R4" t="s">
        <v>66</v>
      </c>
      <c r="S4" t="s">
        <v>56</v>
      </c>
      <c r="T4">
        <v>1</v>
      </c>
      <c r="U4" t="s">
        <v>1627</v>
      </c>
      <c r="V4" t="s">
        <v>56</v>
      </c>
      <c r="W4">
        <v>0</v>
      </c>
      <c r="X4" t="s">
        <v>66</v>
      </c>
      <c r="Y4" t="s">
        <v>56</v>
      </c>
      <c r="Z4">
        <v>0</v>
      </c>
      <c r="AA4" t="s">
        <v>66</v>
      </c>
      <c r="AB4" t="s">
        <v>56</v>
      </c>
      <c r="AC4">
        <v>1</v>
      </c>
      <c r="AD4" t="s">
        <v>1627</v>
      </c>
      <c r="AE4" t="s">
        <v>3887</v>
      </c>
      <c r="AF4">
        <v>0</v>
      </c>
      <c r="AG4" t="s">
        <v>66</v>
      </c>
      <c r="AH4" t="s">
        <v>56</v>
      </c>
      <c r="AI4">
        <v>1</v>
      </c>
      <c r="AJ4" t="s">
        <v>1627</v>
      </c>
      <c r="AK4" t="s">
        <v>56</v>
      </c>
      <c r="AL4" t="s">
        <v>56</v>
      </c>
      <c r="AM4" t="s">
        <v>56</v>
      </c>
      <c r="AN4" t="s">
        <v>56</v>
      </c>
      <c r="AO4" t="s">
        <v>3888</v>
      </c>
      <c r="AP4" t="s">
        <v>3889</v>
      </c>
      <c r="AQ4" t="s">
        <v>3890</v>
      </c>
      <c r="AR4" t="s">
        <v>3891</v>
      </c>
      <c r="AS4" t="s">
        <v>3892</v>
      </c>
      <c r="AT4" t="s">
        <v>3893</v>
      </c>
      <c r="AU4" t="s">
        <v>3894</v>
      </c>
      <c r="AV4" t="s">
        <v>3895</v>
      </c>
      <c r="AW4" t="s">
        <v>3896</v>
      </c>
      <c r="AX4">
        <v>6</v>
      </c>
      <c r="AY4">
        <v>2</v>
      </c>
      <c r="AZ4" t="s">
        <v>3897</v>
      </c>
      <c r="BA4">
        <v>10</v>
      </c>
      <c r="BB4" t="s">
        <v>3898</v>
      </c>
      <c r="BC4">
        <v>4</v>
      </c>
      <c r="BD4">
        <v>5</v>
      </c>
      <c r="BE4" t="s">
        <v>3899</v>
      </c>
      <c r="BF4">
        <v>4</v>
      </c>
      <c r="BG4">
        <v>13</v>
      </c>
      <c r="BH4" t="s">
        <v>3900</v>
      </c>
      <c r="BI4" t="s">
        <v>3901</v>
      </c>
      <c r="BJ4">
        <v>1</v>
      </c>
      <c r="BK4" t="s">
        <v>3902</v>
      </c>
    </row>
    <row r="5" spans="1:63" x14ac:dyDescent="0.25">
      <c r="A5">
        <v>1047</v>
      </c>
      <c r="B5" t="str">
        <f>"20200124190017006541"</f>
        <v>20200124190017006541</v>
      </c>
      <c r="C5">
        <v>1</v>
      </c>
      <c r="D5">
        <v>1</v>
      </c>
      <c r="E5" t="s">
        <v>3886</v>
      </c>
      <c r="F5">
        <v>1</v>
      </c>
      <c r="G5">
        <v>0</v>
      </c>
      <c r="H5" t="s">
        <v>66</v>
      </c>
      <c r="I5">
        <v>0</v>
      </c>
      <c r="J5" t="s">
        <v>66</v>
      </c>
      <c r="K5">
        <v>0</v>
      </c>
      <c r="L5" t="s">
        <v>66</v>
      </c>
      <c r="M5" t="s">
        <v>56</v>
      </c>
      <c r="N5">
        <v>0</v>
      </c>
      <c r="O5" t="s">
        <v>66</v>
      </c>
      <c r="P5" t="s">
        <v>56</v>
      </c>
      <c r="Q5">
        <v>0</v>
      </c>
      <c r="R5" t="s">
        <v>66</v>
      </c>
      <c r="S5" t="s">
        <v>56</v>
      </c>
      <c r="T5">
        <v>1</v>
      </c>
      <c r="U5" t="s">
        <v>1627</v>
      </c>
      <c r="V5" t="s">
        <v>56</v>
      </c>
      <c r="W5">
        <v>0</v>
      </c>
      <c r="X5" t="s">
        <v>66</v>
      </c>
      <c r="Y5" t="s">
        <v>56</v>
      </c>
      <c r="Z5">
        <v>0</v>
      </c>
      <c r="AA5" t="s">
        <v>66</v>
      </c>
      <c r="AB5" t="s">
        <v>56</v>
      </c>
      <c r="AC5">
        <v>1</v>
      </c>
      <c r="AD5" t="s">
        <v>1627</v>
      </c>
      <c r="AE5" t="s">
        <v>3887</v>
      </c>
      <c r="AF5">
        <v>0</v>
      </c>
      <c r="AG5" t="s">
        <v>66</v>
      </c>
      <c r="AH5" t="s">
        <v>56</v>
      </c>
      <c r="AI5">
        <v>1</v>
      </c>
      <c r="AJ5" t="s">
        <v>1627</v>
      </c>
      <c r="AK5" t="s">
        <v>56</v>
      </c>
      <c r="AL5" t="s">
        <v>56</v>
      </c>
      <c r="AM5" t="s">
        <v>56</v>
      </c>
      <c r="AN5" t="s">
        <v>56</v>
      </c>
      <c r="AO5" t="s">
        <v>3903</v>
      </c>
      <c r="AP5" t="s">
        <v>3889</v>
      </c>
      <c r="AQ5" t="s">
        <v>3890</v>
      </c>
      <c r="AR5" t="s">
        <v>3904</v>
      </c>
      <c r="AS5" t="s">
        <v>3905</v>
      </c>
      <c r="AT5" t="s">
        <v>3906</v>
      </c>
      <c r="AU5" t="s">
        <v>3907</v>
      </c>
      <c r="AV5" t="s">
        <v>3908</v>
      </c>
      <c r="AW5" t="s">
        <v>3909</v>
      </c>
      <c r="AX5">
        <v>24</v>
      </c>
      <c r="AY5">
        <v>2</v>
      </c>
      <c r="AZ5" t="s">
        <v>3897</v>
      </c>
      <c r="BA5">
        <v>5</v>
      </c>
      <c r="BB5" t="s">
        <v>3910</v>
      </c>
      <c r="BC5">
        <v>5</v>
      </c>
      <c r="BD5">
        <v>3</v>
      </c>
      <c r="BE5" t="s">
        <v>3911</v>
      </c>
      <c r="BF5">
        <v>5</v>
      </c>
      <c r="BG5" t="s">
        <v>3912</v>
      </c>
      <c r="BH5" t="s">
        <v>3913</v>
      </c>
      <c r="BI5" t="s">
        <v>3914</v>
      </c>
      <c r="BJ5">
        <v>1</v>
      </c>
      <c r="BK5" t="s">
        <v>3902</v>
      </c>
    </row>
    <row r="6" spans="1:63" x14ac:dyDescent="0.25">
      <c r="A6">
        <v>1048</v>
      </c>
      <c r="B6" t="str">
        <f>"20200124147017007040"</f>
        <v>20200124147017007040</v>
      </c>
      <c r="C6">
        <v>1</v>
      </c>
      <c r="D6">
        <v>1</v>
      </c>
      <c r="E6" t="s">
        <v>3886</v>
      </c>
      <c r="F6">
        <v>2</v>
      </c>
      <c r="G6">
        <v>0</v>
      </c>
      <c r="H6" t="s">
        <v>66</v>
      </c>
      <c r="I6">
        <v>0</v>
      </c>
      <c r="J6" t="s">
        <v>66</v>
      </c>
      <c r="K6">
        <v>1</v>
      </c>
      <c r="L6" t="s">
        <v>1627</v>
      </c>
      <c r="M6" t="s">
        <v>3915</v>
      </c>
      <c r="N6">
        <v>1</v>
      </c>
      <c r="O6" t="s">
        <v>1627</v>
      </c>
      <c r="P6" t="s">
        <v>3916</v>
      </c>
      <c r="Q6">
        <v>0</v>
      </c>
      <c r="R6" t="s">
        <v>66</v>
      </c>
      <c r="S6" t="s">
        <v>56</v>
      </c>
      <c r="T6" t="s">
        <v>56</v>
      </c>
      <c r="U6" t="s">
        <v>56</v>
      </c>
      <c r="V6" t="s">
        <v>56</v>
      </c>
      <c r="W6">
        <v>0</v>
      </c>
      <c r="X6" t="s">
        <v>66</v>
      </c>
      <c r="Y6" t="s">
        <v>56</v>
      </c>
      <c r="Z6">
        <v>0</v>
      </c>
      <c r="AA6" t="s">
        <v>66</v>
      </c>
      <c r="AB6" t="s">
        <v>56</v>
      </c>
      <c r="AC6">
        <v>0</v>
      </c>
      <c r="AD6" t="s">
        <v>66</v>
      </c>
      <c r="AE6" t="s">
        <v>56</v>
      </c>
      <c r="AF6">
        <v>0</v>
      </c>
      <c r="AG6" t="s">
        <v>66</v>
      </c>
      <c r="AH6" t="s">
        <v>56</v>
      </c>
      <c r="AI6">
        <v>1</v>
      </c>
      <c r="AJ6" t="s">
        <v>1627</v>
      </c>
      <c r="AK6" t="s">
        <v>56</v>
      </c>
      <c r="AL6" t="s">
        <v>56</v>
      </c>
      <c r="AM6" t="s">
        <v>56</v>
      </c>
      <c r="AN6" t="s">
        <v>56</v>
      </c>
      <c r="AO6" t="s">
        <v>3917</v>
      </c>
      <c r="AP6" t="s">
        <v>3918</v>
      </c>
      <c r="AQ6" t="s">
        <v>3919</v>
      </c>
      <c r="AR6" t="s">
        <v>3920</v>
      </c>
      <c r="AS6" t="s">
        <v>3921</v>
      </c>
      <c r="AT6" t="s">
        <v>3922</v>
      </c>
      <c r="AU6" t="s">
        <v>3907</v>
      </c>
      <c r="AV6" t="s">
        <v>3908</v>
      </c>
      <c r="AW6" t="s">
        <v>3909</v>
      </c>
      <c r="AX6">
        <v>12</v>
      </c>
      <c r="AY6">
        <v>2</v>
      </c>
      <c r="AZ6" t="s">
        <v>3897</v>
      </c>
      <c r="BA6">
        <v>10</v>
      </c>
      <c r="BB6" t="s">
        <v>3898</v>
      </c>
      <c r="BC6">
        <v>180</v>
      </c>
      <c r="BD6">
        <v>3</v>
      </c>
      <c r="BE6" t="s">
        <v>3911</v>
      </c>
      <c r="BF6">
        <v>6</v>
      </c>
      <c r="BG6">
        <v>74</v>
      </c>
      <c r="BH6" t="s">
        <v>3923</v>
      </c>
      <c r="BI6" t="s">
        <v>3924</v>
      </c>
      <c r="BJ6">
        <v>1</v>
      </c>
      <c r="BK6" t="s">
        <v>3902</v>
      </c>
    </row>
    <row r="7" spans="1:63" x14ac:dyDescent="0.25">
      <c r="A7">
        <v>1049</v>
      </c>
      <c r="B7" t="str">
        <f>"20200124165017007407"</f>
        <v>20200124165017007407</v>
      </c>
      <c r="C7">
        <v>1</v>
      </c>
      <c r="D7">
        <v>1</v>
      </c>
      <c r="E7" t="s">
        <v>3886</v>
      </c>
      <c r="F7">
        <v>2</v>
      </c>
      <c r="G7">
        <v>0</v>
      </c>
      <c r="H7" t="s">
        <v>66</v>
      </c>
      <c r="I7">
        <v>0</v>
      </c>
      <c r="J7" t="s">
        <v>66</v>
      </c>
      <c r="K7">
        <v>0</v>
      </c>
      <c r="L7" t="s">
        <v>66</v>
      </c>
      <c r="M7" t="s">
        <v>56</v>
      </c>
      <c r="N7">
        <v>0</v>
      </c>
      <c r="O7" t="s">
        <v>66</v>
      </c>
      <c r="P7" t="s">
        <v>56</v>
      </c>
      <c r="Q7">
        <v>0</v>
      </c>
      <c r="R7" t="s">
        <v>66</v>
      </c>
      <c r="S7" t="s">
        <v>56</v>
      </c>
      <c r="T7">
        <v>1</v>
      </c>
      <c r="U7" t="s">
        <v>1627</v>
      </c>
      <c r="V7" t="s">
        <v>56</v>
      </c>
      <c r="W7">
        <v>0</v>
      </c>
      <c r="X7" t="s">
        <v>66</v>
      </c>
      <c r="Y7" t="s">
        <v>56</v>
      </c>
      <c r="Z7">
        <v>0</v>
      </c>
      <c r="AA7" t="s">
        <v>66</v>
      </c>
      <c r="AB7" t="s">
        <v>56</v>
      </c>
      <c r="AC7">
        <v>1</v>
      </c>
      <c r="AD7" t="s">
        <v>1627</v>
      </c>
      <c r="AE7" t="s">
        <v>3887</v>
      </c>
      <c r="AF7">
        <v>0</v>
      </c>
      <c r="AG7" t="s">
        <v>66</v>
      </c>
      <c r="AH7" t="s">
        <v>56</v>
      </c>
      <c r="AI7">
        <v>1</v>
      </c>
      <c r="AJ7" t="s">
        <v>1627</v>
      </c>
      <c r="AK7" t="s">
        <v>56</v>
      </c>
      <c r="AL7" t="s">
        <v>56</v>
      </c>
      <c r="AM7" t="s">
        <v>56</v>
      </c>
      <c r="AN7" t="s">
        <v>56</v>
      </c>
      <c r="AO7" t="s">
        <v>3925</v>
      </c>
      <c r="AP7" t="s">
        <v>3889</v>
      </c>
      <c r="AQ7" t="s">
        <v>3890</v>
      </c>
      <c r="AR7" t="s">
        <v>3926</v>
      </c>
      <c r="AS7" t="s">
        <v>3927</v>
      </c>
      <c r="AT7" t="s">
        <v>3928</v>
      </c>
      <c r="AU7" t="s">
        <v>3929</v>
      </c>
      <c r="AV7" t="s">
        <v>3930</v>
      </c>
      <c r="AW7" t="s">
        <v>3931</v>
      </c>
      <c r="AX7">
        <v>4</v>
      </c>
      <c r="AY7">
        <v>2</v>
      </c>
      <c r="AZ7" t="s">
        <v>3897</v>
      </c>
      <c r="BA7">
        <v>10</v>
      </c>
      <c r="BB7" t="s">
        <v>3898</v>
      </c>
      <c r="BC7">
        <v>1</v>
      </c>
      <c r="BD7">
        <v>5</v>
      </c>
      <c r="BE7" t="s">
        <v>3899</v>
      </c>
      <c r="BF7">
        <v>1</v>
      </c>
      <c r="BG7">
        <v>13</v>
      </c>
      <c r="BH7" t="s">
        <v>3900</v>
      </c>
      <c r="BI7" t="s">
        <v>3932</v>
      </c>
      <c r="BJ7">
        <v>1</v>
      </c>
      <c r="BK7" t="s">
        <v>3902</v>
      </c>
    </row>
    <row r="8" spans="1:63" x14ac:dyDescent="0.25">
      <c r="A8">
        <v>1050</v>
      </c>
      <c r="B8" t="str">
        <f>"20200124176017007640"</f>
        <v>20200124176017007640</v>
      </c>
      <c r="C8">
        <v>1</v>
      </c>
      <c r="D8">
        <v>1</v>
      </c>
      <c r="E8" t="s">
        <v>3886</v>
      </c>
      <c r="F8">
        <v>2</v>
      </c>
      <c r="G8">
        <v>0</v>
      </c>
      <c r="H8" t="s">
        <v>66</v>
      </c>
      <c r="I8">
        <v>0</v>
      </c>
      <c r="J8" t="s">
        <v>66</v>
      </c>
      <c r="K8">
        <v>0</v>
      </c>
      <c r="L8" t="s">
        <v>66</v>
      </c>
      <c r="M8" t="s">
        <v>56</v>
      </c>
      <c r="N8">
        <v>0</v>
      </c>
      <c r="O8" t="s">
        <v>66</v>
      </c>
      <c r="P8" t="s">
        <v>56</v>
      </c>
      <c r="Q8">
        <v>0</v>
      </c>
      <c r="R8" t="s">
        <v>66</v>
      </c>
      <c r="S8" t="s">
        <v>56</v>
      </c>
      <c r="T8">
        <v>1</v>
      </c>
      <c r="U8" t="s">
        <v>1627</v>
      </c>
      <c r="V8" t="s">
        <v>56</v>
      </c>
      <c r="W8">
        <v>0</v>
      </c>
      <c r="X8" t="s">
        <v>66</v>
      </c>
      <c r="Y8" t="s">
        <v>56</v>
      </c>
      <c r="Z8">
        <v>0</v>
      </c>
      <c r="AA8" t="s">
        <v>66</v>
      </c>
      <c r="AB8" t="s">
        <v>56</v>
      </c>
      <c r="AC8">
        <v>1</v>
      </c>
      <c r="AD8" t="s">
        <v>1627</v>
      </c>
      <c r="AE8" t="s">
        <v>3887</v>
      </c>
      <c r="AF8">
        <v>0</v>
      </c>
      <c r="AG8" t="s">
        <v>66</v>
      </c>
      <c r="AH8" t="s">
        <v>56</v>
      </c>
      <c r="AI8">
        <v>1</v>
      </c>
      <c r="AJ8" t="s">
        <v>1627</v>
      </c>
      <c r="AK8" t="s">
        <v>56</v>
      </c>
      <c r="AL8" t="s">
        <v>56</v>
      </c>
      <c r="AM8" t="s">
        <v>56</v>
      </c>
      <c r="AN8" t="s">
        <v>56</v>
      </c>
      <c r="AO8" t="s">
        <v>3933</v>
      </c>
      <c r="AP8" t="s">
        <v>3934</v>
      </c>
      <c r="AQ8" t="s">
        <v>3935</v>
      </c>
      <c r="AR8" t="s">
        <v>3926</v>
      </c>
      <c r="AS8" t="s">
        <v>3927</v>
      </c>
      <c r="AT8" t="s">
        <v>3936</v>
      </c>
      <c r="AU8" t="s">
        <v>3894</v>
      </c>
      <c r="AV8" t="s">
        <v>3895</v>
      </c>
      <c r="AW8" t="s">
        <v>3896</v>
      </c>
      <c r="AX8">
        <v>8</v>
      </c>
      <c r="AY8">
        <v>2</v>
      </c>
      <c r="AZ8" t="s">
        <v>3897</v>
      </c>
      <c r="BA8">
        <v>10</v>
      </c>
      <c r="BB8" t="s">
        <v>3898</v>
      </c>
      <c r="BC8">
        <v>1</v>
      </c>
      <c r="BD8">
        <v>5</v>
      </c>
      <c r="BE8" t="s">
        <v>3899</v>
      </c>
      <c r="BF8">
        <v>1</v>
      </c>
      <c r="BG8">
        <v>13</v>
      </c>
      <c r="BH8" t="s">
        <v>3900</v>
      </c>
      <c r="BI8" t="s">
        <v>3937</v>
      </c>
      <c r="BJ8">
        <v>1</v>
      </c>
      <c r="BK8" t="s">
        <v>3902</v>
      </c>
    </row>
    <row r="9" spans="1:63" x14ac:dyDescent="0.25">
      <c r="A9">
        <v>1051</v>
      </c>
      <c r="B9" t="str">
        <f>"20200124166017007673"</f>
        <v>20200124166017007673</v>
      </c>
      <c r="C9">
        <v>1</v>
      </c>
      <c r="D9">
        <v>1</v>
      </c>
      <c r="E9" t="s">
        <v>3886</v>
      </c>
      <c r="F9">
        <v>2</v>
      </c>
      <c r="G9">
        <v>0</v>
      </c>
      <c r="H9" t="s">
        <v>66</v>
      </c>
      <c r="I9">
        <v>0</v>
      </c>
      <c r="J9" t="s">
        <v>66</v>
      </c>
      <c r="K9">
        <v>0</v>
      </c>
      <c r="L9" t="s">
        <v>66</v>
      </c>
      <c r="M9" t="s">
        <v>56</v>
      </c>
      <c r="N9">
        <v>0</v>
      </c>
      <c r="O9" t="s">
        <v>66</v>
      </c>
      <c r="P9" t="s">
        <v>56</v>
      </c>
      <c r="Q9">
        <v>0</v>
      </c>
      <c r="R9" t="s">
        <v>66</v>
      </c>
      <c r="S9" t="s">
        <v>56</v>
      </c>
      <c r="T9">
        <v>1</v>
      </c>
      <c r="U9" t="s">
        <v>1627</v>
      </c>
      <c r="V9" t="s">
        <v>56</v>
      </c>
      <c r="W9">
        <v>0</v>
      </c>
      <c r="X9" t="s">
        <v>66</v>
      </c>
      <c r="Y9" t="s">
        <v>56</v>
      </c>
      <c r="Z9">
        <v>0</v>
      </c>
      <c r="AA9" t="s">
        <v>66</v>
      </c>
      <c r="AB9" t="s">
        <v>56</v>
      </c>
      <c r="AC9">
        <v>1</v>
      </c>
      <c r="AD9" t="s">
        <v>1627</v>
      </c>
      <c r="AE9" t="s">
        <v>3887</v>
      </c>
      <c r="AF9">
        <v>0</v>
      </c>
      <c r="AG9" t="s">
        <v>66</v>
      </c>
      <c r="AH9" t="s">
        <v>56</v>
      </c>
      <c r="AI9">
        <v>1</v>
      </c>
      <c r="AJ9" t="s">
        <v>1627</v>
      </c>
      <c r="AK9" t="s">
        <v>56</v>
      </c>
      <c r="AL9" t="s">
        <v>56</v>
      </c>
      <c r="AM9" t="s">
        <v>56</v>
      </c>
      <c r="AN9" t="s">
        <v>56</v>
      </c>
      <c r="AO9" t="s">
        <v>3938</v>
      </c>
      <c r="AP9" t="s">
        <v>3939</v>
      </c>
      <c r="AQ9" t="s">
        <v>3940</v>
      </c>
      <c r="AR9" t="s">
        <v>3941</v>
      </c>
      <c r="AS9" t="s">
        <v>3942</v>
      </c>
      <c r="AT9" t="s">
        <v>3943</v>
      </c>
      <c r="AU9" t="s">
        <v>3944</v>
      </c>
      <c r="AV9" t="s">
        <v>3945</v>
      </c>
      <c r="AW9" t="s">
        <v>3946</v>
      </c>
      <c r="AX9">
        <v>12</v>
      </c>
      <c r="AY9">
        <v>2</v>
      </c>
      <c r="AZ9" t="s">
        <v>3897</v>
      </c>
      <c r="BA9">
        <v>10</v>
      </c>
      <c r="BB9" t="s">
        <v>3898</v>
      </c>
      <c r="BC9">
        <v>3</v>
      </c>
      <c r="BD9">
        <v>5</v>
      </c>
      <c r="BE9" t="s">
        <v>3899</v>
      </c>
      <c r="BF9">
        <v>180</v>
      </c>
      <c r="BG9">
        <v>14</v>
      </c>
      <c r="BH9" t="s">
        <v>3947</v>
      </c>
      <c r="BI9" t="s">
        <v>3948</v>
      </c>
      <c r="BJ9">
        <v>1</v>
      </c>
      <c r="BK9" t="s">
        <v>3902</v>
      </c>
    </row>
    <row r="10" spans="1:63" x14ac:dyDescent="0.25">
      <c r="A10">
        <v>1052</v>
      </c>
      <c r="B10" t="str">
        <f>"20200124167017007885"</f>
        <v>20200124167017007885</v>
      </c>
      <c r="C10">
        <v>1</v>
      </c>
      <c r="D10">
        <v>1</v>
      </c>
      <c r="E10" t="s">
        <v>3886</v>
      </c>
      <c r="F10">
        <v>2</v>
      </c>
      <c r="G10">
        <v>0</v>
      </c>
      <c r="H10" t="s">
        <v>66</v>
      </c>
      <c r="I10">
        <v>0</v>
      </c>
      <c r="J10" t="s">
        <v>66</v>
      </c>
      <c r="K10">
        <v>0</v>
      </c>
      <c r="L10" t="s">
        <v>66</v>
      </c>
      <c r="M10" t="s">
        <v>56</v>
      </c>
      <c r="N10">
        <v>0</v>
      </c>
      <c r="O10" t="s">
        <v>66</v>
      </c>
      <c r="P10" t="s">
        <v>56</v>
      </c>
      <c r="Q10">
        <v>0</v>
      </c>
      <c r="R10" t="s">
        <v>66</v>
      </c>
      <c r="S10" t="s">
        <v>56</v>
      </c>
      <c r="T10">
        <v>1</v>
      </c>
      <c r="U10" t="s">
        <v>1627</v>
      </c>
      <c r="V10" t="s">
        <v>56</v>
      </c>
      <c r="W10">
        <v>0</v>
      </c>
      <c r="X10" t="s">
        <v>66</v>
      </c>
      <c r="Y10" t="s">
        <v>56</v>
      </c>
      <c r="Z10">
        <v>0</v>
      </c>
      <c r="AA10" t="s">
        <v>66</v>
      </c>
      <c r="AB10" t="s">
        <v>56</v>
      </c>
      <c r="AC10">
        <v>1</v>
      </c>
      <c r="AD10" t="s">
        <v>1627</v>
      </c>
      <c r="AE10" t="s">
        <v>3887</v>
      </c>
      <c r="AF10">
        <v>0</v>
      </c>
      <c r="AG10" t="s">
        <v>66</v>
      </c>
      <c r="AH10" t="s">
        <v>56</v>
      </c>
      <c r="AI10">
        <v>1</v>
      </c>
      <c r="AJ10" t="s">
        <v>1627</v>
      </c>
      <c r="AK10" t="s">
        <v>56</v>
      </c>
      <c r="AL10" t="s">
        <v>56</v>
      </c>
      <c r="AM10" t="s">
        <v>56</v>
      </c>
      <c r="AN10" t="s">
        <v>56</v>
      </c>
      <c r="AO10" t="s">
        <v>3949</v>
      </c>
      <c r="AP10" t="s">
        <v>3889</v>
      </c>
      <c r="AQ10" t="s">
        <v>3890</v>
      </c>
      <c r="AR10" t="s">
        <v>3891</v>
      </c>
      <c r="AS10" t="s">
        <v>3892</v>
      </c>
      <c r="AT10" t="s">
        <v>3950</v>
      </c>
      <c r="AU10" t="s">
        <v>3894</v>
      </c>
      <c r="AV10" t="s">
        <v>3895</v>
      </c>
      <c r="AW10" t="s">
        <v>3896</v>
      </c>
      <c r="AX10">
        <v>6</v>
      </c>
      <c r="AY10">
        <v>2</v>
      </c>
      <c r="AZ10" t="s">
        <v>3897</v>
      </c>
      <c r="BA10">
        <v>10</v>
      </c>
      <c r="BB10" t="s">
        <v>3898</v>
      </c>
      <c r="BC10">
        <v>6</v>
      </c>
      <c r="BD10">
        <v>5</v>
      </c>
      <c r="BE10" t="s">
        <v>3899</v>
      </c>
      <c r="BF10">
        <v>6</v>
      </c>
      <c r="BG10">
        <v>13</v>
      </c>
      <c r="BH10" t="s">
        <v>3900</v>
      </c>
      <c r="BI10" t="s">
        <v>3951</v>
      </c>
      <c r="BJ10">
        <v>1</v>
      </c>
      <c r="BK10" t="s">
        <v>3902</v>
      </c>
    </row>
    <row r="11" spans="1:63" x14ac:dyDescent="0.25">
      <c r="A11">
        <v>1053</v>
      </c>
      <c r="B11" t="str">
        <f>"20200124189017007975"</f>
        <v>20200124189017007975</v>
      </c>
      <c r="C11">
        <v>1</v>
      </c>
      <c r="D11">
        <v>1</v>
      </c>
      <c r="E11" t="s">
        <v>3886</v>
      </c>
      <c r="F11">
        <v>2</v>
      </c>
      <c r="G11">
        <v>0</v>
      </c>
      <c r="H11" t="s">
        <v>66</v>
      </c>
      <c r="I11">
        <v>0</v>
      </c>
      <c r="J11" t="s">
        <v>66</v>
      </c>
      <c r="K11">
        <v>0</v>
      </c>
      <c r="L11" t="s">
        <v>66</v>
      </c>
      <c r="M11" t="s">
        <v>56</v>
      </c>
      <c r="N11">
        <v>0</v>
      </c>
      <c r="O11" t="s">
        <v>66</v>
      </c>
      <c r="P11" t="s">
        <v>56</v>
      </c>
      <c r="Q11">
        <v>0</v>
      </c>
      <c r="R11" t="s">
        <v>66</v>
      </c>
      <c r="S11" t="s">
        <v>56</v>
      </c>
      <c r="T11">
        <v>1</v>
      </c>
      <c r="U11" t="s">
        <v>1627</v>
      </c>
      <c r="V11" t="s">
        <v>56</v>
      </c>
      <c r="W11">
        <v>0</v>
      </c>
      <c r="X11" t="s">
        <v>66</v>
      </c>
      <c r="Y11" t="s">
        <v>56</v>
      </c>
      <c r="Z11">
        <v>0</v>
      </c>
      <c r="AA11" t="s">
        <v>66</v>
      </c>
      <c r="AB11" t="s">
        <v>56</v>
      </c>
      <c r="AC11">
        <v>1</v>
      </c>
      <c r="AD11" t="s">
        <v>1627</v>
      </c>
      <c r="AE11" t="s">
        <v>3887</v>
      </c>
      <c r="AF11">
        <v>0</v>
      </c>
      <c r="AG11" t="s">
        <v>66</v>
      </c>
      <c r="AH11" t="s">
        <v>56</v>
      </c>
      <c r="AI11">
        <v>1</v>
      </c>
      <c r="AJ11" t="s">
        <v>1627</v>
      </c>
      <c r="AK11" t="s">
        <v>56</v>
      </c>
      <c r="AL11" t="s">
        <v>56</v>
      </c>
      <c r="AM11" t="s">
        <v>56</v>
      </c>
      <c r="AN11" t="s">
        <v>56</v>
      </c>
      <c r="AO11" t="s">
        <v>3952</v>
      </c>
      <c r="AP11" t="s">
        <v>3889</v>
      </c>
      <c r="AQ11" t="s">
        <v>3890</v>
      </c>
      <c r="AR11" t="s">
        <v>3953</v>
      </c>
      <c r="AS11" t="s">
        <v>3954</v>
      </c>
      <c r="AT11" t="s">
        <v>3955</v>
      </c>
      <c r="AU11">
        <v>9000</v>
      </c>
      <c r="AV11" t="s">
        <v>3956</v>
      </c>
      <c r="AW11" t="s">
        <v>3956</v>
      </c>
      <c r="AX11">
        <v>1</v>
      </c>
      <c r="AY11">
        <v>3</v>
      </c>
      <c r="AZ11" t="s">
        <v>3911</v>
      </c>
      <c r="BA11">
        <v>10</v>
      </c>
      <c r="BB11" t="s">
        <v>3898</v>
      </c>
      <c r="BC11">
        <v>1</v>
      </c>
      <c r="BD11">
        <v>3</v>
      </c>
      <c r="BE11" t="s">
        <v>3911</v>
      </c>
      <c r="BF11">
        <v>1</v>
      </c>
      <c r="BG11" t="s">
        <v>3912</v>
      </c>
      <c r="BH11" t="s">
        <v>3913</v>
      </c>
      <c r="BI11" t="s">
        <v>3957</v>
      </c>
      <c r="BJ11">
        <v>1</v>
      </c>
      <c r="BK11" t="s">
        <v>3902</v>
      </c>
    </row>
    <row r="12" spans="1:63" x14ac:dyDescent="0.25">
      <c r="A12">
        <v>1054</v>
      </c>
      <c r="B12" t="str">
        <f>"20200124157017008006"</f>
        <v>20200124157017008006</v>
      </c>
      <c r="C12">
        <v>1</v>
      </c>
      <c r="D12">
        <v>1</v>
      </c>
      <c r="E12" t="s">
        <v>3886</v>
      </c>
      <c r="F12">
        <v>2</v>
      </c>
      <c r="G12">
        <v>0</v>
      </c>
      <c r="H12" t="s">
        <v>66</v>
      </c>
      <c r="I12">
        <v>0</v>
      </c>
      <c r="J12" t="s">
        <v>66</v>
      </c>
      <c r="K12">
        <v>0</v>
      </c>
      <c r="L12" t="s">
        <v>66</v>
      </c>
      <c r="M12" t="s">
        <v>56</v>
      </c>
      <c r="N12">
        <v>0</v>
      </c>
      <c r="O12" t="s">
        <v>66</v>
      </c>
      <c r="P12" t="s">
        <v>56</v>
      </c>
      <c r="Q12">
        <v>0</v>
      </c>
      <c r="R12" t="s">
        <v>66</v>
      </c>
      <c r="S12" t="s">
        <v>56</v>
      </c>
      <c r="T12">
        <v>1</v>
      </c>
      <c r="U12" t="s">
        <v>1627</v>
      </c>
      <c r="V12" t="s">
        <v>56</v>
      </c>
      <c r="W12">
        <v>0</v>
      </c>
      <c r="X12" t="s">
        <v>66</v>
      </c>
      <c r="Y12" t="s">
        <v>56</v>
      </c>
      <c r="Z12">
        <v>0</v>
      </c>
      <c r="AA12" t="s">
        <v>66</v>
      </c>
      <c r="AB12" t="s">
        <v>56</v>
      </c>
      <c r="AC12">
        <v>1</v>
      </c>
      <c r="AD12" t="s">
        <v>1627</v>
      </c>
      <c r="AE12" t="s">
        <v>3887</v>
      </c>
      <c r="AF12">
        <v>0</v>
      </c>
      <c r="AG12" t="s">
        <v>66</v>
      </c>
      <c r="AH12" t="s">
        <v>56</v>
      </c>
      <c r="AI12">
        <v>1</v>
      </c>
      <c r="AJ12" t="s">
        <v>1627</v>
      </c>
      <c r="AK12" t="s">
        <v>56</v>
      </c>
      <c r="AL12" t="s">
        <v>56</v>
      </c>
      <c r="AM12" t="s">
        <v>56</v>
      </c>
      <c r="AN12" t="s">
        <v>56</v>
      </c>
      <c r="AO12" t="s">
        <v>3958</v>
      </c>
      <c r="AP12" t="s">
        <v>3939</v>
      </c>
      <c r="AQ12" t="s">
        <v>3940</v>
      </c>
      <c r="AR12" t="s">
        <v>3941</v>
      </c>
      <c r="AS12" t="s">
        <v>3942</v>
      </c>
      <c r="AT12" t="s">
        <v>3959</v>
      </c>
      <c r="AU12" t="s">
        <v>3944</v>
      </c>
      <c r="AV12" t="s">
        <v>3945</v>
      </c>
      <c r="AW12" t="s">
        <v>3946</v>
      </c>
      <c r="AX12">
        <v>24</v>
      </c>
      <c r="AY12">
        <v>2</v>
      </c>
      <c r="AZ12" t="s">
        <v>3897</v>
      </c>
      <c r="BA12">
        <v>10</v>
      </c>
      <c r="BB12" t="s">
        <v>3898</v>
      </c>
      <c r="BC12">
        <v>3</v>
      </c>
      <c r="BD12">
        <v>5</v>
      </c>
      <c r="BE12" t="s">
        <v>3899</v>
      </c>
      <c r="BF12">
        <v>360</v>
      </c>
      <c r="BG12">
        <v>14</v>
      </c>
      <c r="BH12" t="s">
        <v>3947</v>
      </c>
      <c r="BI12" t="s">
        <v>3960</v>
      </c>
      <c r="BJ12">
        <v>1</v>
      </c>
      <c r="BK12" t="s">
        <v>3902</v>
      </c>
    </row>
    <row r="13" spans="1:63" x14ac:dyDescent="0.25">
      <c r="A13">
        <v>1055</v>
      </c>
      <c r="B13" t="str">
        <f>"20200124193017008160"</f>
        <v>20200124193017008160</v>
      </c>
      <c r="C13">
        <v>1</v>
      </c>
      <c r="D13">
        <v>1</v>
      </c>
      <c r="E13" t="s">
        <v>3886</v>
      </c>
      <c r="F13">
        <v>2</v>
      </c>
      <c r="G13">
        <v>0</v>
      </c>
      <c r="H13" t="s">
        <v>66</v>
      </c>
      <c r="I13">
        <v>0</v>
      </c>
      <c r="J13" t="s">
        <v>66</v>
      </c>
      <c r="K13">
        <v>0</v>
      </c>
      <c r="L13" t="s">
        <v>66</v>
      </c>
      <c r="M13" t="s">
        <v>56</v>
      </c>
      <c r="N13">
        <v>0</v>
      </c>
      <c r="O13" t="s">
        <v>66</v>
      </c>
      <c r="P13" t="s">
        <v>56</v>
      </c>
      <c r="Q13">
        <v>0</v>
      </c>
      <c r="R13" t="s">
        <v>66</v>
      </c>
      <c r="S13" t="s">
        <v>56</v>
      </c>
      <c r="T13">
        <v>1</v>
      </c>
      <c r="U13" t="s">
        <v>1627</v>
      </c>
      <c r="V13" t="s">
        <v>56</v>
      </c>
      <c r="W13">
        <v>0</v>
      </c>
      <c r="X13" t="s">
        <v>66</v>
      </c>
      <c r="Y13" t="s">
        <v>56</v>
      </c>
      <c r="Z13">
        <v>0</v>
      </c>
      <c r="AA13" t="s">
        <v>66</v>
      </c>
      <c r="AB13" t="s">
        <v>56</v>
      </c>
      <c r="AC13">
        <v>1</v>
      </c>
      <c r="AD13" t="s">
        <v>1627</v>
      </c>
      <c r="AE13" t="s">
        <v>3887</v>
      </c>
      <c r="AF13">
        <v>0</v>
      </c>
      <c r="AG13" t="s">
        <v>66</v>
      </c>
      <c r="AH13" t="s">
        <v>56</v>
      </c>
      <c r="AI13">
        <v>1</v>
      </c>
      <c r="AJ13" t="s">
        <v>1627</v>
      </c>
      <c r="AK13">
        <v>0</v>
      </c>
      <c r="AL13" t="s">
        <v>66</v>
      </c>
      <c r="AM13" t="s">
        <v>56</v>
      </c>
      <c r="AN13" t="s">
        <v>56</v>
      </c>
      <c r="AO13" t="s">
        <v>3961</v>
      </c>
      <c r="AP13" t="s">
        <v>3962</v>
      </c>
      <c r="AQ13" t="s">
        <v>3963</v>
      </c>
      <c r="AR13" t="s">
        <v>3941</v>
      </c>
      <c r="AS13" t="s">
        <v>3942</v>
      </c>
      <c r="AT13" t="s">
        <v>3964</v>
      </c>
      <c r="AU13">
        <v>9000</v>
      </c>
      <c r="AV13" t="s">
        <v>3956</v>
      </c>
      <c r="AW13" t="s">
        <v>3956</v>
      </c>
      <c r="AX13">
        <v>24</v>
      </c>
      <c r="AY13">
        <v>2</v>
      </c>
      <c r="AZ13" t="s">
        <v>3897</v>
      </c>
      <c r="BA13">
        <v>10</v>
      </c>
      <c r="BB13" t="s">
        <v>3898</v>
      </c>
      <c r="BC13">
        <v>3</v>
      </c>
      <c r="BD13">
        <v>5</v>
      </c>
      <c r="BE13" t="s">
        <v>3899</v>
      </c>
      <c r="BF13">
        <v>90</v>
      </c>
      <c r="BG13">
        <v>66</v>
      </c>
      <c r="BH13" t="s">
        <v>3965</v>
      </c>
      <c r="BI13" t="s">
        <v>3966</v>
      </c>
      <c r="BJ13">
        <v>1</v>
      </c>
      <c r="BK13" t="s">
        <v>3902</v>
      </c>
    </row>
    <row r="14" spans="1:63" x14ac:dyDescent="0.25">
      <c r="A14">
        <v>1056</v>
      </c>
      <c r="B14" t="str">
        <f>"20200124184017008701"</f>
        <v>20200124184017008701</v>
      </c>
      <c r="C14">
        <v>1</v>
      </c>
      <c r="D14">
        <v>1</v>
      </c>
      <c r="E14" t="s">
        <v>3886</v>
      </c>
      <c r="F14">
        <v>2</v>
      </c>
      <c r="G14">
        <v>0</v>
      </c>
      <c r="H14" t="s">
        <v>66</v>
      </c>
      <c r="I14">
        <v>0</v>
      </c>
      <c r="J14" t="s">
        <v>66</v>
      </c>
      <c r="K14">
        <v>0</v>
      </c>
      <c r="L14" t="s">
        <v>66</v>
      </c>
      <c r="M14" t="s">
        <v>56</v>
      </c>
      <c r="N14">
        <v>0</v>
      </c>
      <c r="O14" t="s">
        <v>66</v>
      </c>
      <c r="P14" t="s">
        <v>56</v>
      </c>
      <c r="Q14">
        <v>0</v>
      </c>
      <c r="R14" t="s">
        <v>66</v>
      </c>
      <c r="S14" t="s">
        <v>56</v>
      </c>
      <c r="T14">
        <v>1</v>
      </c>
      <c r="U14" t="s">
        <v>1627</v>
      </c>
      <c r="V14" t="s">
        <v>56</v>
      </c>
      <c r="W14">
        <v>0</v>
      </c>
      <c r="X14" t="s">
        <v>66</v>
      </c>
      <c r="Y14" t="s">
        <v>56</v>
      </c>
      <c r="Z14">
        <v>0</v>
      </c>
      <c r="AA14" t="s">
        <v>66</v>
      </c>
      <c r="AB14" t="s">
        <v>56</v>
      </c>
      <c r="AC14">
        <v>1</v>
      </c>
      <c r="AD14" t="s">
        <v>1627</v>
      </c>
      <c r="AE14" t="s">
        <v>3887</v>
      </c>
      <c r="AF14">
        <v>0</v>
      </c>
      <c r="AG14" t="s">
        <v>66</v>
      </c>
      <c r="AH14" t="s">
        <v>56</v>
      </c>
      <c r="AI14">
        <v>1</v>
      </c>
      <c r="AJ14" t="s">
        <v>1627</v>
      </c>
      <c r="AK14" t="s">
        <v>56</v>
      </c>
      <c r="AL14" t="s">
        <v>56</v>
      </c>
      <c r="AM14" t="s">
        <v>56</v>
      </c>
      <c r="AN14" t="s">
        <v>56</v>
      </c>
      <c r="AO14" t="s">
        <v>3967</v>
      </c>
      <c r="AP14" t="s">
        <v>3962</v>
      </c>
      <c r="AQ14" t="s">
        <v>3963</v>
      </c>
      <c r="AR14" t="s">
        <v>3941</v>
      </c>
      <c r="AS14" t="s">
        <v>3942</v>
      </c>
      <c r="AT14" t="s">
        <v>3968</v>
      </c>
      <c r="AU14" t="s">
        <v>3944</v>
      </c>
      <c r="AV14" t="s">
        <v>3945</v>
      </c>
      <c r="AW14" t="s">
        <v>3946</v>
      </c>
      <c r="AX14">
        <v>12</v>
      </c>
      <c r="AY14">
        <v>2</v>
      </c>
      <c r="AZ14" t="s">
        <v>3897</v>
      </c>
      <c r="BA14">
        <v>10</v>
      </c>
      <c r="BB14" t="s">
        <v>3898</v>
      </c>
      <c r="BC14">
        <v>90</v>
      </c>
      <c r="BD14">
        <v>3</v>
      </c>
      <c r="BE14" t="s">
        <v>3911</v>
      </c>
      <c r="BF14">
        <v>180</v>
      </c>
      <c r="BG14">
        <v>66</v>
      </c>
      <c r="BH14" t="s">
        <v>3965</v>
      </c>
      <c r="BI14" t="s">
        <v>3969</v>
      </c>
      <c r="BJ14">
        <v>1</v>
      </c>
      <c r="BK14" t="s">
        <v>3902</v>
      </c>
    </row>
    <row r="15" spans="1:63" x14ac:dyDescent="0.25">
      <c r="A15">
        <v>1057</v>
      </c>
      <c r="B15" t="str">
        <f>"20200124178017008725"</f>
        <v>20200124178017008725</v>
      </c>
      <c r="C15">
        <v>1</v>
      </c>
      <c r="D15">
        <v>1</v>
      </c>
      <c r="E15" t="s">
        <v>3886</v>
      </c>
      <c r="F15">
        <v>2</v>
      </c>
      <c r="G15">
        <v>0</v>
      </c>
      <c r="H15" t="s">
        <v>66</v>
      </c>
      <c r="I15">
        <v>0</v>
      </c>
      <c r="J15" t="s">
        <v>66</v>
      </c>
      <c r="K15">
        <v>0</v>
      </c>
      <c r="L15" t="s">
        <v>66</v>
      </c>
      <c r="M15" t="s">
        <v>56</v>
      </c>
      <c r="N15">
        <v>0</v>
      </c>
      <c r="O15" t="s">
        <v>66</v>
      </c>
      <c r="P15" t="s">
        <v>56</v>
      </c>
      <c r="Q15">
        <v>0</v>
      </c>
      <c r="R15" t="s">
        <v>66</v>
      </c>
      <c r="S15" t="s">
        <v>56</v>
      </c>
      <c r="T15">
        <v>1</v>
      </c>
      <c r="U15" t="s">
        <v>1627</v>
      </c>
      <c r="V15" t="s">
        <v>56</v>
      </c>
      <c r="W15">
        <v>0</v>
      </c>
      <c r="X15" t="s">
        <v>66</v>
      </c>
      <c r="Y15" t="s">
        <v>56</v>
      </c>
      <c r="Z15">
        <v>0</v>
      </c>
      <c r="AA15" t="s">
        <v>66</v>
      </c>
      <c r="AB15" t="s">
        <v>56</v>
      </c>
      <c r="AC15">
        <v>1</v>
      </c>
      <c r="AD15" t="s">
        <v>1627</v>
      </c>
      <c r="AE15" t="s">
        <v>3887</v>
      </c>
      <c r="AF15">
        <v>0</v>
      </c>
      <c r="AG15" t="s">
        <v>66</v>
      </c>
      <c r="AH15" t="s">
        <v>56</v>
      </c>
      <c r="AI15">
        <v>1</v>
      </c>
      <c r="AJ15" t="s">
        <v>1627</v>
      </c>
      <c r="AK15" t="s">
        <v>56</v>
      </c>
      <c r="AL15" t="s">
        <v>56</v>
      </c>
      <c r="AM15" t="s">
        <v>56</v>
      </c>
      <c r="AN15" t="s">
        <v>56</v>
      </c>
      <c r="AO15" t="s">
        <v>3970</v>
      </c>
      <c r="AP15" t="s">
        <v>3971</v>
      </c>
      <c r="AQ15" t="s">
        <v>3972</v>
      </c>
      <c r="AR15" t="s">
        <v>3904</v>
      </c>
      <c r="AS15" t="s">
        <v>3905</v>
      </c>
      <c r="AT15" t="s">
        <v>3973</v>
      </c>
      <c r="AU15" t="s">
        <v>3944</v>
      </c>
      <c r="AV15" t="s">
        <v>3945</v>
      </c>
      <c r="AW15" t="s">
        <v>3946</v>
      </c>
      <c r="AX15">
        <v>12</v>
      </c>
      <c r="AY15">
        <v>2</v>
      </c>
      <c r="AZ15" t="s">
        <v>3897</v>
      </c>
      <c r="BA15">
        <v>10</v>
      </c>
      <c r="BB15" t="s">
        <v>3898</v>
      </c>
      <c r="BC15">
        <v>28</v>
      </c>
      <c r="BD15">
        <v>3</v>
      </c>
      <c r="BE15" t="s">
        <v>3911</v>
      </c>
      <c r="BF15">
        <v>56</v>
      </c>
      <c r="BG15" t="s">
        <v>3912</v>
      </c>
      <c r="BH15" t="s">
        <v>3913</v>
      </c>
      <c r="BI15" t="s">
        <v>3974</v>
      </c>
      <c r="BJ15">
        <v>1</v>
      </c>
      <c r="BK15" t="s">
        <v>3902</v>
      </c>
    </row>
    <row r="16" spans="1:63" x14ac:dyDescent="0.25">
      <c r="A16">
        <v>1058</v>
      </c>
      <c r="B16" t="str">
        <f>"20200124180017009275"</f>
        <v>20200124180017009275</v>
      </c>
      <c r="C16">
        <v>1</v>
      </c>
      <c r="D16">
        <v>1</v>
      </c>
      <c r="E16" t="s">
        <v>3886</v>
      </c>
      <c r="F16">
        <v>1</v>
      </c>
      <c r="G16">
        <v>0</v>
      </c>
      <c r="H16" t="s">
        <v>66</v>
      </c>
      <c r="I16">
        <v>0</v>
      </c>
      <c r="J16" t="s">
        <v>66</v>
      </c>
      <c r="K16">
        <v>0</v>
      </c>
      <c r="L16" t="s">
        <v>66</v>
      </c>
      <c r="M16" t="s">
        <v>56</v>
      </c>
      <c r="N16">
        <v>0</v>
      </c>
      <c r="O16" t="s">
        <v>66</v>
      </c>
      <c r="P16" t="s">
        <v>56</v>
      </c>
      <c r="Q16">
        <v>0</v>
      </c>
      <c r="R16" t="s">
        <v>66</v>
      </c>
      <c r="S16" t="s">
        <v>56</v>
      </c>
      <c r="T16">
        <v>1</v>
      </c>
      <c r="U16" t="s">
        <v>1627</v>
      </c>
      <c r="V16" t="s">
        <v>56</v>
      </c>
      <c r="W16">
        <v>0</v>
      </c>
      <c r="X16" t="s">
        <v>66</v>
      </c>
      <c r="Y16" t="s">
        <v>56</v>
      </c>
      <c r="Z16">
        <v>0</v>
      </c>
      <c r="AA16" t="s">
        <v>66</v>
      </c>
      <c r="AB16" t="s">
        <v>56</v>
      </c>
      <c r="AC16">
        <v>1</v>
      </c>
      <c r="AD16" t="s">
        <v>1627</v>
      </c>
      <c r="AE16" t="s">
        <v>3887</v>
      </c>
      <c r="AF16">
        <v>0</v>
      </c>
      <c r="AG16" t="s">
        <v>66</v>
      </c>
      <c r="AH16" t="s">
        <v>56</v>
      </c>
      <c r="AI16">
        <v>1</v>
      </c>
      <c r="AJ16" t="s">
        <v>1627</v>
      </c>
      <c r="AK16" t="s">
        <v>56</v>
      </c>
      <c r="AL16" t="s">
        <v>56</v>
      </c>
      <c r="AM16" t="s">
        <v>56</v>
      </c>
      <c r="AN16" t="s">
        <v>56</v>
      </c>
      <c r="AO16" t="s">
        <v>3975</v>
      </c>
      <c r="AP16" t="s">
        <v>3962</v>
      </c>
      <c r="AQ16" t="s">
        <v>3963</v>
      </c>
      <c r="AR16" t="s">
        <v>3941</v>
      </c>
      <c r="AS16" t="s">
        <v>3942</v>
      </c>
      <c r="AT16" t="s">
        <v>3968</v>
      </c>
      <c r="AU16" t="s">
        <v>3944</v>
      </c>
      <c r="AV16" t="s">
        <v>3945</v>
      </c>
      <c r="AW16" t="s">
        <v>3946</v>
      </c>
      <c r="AX16">
        <v>12</v>
      </c>
      <c r="AY16">
        <v>2</v>
      </c>
      <c r="AZ16" t="s">
        <v>3897</v>
      </c>
      <c r="BA16">
        <v>10</v>
      </c>
      <c r="BB16" t="s">
        <v>3898</v>
      </c>
      <c r="BC16">
        <v>90</v>
      </c>
      <c r="BD16">
        <v>3</v>
      </c>
      <c r="BE16" t="s">
        <v>3911</v>
      </c>
      <c r="BF16">
        <v>180</v>
      </c>
      <c r="BG16">
        <v>66</v>
      </c>
      <c r="BH16" t="s">
        <v>3965</v>
      </c>
      <c r="BI16" t="s">
        <v>3969</v>
      </c>
      <c r="BJ16">
        <v>1</v>
      </c>
      <c r="BK16" t="s">
        <v>3902</v>
      </c>
    </row>
    <row r="17" spans="1:63" x14ac:dyDescent="0.25">
      <c r="A17">
        <v>1059</v>
      </c>
      <c r="B17" t="str">
        <f>"20200124157017010114"</f>
        <v>20200124157017010114</v>
      </c>
      <c r="C17">
        <v>1</v>
      </c>
      <c r="D17">
        <v>1</v>
      </c>
      <c r="E17" t="s">
        <v>3886</v>
      </c>
      <c r="F17">
        <v>2</v>
      </c>
      <c r="G17">
        <v>0</v>
      </c>
      <c r="H17" t="s">
        <v>66</v>
      </c>
      <c r="I17">
        <v>0</v>
      </c>
      <c r="J17" t="s">
        <v>66</v>
      </c>
      <c r="K17">
        <v>1</v>
      </c>
      <c r="L17" t="s">
        <v>1627</v>
      </c>
      <c r="M17" t="s">
        <v>3976</v>
      </c>
      <c r="N17">
        <v>1</v>
      </c>
      <c r="O17" t="s">
        <v>1627</v>
      </c>
      <c r="P17" t="s">
        <v>3977</v>
      </c>
      <c r="Q17">
        <v>0</v>
      </c>
      <c r="R17" t="s">
        <v>66</v>
      </c>
      <c r="S17" t="s">
        <v>56</v>
      </c>
      <c r="T17" t="s">
        <v>56</v>
      </c>
      <c r="U17" t="s">
        <v>56</v>
      </c>
      <c r="V17" t="s">
        <v>56</v>
      </c>
      <c r="W17">
        <v>0</v>
      </c>
      <c r="X17" t="s">
        <v>66</v>
      </c>
      <c r="Y17" t="s">
        <v>56</v>
      </c>
      <c r="Z17">
        <v>0</v>
      </c>
      <c r="AA17" t="s">
        <v>66</v>
      </c>
      <c r="AB17" t="s">
        <v>56</v>
      </c>
      <c r="AC17">
        <v>0</v>
      </c>
      <c r="AD17" t="s">
        <v>66</v>
      </c>
      <c r="AE17" t="s">
        <v>56</v>
      </c>
      <c r="AF17">
        <v>0</v>
      </c>
      <c r="AG17" t="s">
        <v>66</v>
      </c>
      <c r="AH17" t="s">
        <v>56</v>
      </c>
      <c r="AI17">
        <v>1</v>
      </c>
      <c r="AJ17" t="s">
        <v>1627</v>
      </c>
      <c r="AK17" t="s">
        <v>56</v>
      </c>
      <c r="AL17" t="s">
        <v>56</v>
      </c>
      <c r="AM17" t="s">
        <v>56</v>
      </c>
      <c r="AN17" t="s">
        <v>56</v>
      </c>
      <c r="AO17" t="s">
        <v>3978</v>
      </c>
      <c r="AP17" t="s">
        <v>3962</v>
      </c>
      <c r="AQ17" t="s">
        <v>3963</v>
      </c>
      <c r="AR17" t="s">
        <v>3941</v>
      </c>
      <c r="AS17" t="s">
        <v>3942</v>
      </c>
      <c r="AT17" t="s">
        <v>3979</v>
      </c>
      <c r="AU17" t="s">
        <v>3944</v>
      </c>
      <c r="AV17" t="s">
        <v>3945</v>
      </c>
      <c r="AW17" t="s">
        <v>3946</v>
      </c>
      <c r="AX17">
        <v>1</v>
      </c>
      <c r="AY17">
        <v>3</v>
      </c>
      <c r="AZ17" t="s">
        <v>3911</v>
      </c>
      <c r="BA17">
        <v>10</v>
      </c>
      <c r="BB17" t="s">
        <v>3898</v>
      </c>
      <c r="BC17">
        <v>90</v>
      </c>
      <c r="BD17">
        <v>3</v>
      </c>
      <c r="BE17" t="s">
        <v>3911</v>
      </c>
      <c r="BF17">
        <v>90</v>
      </c>
      <c r="BG17">
        <v>66</v>
      </c>
      <c r="BH17" t="s">
        <v>3965</v>
      </c>
      <c r="BI17" t="s">
        <v>3980</v>
      </c>
      <c r="BJ17">
        <v>1</v>
      </c>
      <c r="BK17" t="s">
        <v>3902</v>
      </c>
    </row>
    <row r="18" spans="1:63" x14ac:dyDescent="0.25">
      <c r="A18">
        <v>1060</v>
      </c>
      <c r="B18" t="str">
        <f>"20200124191017010145"</f>
        <v>20200124191017010145</v>
      </c>
      <c r="C18">
        <v>1</v>
      </c>
      <c r="D18">
        <v>1</v>
      </c>
      <c r="E18" t="s">
        <v>3886</v>
      </c>
      <c r="F18">
        <v>2</v>
      </c>
      <c r="G18">
        <v>0</v>
      </c>
      <c r="H18" t="s">
        <v>66</v>
      </c>
      <c r="I18">
        <v>0</v>
      </c>
      <c r="J18" t="s">
        <v>66</v>
      </c>
      <c r="K18">
        <v>1</v>
      </c>
      <c r="L18" t="s">
        <v>1627</v>
      </c>
      <c r="M18" t="s">
        <v>3976</v>
      </c>
      <c r="N18">
        <v>1</v>
      </c>
      <c r="O18" t="s">
        <v>1627</v>
      </c>
      <c r="P18" t="s">
        <v>3981</v>
      </c>
      <c r="Q18">
        <v>0</v>
      </c>
      <c r="R18" t="s">
        <v>66</v>
      </c>
      <c r="S18" t="s">
        <v>56</v>
      </c>
      <c r="T18" t="s">
        <v>56</v>
      </c>
      <c r="U18" t="s">
        <v>56</v>
      </c>
      <c r="V18" t="s">
        <v>56</v>
      </c>
      <c r="W18">
        <v>0</v>
      </c>
      <c r="X18" t="s">
        <v>66</v>
      </c>
      <c r="Y18" t="s">
        <v>56</v>
      </c>
      <c r="Z18">
        <v>0</v>
      </c>
      <c r="AA18" t="s">
        <v>66</v>
      </c>
      <c r="AB18" t="s">
        <v>56</v>
      </c>
      <c r="AC18">
        <v>0</v>
      </c>
      <c r="AD18" t="s">
        <v>66</v>
      </c>
      <c r="AE18" t="s">
        <v>56</v>
      </c>
      <c r="AF18">
        <v>0</v>
      </c>
      <c r="AG18" t="s">
        <v>66</v>
      </c>
      <c r="AH18" t="s">
        <v>56</v>
      </c>
      <c r="AI18">
        <v>1</v>
      </c>
      <c r="AJ18" t="s">
        <v>1627</v>
      </c>
      <c r="AK18" t="s">
        <v>56</v>
      </c>
      <c r="AL18" t="s">
        <v>56</v>
      </c>
      <c r="AM18" t="s">
        <v>56</v>
      </c>
      <c r="AN18" t="s">
        <v>56</v>
      </c>
      <c r="AO18" t="s">
        <v>3982</v>
      </c>
      <c r="AP18" t="s">
        <v>3962</v>
      </c>
      <c r="AQ18" t="s">
        <v>3963</v>
      </c>
      <c r="AR18" t="s">
        <v>3941</v>
      </c>
      <c r="AS18" t="s">
        <v>3942</v>
      </c>
      <c r="AT18" t="s">
        <v>3983</v>
      </c>
      <c r="AU18" t="s">
        <v>3944</v>
      </c>
      <c r="AV18" t="s">
        <v>3945</v>
      </c>
      <c r="AW18" t="s">
        <v>3946</v>
      </c>
      <c r="AX18">
        <v>12</v>
      </c>
      <c r="AY18">
        <v>2</v>
      </c>
      <c r="AZ18" t="s">
        <v>3897</v>
      </c>
      <c r="BA18">
        <v>10</v>
      </c>
      <c r="BB18" t="s">
        <v>3898</v>
      </c>
      <c r="BC18">
        <v>3</v>
      </c>
      <c r="BD18">
        <v>5</v>
      </c>
      <c r="BE18" t="s">
        <v>3899</v>
      </c>
      <c r="BF18">
        <v>180</v>
      </c>
      <c r="BG18">
        <v>66</v>
      </c>
      <c r="BH18" t="s">
        <v>3965</v>
      </c>
      <c r="BI18" t="s">
        <v>3984</v>
      </c>
      <c r="BJ18">
        <v>1</v>
      </c>
      <c r="BK18" t="s">
        <v>3902</v>
      </c>
    </row>
    <row r="19" spans="1:63" x14ac:dyDescent="0.25">
      <c r="A19">
        <v>1061</v>
      </c>
      <c r="B19" t="str">
        <f>"20200124124017010264"</f>
        <v>20200124124017010264</v>
      </c>
      <c r="C19">
        <v>1</v>
      </c>
      <c r="D19">
        <v>1</v>
      </c>
      <c r="E19" t="s">
        <v>3886</v>
      </c>
      <c r="F19">
        <v>2</v>
      </c>
      <c r="G19">
        <v>0</v>
      </c>
      <c r="H19" t="s">
        <v>66</v>
      </c>
      <c r="I19">
        <v>0</v>
      </c>
      <c r="J19" t="s">
        <v>66</v>
      </c>
      <c r="K19">
        <v>0</v>
      </c>
      <c r="L19" t="s">
        <v>66</v>
      </c>
      <c r="M19" t="s">
        <v>56</v>
      </c>
      <c r="N19">
        <v>0</v>
      </c>
      <c r="O19" t="s">
        <v>66</v>
      </c>
      <c r="P19" t="s">
        <v>56</v>
      </c>
      <c r="Q19">
        <v>0</v>
      </c>
      <c r="R19" t="s">
        <v>66</v>
      </c>
      <c r="S19" t="s">
        <v>56</v>
      </c>
      <c r="T19">
        <v>1</v>
      </c>
      <c r="U19" t="s">
        <v>1627</v>
      </c>
      <c r="V19" t="s">
        <v>56</v>
      </c>
      <c r="W19">
        <v>0</v>
      </c>
      <c r="X19" t="s">
        <v>66</v>
      </c>
      <c r="Y19" t="s">
        <v>56</v>
      </c>
      <c r="Z19">
        <v>0</v>
      </c>
      <c r="AA19" t="s">
        <v>66</v>
      </c>
      <c r="AB19" t="s">
        <v>56</v>
      </c>
      <c r="AC19">
        <v>1</v>
      </c>
      <c r="AD19" t="s">
        <v>1627</v>
      </c>
      <c r="AE19" t="s">
        <v>3887</v>
      </c>
      <c r="AF19">
        <v>0</v>
      </c>
      <c r="AG19" t="s">
        <v>66</v>
      </c>
      <c r="AH19" t="s">
        <v>56</v>
      </c>
      <c r="AI19">
        <v>1</v>
      </c>
      <c r="AJ19" t="s">
        <v>1627</v>
      </c>
      <c r="AK19" t="s">
        <v>56</v>
      </c>
      <c r="AL19" t="s">
        <v>56</v>
      </c>
      <c r="AM19" t="s">
        <v>56</v>
      </c>
      <c r="AN19" t="s">
        <v>56</v>
      </c>
      <c r="AO19" t="s">
        <v>3985</v>
      </c>
      <c r="AP19" t="s">
        <v>3962</v>
      </c>
      <c r="AQ19" t="s">
        <v>3963</v>
      </c>
      <c r="AR19" t="s">
        <v>3941</v>
      </c>
      <c r="AS19" t="s">
        <v>3942</v>
      </c>
      <c r="AT19" t="s">
        <v>3986</v>
      </c>
      <c r="AU19" t="s">
        <v>3944</v>
      </c>
      <c r="AV19" t="s">
        <v>3945</v>
      </c>
      <c r="AW19" t="s">
        <v>3946</v>
      </c>
      <c r="AX19">
        <v>24</v>
      </c>
      <c r="AY19">
        <v>2</v>
      </c>
      <c r="AZ19" t="s">
        <v>3897</v>
      </c>
      <c r="BA19">
        <v>10</v>
      </c>
      <c r="BB19" t="s">
        <v>3898</v>
      </c>
      <c r="BC19">
        <v>180</v>
      </c>
      <c r="BD19">
        <v>3</v>
      </c>
      <c r="BE19" t="s">
        <v>3911</v>
      </c>
      <c r="BF19">
        <v>180</v>
      </c>
      <c r="BG19">
        <v>66</v>
      </c>
      <c r="BH19" t="s">
        <v>3965</v>
      </c>
      <c r="BI19" t="s">
        <v>3987</v>
      </c>
      <c r="BJ19">
        <v>1</v>
      </c>
      <c r="BK19" t="s">
        <v>3902</v>
      </c>
    </row>
    <row r="20" spans="1:63" x14ac:dyDescent="0.25">
      <c r="A20">
        <v>1062</v>
      </c>
      <c r="B20" t="str">
        <f>"20200124182017010388"</f>
        <v>20200124182017010388</v>
      </c>
      <c r="C20">
        <v>1</v>
      </c>
      <c r="D20">
        <v>1</v>
      </c>
      <c r="E20" t="s">
        <v>3886</v>
      </c>
      <c r="F20">
        <v>2</v>
      </c>
      <c r="G20">
        <v>0</v>
      </c>
      <c r="H20" t="s">
        <v>66</v>
      </c>
      <c r="I20">
        <v>0</v>
      </c>
      <c r="J20" t="s">
        <v>66</v>
      </c>
      <c r="K20">
        <v>0</v>
      </c>
      <c r="L20" t="s">
        <v>66</v>
      </c>
      <c r="M20" t="s">
        <v>56</v>
      </c>
      <c r="N20">
        <v>0</v>
      </c>
      <c r="O20" t="s">
        <v>66</v>
      </c>
      <c r="P20" t="s">
        <v>56</v>
      </c>
      <c r="Q20">
        <v>0</v>
      </c>
      <c r="R20" t="s">
        <v>66</v>
      </c>
      <c r="S20" t="s">
        <v>56</v>
      </c>
      <c r="T20">
        <v>1</v>
      </c>
      <c r="U20" t="s">
        <v>1627</v>
      </c>
      <c r="V20" t="s">
        <v>56</v>
      </c>
      <c r="W20">
        <v>0</v>
      </c>
      <c r="X20" t="s">
        <v>66</v>
      </c>
      <c r="Y20" t="s">
        <v>56</v>
      </c>
      <c r="Z20">
        <v>0</v>
      </c>
      <c r="AA20" t="s">
        <v>66</v>
      </c>
      <c r="AB20" t="s">
        <v>56</v>
      </c>
      <c r="AC20">
        <v>1</v>
      </c>
      <c r="AD20" t="s">
        <v>1627</v>
      </c>
      <c r="AE20" t="s">
        <v>3887</v>
      </c>
      <c r="AF20">
        <v>0</v>
      </c>
      <c r="AG20" t="s">
        <v>66</v>
      </c>
      <c r="AH20" t="s">
        <v>56</v>
      </c>
      <c r="AI20">
        <v>1</v>
      </c>
      <c r="AJ20" t="s">
        <v>1627</v>
      </c>
      <c r="AK20" t="s">
        <v>56</v>
      </c>
      <c r="AL20" t="s">
        <v>56</v>
      </c>
      <c r="AM20" t="s">
        <v>56</v>
      </c>
      <c r="AN20" t="s">
        <v>56</v>
      </c>
      <c r="AO20" t="s">
        <v>3988</v>
      </c>
      <c r="AP20" t="s">
        <v>3918</v>
      </c>
      <c r="AQ20" t="s">
        <v>3919</v>
      </c>
      <c r="AR20" t="s">
        <v>3920</v>
      </c>
      <c r="AS20" t="s">
        <v>3921</v>
      </c>
      <c r="AT20" t="s">
        <v>3989</v>
      </c>
      <c r="AU20">
        <v>9000</v>
      </c>
      <c r="AV20" t="s">
        <v>3956</v>
      </c>
      <c r="AW20" t="s">
        <v>3956</v>
      </c>
      <c r="AX20">
        <v>12</v>
      </c>
      <c r="AY20">
        <v>2</v>
      </c>
      <c r="AZ20" t="s">
        <v>3897</v>
      </c>
      <c r="BA20">
        <v>10</v>
      </c>
      <c r="BB20" t="s">
        <v>3898</v>
      </c>
      <c r="BC20">
        <v>6</v>
      </c>
      <c r="BD20">
        <v>5</v>
      </c>
      <c r="BE20" t="s">
        <v>3899</v>
      </c>
      <c r="BF20">
        <v>6</v>
      </c>
      <c r="BG20">
        <v>27</v>
      </c>
      <c r="BH20" t="s">
        <v>3990</v>
      </c>
      <c r="BI20" t="s">
        <v>3991</v>
      </c>
      <c r="BJ20">
        <v>1</v>
      </c>
      <c r="BK20" t="s">
        <v>3902</v>
      </c>
    </row>
    <row r="21" spans="1:63" x14ac:dyDescent="0.25">
      <c r="A21">
        <v>1063</v>
      </c>
      <c r="B21" t="str">
        <f>"20200124124017010770"</f>
        <v>20200124124017010770</v>
      </c>
      <c r="C21">
        <v>1</v>
      </c>
      <c r="D21">
        <v>1</v>
      </c>
      <c r="E21" t="s">
        <v>3886</v>
      </c>
      <c r="F21">
        <v>1</v>
      </c>
      <c r="G21">
        <v>0</v>
      </c>
      <c r="H21" t="s">
        <v>66</v>
      </c>
      <c r="I21">
        <v>0</v>
      </c>
      <c r="J21" t="s">
        <v>66</v>
      </c>
      <c r="K21">
        <v>0</v>
      </c>
      <c r="L21" t="s">
        <v>66</v>
      </c>
      <c r="M21" t="s">
        <v>56</v>
      </c>
      <c r="N21">
        <v>0</v>
      </c>
      <c r="O21" t="s">
        <v>66</v>
      </c>
      <c r="P21" t="s">
        <v>56</v>
      </c>
      <c r="Q21">
        <v>0</v>
      </c>
      <c r="R21" t="s">
        <v>66</v>
      </c>
      <c r="S21" t="s">
        <v>56</v>
      </c>
      <c r="T21">
        <v>1</v>
      </c>
      <c r="U21" t="s">
        <v>1627</v>
      </c>
      <c r="V21" t="s">
        <v>56</v>
      </c>
      <c r="W21">
        <v>0</v>
      </c>
      <c r="X21" t="s">
        <v>66</v>
      </c>
      <c r="Y21" t="s">
        <v>56</v>
      </c>
      <c r="Z21">
        <v>0</v>
      </c>
      <c r="AA21" t="s">
        <v>66</v>
      </c>
      <c r="AB21" t="s">
        <v>56</v>
      </c>
      <c r="AC21">
        <v>1</v>
      </c>
      <c r="AD21" t="s">
        <v>1627</v>
      </c>
      <c r="AE21" t="s">
        <v>3887</v>
      </c>
      <c r="AF21">
        <v>0</v>
      </c>
      <c r="AG21" t="s">
        <v>66</v>
      </c>
      <c r="AH21" t="s">
        <v>56</v>
      </c>
      <c r="AI21">
        <v>1</v>
      </c>
      <c r="AJ21" t="s">
        <v>1627</v>
      </c>
      <c r="AK21" t="s">
        <v>56</v>
      </c>
      <c r="AL21" t="s">
        <v>56</v>
      </c>
      <c r="AM21" t="s">
        <v>56</v>
      </c>
      <c r="AN21" t="s">
        <v>56</v>
      </c>
      <c r="AO21" t="s">
        <v>3975</v>
      </c>
      <c r="AP21" t="s">
        <v>3962</v>
      </c>
      <c r="AQ21" t="s">
        <v>3963</v>
      </c>
      <c r="AR21" t="s">
        <v>3941</v>
      </c>
      <c r="AS21" t="s">
        <v>3942</v>
      </c>
      <c r="AT21" t="s">
        <v>3968</v>
      </c>
      <c r="AU21" t="s">
        <v>3944</v>
      </c>
      <c r="AV21" t="s">
        <v>3945</v>
      </c>
      <c r="AW21" t="s">
        <v>3946</v>
      </c>
      <c r="AX21">
        <v>12</v>
      </c>
      <c r="AY21">
        <v>2</v>
      </c>
      <c r="AZ21" t="s">
        <v>3897</v>
      </c>
      <c r="BA21">
        <v>10</v>
      </c>
      <c r="BB21" t="s">
        <v>3898</v>
      </c>
      <c r="BC21">
        <v>90</v>
      </c>
      <c r="BD21">
        <v>3</v>
      </c>
      <c r="BE21" t="s">
        <v>3911</v>
      </c>
      <c r="BF21">
        <v>180</v>
      </c>
      <c r="BG21">
        <v>66</v>
      </c>
      <c r="BH21" t="s">
        <v>3965</v>
      </c>
      <c r="BI21" t="s">
        <v>3969</v>
      </c>
      <c r="BJ21">
        <v>1</v>
      </c>
      <c r="BK21" t="s">
        <v>3902</v>
      </c>
    </row>
    <row r="22" spans="1:63" x14ac:dyDescent="0.25">
      <c r="A22">
        <v>1064</v>
      </c>
      <c r="B22" t="str">
        <f>"20200124188017011030"</f>
        <v>20200124188017011030</v>
      </c>
      <c r="C22">
        <v>1</v>
      </c>
      <c r="D22">
        <v>1</v>
      </c>
      <c r="E22" t="s">
        <v>3886</v>
      </c>
      <c r="F22">
        <v>1</v>
      </c>
      <c r="G22">
        <v>0</v>
      </c>
      <c r="H22" t="s">
        <v>66</v>
      </c>
      <c r="I22">
        <v>0</v>
      </c>
      <c r="J22" t="s">
        <v>66</v>
      </c>
      <c r="K22">
        <v>0</v>
      </c>
      <c r="L22" t="s">
        <v>66</v>
      </c>
      <c r="M22" t="s">
        <v>56</v>
      </c>
      <c r="N22">
        <v>0</v>
      </c>
      <c r="O22" t="s">
        <v>66</v>
      </c>
      <c r="P22" t="s">
        <v>56</v>
      </c>
      <c r="Q22">
        <v>0</v>
      </c>
      <c r="R22" t="s">
        <v>66</v>
      </c>
      <c r="S22" t="s">
        <v>56</v>
      </c>
      <c r="T22">
        <v>1</v>
      </c>
      <c r="U22" t="s">
        <v>1627</v>
      </c>
      <c r="V22" t="s">
        <v>56</v>
      </c>
      <c r="W22">
        <v>0</v>
      </c>
      <c r="X22" t="s">
        <v>66</v>
      </c>
      <c r="Y22" t="s">
        <v>56</v>
      </c>
      <c r="Z22">
        <v>0</v>
      </c>
      <c r="AA22" t="s">
        <v>66</v>
      </c>
      <c r="AB22" t="s">
        <v>56</v>
      </c>
      <c r="AC22">
        <v>1</v>
      </c>
      <c r="AD22" t="s">
        <v>1627</v>
      </c>
      <c r="AE22" t="s">
        <v>3887</v>
      </c>
      <c r="AF22">
        <v>0</v>
      </c>
      <c r="AG22" t="s">
        <v>66</v>
      </c>
      <c r="AH22" t="s">
        <v>56</v>
      </c>
      <c r="AI22">
        <v>1</v>
      </c>
      <c r="AJ22" t="s">
        <v>1627</v>
      </c>
      <c r="AK22" t="s">
        <v>56</v>
      </c>
      <c r="AL22" t="s">
        <v>56</v>
      </c>
      <c r="AM22" t="s">
        <v>56</v>
      </c>
      <c r="AN22" t="s">
        <v>56</v>
      </c>
      <c r="AO22" t="s">
        <v>3992</v>
      </c>
      <c r="AP22" t="s">
        <v>3889</v>
      </c>
      <c r="AQ22" t="s">
        <v>3890</v>
      </c>
      <c r="AR22" t="s">
        <v>3926</v>
      </c>
      <c r="AS22" t="s">
        <v>3927</v>
      </c>
      <c r="AT22" t="s">
        <v>3993</v>
      </c>
      <c r="AU22" t="s">
        <v>3894</v>
      </c>
      <c r="AV22" t="s">
        <v>3895</v>
      </c>
      <c r="AW22" t="s">
        <v>3896</v>
      </c>
      <c r="AX22">
        <v>12</v>
      </c>
      <c r="AY22">
        <v>2</v>
      </c>
      <c r="AZ22" t="s">
        <v>3897</v>
      </c>
      <c r="BA22">
        <v>10</v>
      </c>
      <c r="BB22" t="s">
        <v>3898</v>
      </c>
      <c r="BC22">
        <v>3</v>
      </c>
      <c r="BD22">
        <v>5</v>
      </c>
      <c r="BE22" t="s">
        <v>3899</v>
      </c>
      <c r="BF22">
        <v>4</v>
      </c>
      <c r="BG22">
        <v>13</v>
      </c>
      <c r="BH22" t="s">
        <v>3900</v>
      </c>
      <c r="BI22" t="s">
        <v>3994</v>
      </c>
      <c r="BJ22">
        <v>1</v>
      </c>
      <c r="BK22" t="s">
        <v>3902</v>
      </c>
    </row>
    <row r="23" spans="1:63" x14ac:dyDescent="0.25">
      <c r="A23">
        <v>1065</v>
      </c>
      <c r="B23" t="str">
        <f>"20200124129017011701"</f>
        <v>20200124129017011701</v>
      </c>
      <c r="C23">
        <v>1</v>
      </c>
      <c r="D23">
        <v>1</v>
      </c>
      <c r="E23" t="s">
        <v>3886</v>
      </c>
      <c r="F23">
        <v>2</v>
      </c>
      <c r="G23">
        <v>0</v>
      </c>
      <c r="H23" t="s">
        <v>66</v>
      </c>
      <c r="I23">
        <v>0</v>
      </c>
      <c r="J23" t="s">
        <v>66</v>
      </c>
      <c r="K23">
        <v>0</v>
      </c>
      <c r="L23" t="s">
        <v>66</v>
      </c>
      <c r="M23" t="s">
        <v>56</v>
      </c>
      <c r="N23">
        <v>0</v>
      </c>
      <c r="O23" t="s">
        <v>66</v>
      </c>
      <c r="P23" t="s">
        <v>56</v>
      </c>
      <c r="Q23">
        <v>0</v>
      </c>
      <c r="R23" t="s">
        <v>66</v>
      </c>
      <c r="S23" t="s">
        <v>56</v>
      </c>
      <c r="T23">
        <v>1</v>
      </c>
      <c r="U23" t="s">
        <v>1627</v>
      </c>
      <c r="V23" t="s">
        <v>56</v>
      </c>
      <c r="W23">
        <v>0</v>
      </c>
      <c r="X23" t="s">
        <v>66</v>
      </c>
      <c r="Y23" t="s">
        <v>56</v>
      </c>
      <c r="Z23">
        <v>0</v>
      </c>
      <c r="AA23" t="s">
        <v>66</v>
      </c>
      <c r="AB23" t="s">
        <v>56</v>
      </c>
      <c r="AC23">
        <v>1</v>
      </c>
      <c r="AD23" t="s">
        <v>1627</v>
      </c>
      <c r="AE23" t="s">
        <v>3887</v>
      </c>
      <c r="AF23">
        <v>0</v>
      </c>
      <c r="AG23" t="s">
        <v>66</v>
      </c>
      <c r="AH23" t="s">
        <v>56</v>
      </c>
      <c r="AI23">
        <v>1</v>
      </c>
      <c r="AJ23" t="s">
        <v>1627</v>
      </c>
      <c r="AK23" t="s">
        <v>56</v>
      </c>
      <c r="AL23" t="s">
        <v>56</v>
      </c>
      <c r="AM23" t="s">
        <v>56</v>
      </c>
      <c r="AN23" t="s">
        <v>56</v>
      </c>
      <c r="AO23" t="s">
        <v>3995</v>
      </c>
      <c r="AP23" t="s">
        <v>3996</v>
      </c>
      <c r="AQ23" t="s">
        <v>3997</v>
      </c>
      <c r="AR23" t="s">
        <v>3926</v>
      </c>
      <c r="AS23" t="s">
        <v>3927</v>
      </c>
      <c r="AT23" t="s">
        <v>3998</v>
      </c>
      <c r="AU23" t="s">
        <v>3894</v>
      </c>
      <c r="AV23" t="s">
        <v>3895</v>
      </c>
      <c r="AW23" t="s">
        <v>3896</v>
      </c>
      <c r="AX23">
        <v>8</v>
      </c>
      <c r="AY23">
        <v>2</v>
      </c>
      <c r="AZ23" t="s">
        <v>3897</v>
      </c>
      <c r="BA23">
        <v>10</v>
      </c>
      <c r="BB23" t="s">
        <v>3898</v>
      </c>
      <c r="BC23">
        <v>1</v>
      </c>
      <c r="BD23">
        <v>5</v>
      </c>
      <c r="BE23" t="s">
        <v>3899</v>
      </c>
      <c r="BF23">
        <v>1</v>
      </c>
      <c r="BG23">
        <v>73</v>
      </c>
      <c r="BH23" t="s">
        <v>3999</v>
      </c>
      <c r="BI23" t="s">
        <v>4000</v>
      </c>
      <c r="BJ23">
        <v>1</v>
      </c>
      <c r="BK23" t="s">
        <v>3902</v>
      </c>
    </row>
    <row r="24" spans="1:63" x14ac:dyDescent="0.25">
      <c r="A24">
        <v>1066</v>
      </c>
      <c r="B24" t="str">
        <f>"20200124173017011943"</f>
        <v>20200124173017011943</v>
      </c>
      <c r="C24">
        <v>1</v>
      </c>
      <c r="D24">
        <v>1</v>
      </c>
      <c r="E24" t="s">
        <v>3886</v>
      </c>
      <c r="F24">
        <v>2</v>
      </c>
      <c r="G24">
        <v>0</v>
      </c>
      <c r="H24" t="s">
        <v>66</v>
      </c>
      <c r="I24">
        <v>0</v>
      </c>
      <c r="J24" t="s">
        <v>66</v>
      </c>
      <c r="K24">
        <v>0</v>
      </c>
      <c r="L24" t="s">
        <v>66</v>
      </c>
      <c r="M24" t="s">
        <v>56</v>
      </c>
      <c r="N24">
        <v>0</v>
      </c>
      <c r="O24" t="s">
        <v>66</v>
      </c>
      <c r="P24" t="s">
        <v>56</v>
      </c>
      <c r="Q24">
        <v>0</v>
      </c>
      <c r="R24" t="s">
        <v>66</v>
      </c>
      <c r="S24" t="s">
        <v>56</v>
      </c>
      <c r="T24">
        <v>1</v>
      </c>
      <c r="U24" t="s">
        <v>1627</v>
      </c>
      <c r="V24" t="s">
        <v>56</v>
      </c>
      <c r="W24">
        <v>0</v>
      </c>
      <c r="X24" t="s">
        <v>66</v>
      </c>
      <c r="Y24" t="s">
        <v>56</v>
      </c>
      <c r="Z24">
        <v>0</v>
      </c>
      <c r="AA24" t="s">
        <v>66</v>
      </c>
      <c r="AB24" t="s">
        <v>56</v>
      </c>
      <c r="AC24">
        <v>1</v>
      </c>
      <c r="AD24" t="s">
        <v>1627</v>
      </c>
      <c r="AE24" t="s">
        <v>3887</v>
      </c>
      <c r="AF24">
        <v>0</v>
      </c>
      <c r="AG24" t="s">
        <v>66</v>
      </c>
      <c r="AH24" t="s">
        <v>56</v>
      </c>
      <c r="AI24">
        <v>1</v>
      </c>
      <c r="AJ24" t="s">
        <v>1627</v>
      </c>
      <c r="AK24" t="s">
        <v>56</v>
      </c>
      <c r="AL24" t="s">
        <v>56</v>
      </c>
      <c r="AM24" t="s">
        <v>56</v>
      </c>
      <c r="AN24" t="s">
        <v>56</v>
      </c>
      <c r="AO24" t="s">
        <v>3975</v>
      </c>
      <c r="AP24" t="s">
        <v>3962</v>
      </c>
      <c r="AQ24" t="s">
        <v>3963</v>
      </c>
      <c r="AR24" t="s">
        <v>3941</v>
      </c>
      <c r="AS24" t="s">
        <v>3942</v>
      </c>
      <c r="AT24" t="s">
        <v>3968</v>
      </c>
      <c r="AU24" t="s">
        <v>3944</v>
      </c>
      <c r="AV24" t="s">
        <v>3945</v>
      </c>
      <c r="AW24" t="s">
        <v>3946</v>
      </c>
      <c r="AX24">
        <v>12</v>
      </c>
      <c r="AY24">
        <v>2</v>
      </c>
      <c r="AZ24" t="s">
        <v>3897</v>
      </c>
      <c r="BA24">
        <v>10</v>
      </c>
      <c r="BB24" t="s">
        <v>3898</v>
      </c>
      <c r="BC24">
        <v>90</v>
      </c>
      <c r="BD24">
        <v>3</v>
      </c>
      <c r="BE24" t="s">
        <v>3911</v>
      </c>
      <c r="BF24">
        <v>180</v>
      </c>
      <c r="BG24">
        <v>66</v>
      </c>
      <c r="BH24" t="s">
        <v>3965</v>
      </c>
      <c r="BI24" t="s">
        <v>3969</v>
      </c>
      <c r="BJ24">
        <v>1</v>
      </c>
      <c r="BK24" t="s">
        <v>3902</v>
      </c>
    </row>
    <row r="25" spans="1:63" x14ac:dyDescent="0.25">
      <c r="A25">
        <v>1067</v>
      </c>
      <c r="B25" t="str">
        <f>"20200124157017012484"</f>
        <v>20200124157017012484</v>
      </c>
      <c r="C25">
        <v>1</v>
      </c>
      <c r="D25">
        <v>1</v>
      </c>
      <c r="E25" t="s">
        <v>3886</v>
      </c>
      <c r="F25">
        <v>2</v>
      </c>
      <c r="G25">
        <v>0</v>
      </c>
      <c r="H25" t="s">
        <v>66</v>
      </c>
      <c r="I25">
        <v>0</v>
      </c>
      <c r="J25" t="s">
        <v>66</v>
      </c>
      <c r="K25">
        <v>0</v>
      </c>
      <c r="L25" t="s">
        <v>66</v>
      </c>
      <c r="M25" t="s">
        <v>56</v>
      </c>
      <c r="N25">
        <v>0</v>
      </c>
      <c r="O25" t="s">
        <v>66</v>
      </c>
      <c r="P25" t="s">
        <v>56</v>
      </c>
      <c r="Q25">
        <v>0</v>
      </c>
      <c r="R25" t="s">
        <v>66</v>
      </c>
      <c r="S25" t="s">
        <v>56</v>
      </c>
      <c r="T25">
        <v>1</v>
      </c>
      <c r="U25" t="s">
        <v>1627</v>
      </c>
      <c r="V25" t="s">
        <v>56</v>
      </c>
      <c r="W25">
        <v>0</v>
      </c>
      <c r="X25" t="s">
        <v>66</v>
      </c>
      <c r="Y25" t="s">
        <v>56</v>
      </c>
      <c r="Z25">
        <v>0</v>
      </c>
      <c r="AA25" t="s">
        <v>66</v>
      </c>
      <c r="AB25" t="s">
        <v>56</v>
      </c>
      <c r="AC25">
        <v>1</v>
      </c>
      <c r="AD25" t="s">
        <v>1627</v>
      </c>
      <c r="AE25" t="s">
        <v>3887</v>
      </c>
      <c r="AF25">
        <v>0</v>
      </c>
      <c r="AG25" t="s">
        <v>66</v>
      </c>
      <c r="AH25" t="s">
        <v>56</v>
      </c>
      <c r="AI25">
        <v>1</v>
      </c>
      <c r="AJ25" t="s">
        <v>1627</v>
      </c>
      <c r="AK25" t="s">
        <v>56</v>
      </c>
      <c r="AL25" t="s">
        <v>56</v>
      </c>
      <c r="AM25" t="s">
        <v>56</v>
      </c>
      <c r="AN25" t="s">
        <v>56</v>
      </c>
      <c r="AO25" t="s">
        <v>4001</v>
      </c>
      <c r="AP25" t="s">
        <v>3889</v>
      </c>
      <c r="AQ25" t="s">
        <v>3890</v>
      </c>
      <c r="AR25" t="s">
        <v>3926</v>
      </c>
      <c r="AS25" t="s">
        <v>3927</v>
      </c>
      <c r="AT25" t="s">
        <v>4002</v>
      </c>
      <c r="AU25" t="s">
        <v>3894</v>
      </c>
      <c r="AV25" t="s">
        <v>3895</v>
      </c>
      <c r="AW25" t="s">
        <v>3896</v>
      </c>
      <c r="AX25">
        <v>12</v>
      </c>
      <c r="AY25">
        <v>2</v>
      </c>
      <c r="AZ25" t="s">
        <v>3897</v>
      </c>
      <c r="BA25">
        <v>10</v>
      </c>
      <c r="BB25" t="s">
        <v>3898</v>
      </c>
      <c r="BC25">
        <v>3</v>
      </c>
      <c r="BD25">
        <v>5</v>
      </c>
      <c r="BE25" t="s">
        <v>3899</v>
      </c>
      <c r="BF25">
        <v>2</v>
      </c>
      <c r="BG25">
        <v>13</v>
      </c>
      <c r="BH25" t="s">
        <v>3900</v>
      </c>
      <c r="BI25" t="s">
        <v>4003</v>
      </c>
      <c r="BJ25">
        <v>1</v>
      </c>
      <c r="BK25" t="s">
        <v>3902</v>
      </c>
    </row>
    <row r="26" spans="1:63" x14ac:dyDescent="0.25">
      <c r="A26">
        <v>1068</v>
      </c>
      <c r="B26" t="str">
        <f>"20200124157017012484"</f>
        <v>20200124157017012484</v>
      </c>
      <c r="C26">
        <v>2</v>
      </c>
      <c r="D26">
        <v>1</v>
      </c>
      <c r="E26" t="s">
        <v>3886</v>
      </c>
      <c r="F26">
        <v>2</v>
      </c>
      <c r="G26">
        <v>0</v>
      </c>
      <c r="H26" t="s">
        <v>66</v>
      </c>
      <c r="I26">
        <v>0</v>
      </c>
      <c r="J26" t="s">
        <v>66</v>
      </c>
      <c r="K26">
        <v>0</v>
      </c>
      <c r="L26" t="s">
        <v>66</v>
      </c>
      <c r="M26" t="s">
        <v>56</v>
      </c>
      <c r="N26">
        <v>0</v>
      </c>
      <c r="O26" t="s">
        <v>66</v>
      </c>
      <c r="P26" t="s">
        <v>56</v>
      </c>
      <c r="Q26">
        <v>0</v>
      </c>
      <c r="R26" t="s">
        <v>66</v>
      </c>
      <c r="S26" t="s">
        <v>56</v>
      </c>
      <c r="T26">
        <v>1</v>
      </c>
      <c r="U26" t="s">
        <v>1627</v>
      </c>
      <c r="V26" t="s">
        <v>56</v>
      </c>
      <c r="W26">
        <v>0</v>
      </c>
      <c r="X26" t="s">
        <v>66</v>
      </c>
      <c r="Y26" t="s">
        <v>56</v>
      </c>
      <c r="Z26">
        <v>0</v>
      </c>
      <c r="AA26" t="s">
        <v>66</v>
      </c>
      <c r="AB26" t="s">
        <v>56</v>
      </c>
      <c r="AC26">
        <v>1</v>
      </c>
      <c r="AD26" t="s">
        <v>1627</v>
      </c>
      <c r="AE26" t="s">
        <v>3887</v>
      </c>
      <c r="AF26">
        <v>0</v>
      </c>
      <c r="AG26" t="s">
        <v>66</v>
      </c>
      <c r="AH26" t="s">
        <v>56</v>
      </c>
      <c r="AI26">
        <v>1</v>
      </c>
      <c r="AJ26" t="s">
        <v>1627</v>
      </c>
      <c r="AK26" t="s">
        <v>56</v>
      </c>
      <c r="AL26" t="s">
        <v>56</v>
      </c>
      <c r="AM26" t="s">
        <v>56</v>
      </c>
      <c r="AN26" t="s">
        <v>56</v>
      </c>
      <c r="AO26" t="s">
        <v>4004</v>
      </c>
      <c r="AP26" t="s">
        <v>3889</v>
      </c>
      <c r="AQ26" t="s">
        <v>3890</v>
      </c>
      <c r="AR26" t="s">
        <v>3891</v>
      </c>
      <c r="AS26" t="s">
        <v>3892</v>
      </c>
      <c r="AT26" t="s">
        <v>3893</v>
      </c>
      <c r="AU26">
        <v>9000</v>
      </c>
      <c r="AV26" t="s">
        <v>3956</v>
      </c>
      <c r="AW26" t="s">
        <v>3956</v>
      </c>
      <c r="AX26">
        <v>6</v>
      </c>
      <c r="AY26">
        <v>2</v>
      </c>
      <c r="AZ26" t="s">
        <v>3897</v>
      </c>
      <c r="BA26">
        <v>10</v>
      </c>
      <c r="BB26" t="s">
        <v>3898</v>
      </c>
      <c r="BC26">
        <v>3</v>
      </c>
      <c r="BD26">
        <v>5</v>
      </c>
      <c r="BE26" t="s">
        <v>3899</v>
      </c>
      <c r="BF26">
        <v>45</v>
      </c>
      <c r="BG26" t="s">
        <v>3912</v>
      </c>
      <c r="BH26" t="s">
        <v>3913</v>
      </c>
      <c r="BI26" t="s">
        <v>4005</v>
      </c>
      <c r="BJ26">
        <v>1</v>
      </c>
      <c r="BK26" t="s">
        <v>3902</v>
      </c>
    </row>
    <row r="27" spans="1:63" x14ac:dyDescent="0.25">
      <c r="A27">
        <v>1069</v>
      </c>
      <c r="B27" t="str">
        <f>"20200124178017013060"</f>
        <v>20200124178017013060</v>
      </c>
      <c r="C27">
        <v>1</v>
      </c>
      <c r="D27">
        <v>1</v>
      </c>
      <c r="E27" t="s">
        <v>3886</v>
      </c>
      <c r="F27">
        <v>2</v>
      </c>
      <c r="G27">
        <v>0</v>
      </c>
      <c r="H27" t="s">
        <v>66</v>
      </c>
      <c r="I27">
        <v>0</v>
      </c>
      <c r="J27" t="s">
        <v>66</v>
      </c>
      <c r="K27">
        <v>0</v>
      </c>
      <c r="L27" t="s">
        <v>66</v>
      </c>
      <c r="M27" t="s">
        <v>56</v>
      </c>
      <c r="N27">
        <v>0</v>
      </c>
      <c r="O27" t="s">
        <v>66</v>
      </c>
      <c r="P27" t="s">
        <v>56</v>
      </c>
      <c r="Q27">
        <v>0</v>
      </c>
      <c r="R27" t="s">
        <v>66</v>
      </c>
      <c r="S27" t="s">
        <v>56</v>
      </c>
      <c r="T27">
        <v>1</v>
      </c>
      <c r="U27" t="s">
        <v>1627</v>
      </c>
      <c r="V27" t="s">
        <v>56</v>
      </c>
      <c r="W27">
        <v>0</v>
      </c>
      <c r="X27" t="s">
        <v>66</v>
      </c>
      <c r="Y27" t="s">
        <v>56</v>
      </c>
      <c r="Z27">
        <v>0</v>
      </c>
      <c r="AA27" t="s">
        <v>66</v>
      </c>
      <c r="AB27" t="s">
        <v>56</v>
      </c>
      <c r="AC27">
        <v>1</v>
      </c>
      <c r="AD27" t="s">
        <v>1627</v>
      </c>
      <c r="AE27" t="s">
        <v>3887</v>
      </c>
      <c r="AF27">
        <v>0</v>
      </c>
      <c r="AG27" t="s">
        <v>66</v>
      </c>
      <c r="AH27" t="s">
        <v>56</v>
      </c>
      <c r="AI27">
        <v>1</v>
      </c>
      <c r="AJ27" t="s">
        <v>1627</v>
      </c>
      <c r="AK27" t="s">
        <v>56</v>
      </c>
      <c r="AL27" t="s">
        <v>56</v>
      </c>
      <c r="AM27" t="s">
        <v>56</v>
      </c>
      <c r="AN27" t="s">
        <v>56</v>
      </c>
      <c r="AO27" t="s">
        <v>3988</v>
      </c>
      <c r="AP27" t="s">
        <v>3918</v>
      </c>
      <c r="AQ27" t="s">
        <v>3919</v>
      </c>
      <c r="AR27" t="s">
        <v>3920</v>
      </c>
      <c r="AS27" t="s">
        <v>3921</v>
      </c>
      <c r="AT27" t="s">
        <v>4006</v>
      </c>
      <c r="AU27">
        <v>9000</v>
      </c>
      <c r="AV27" t="s">
        <v>3956</v>
      </c>
      <c r="AW27" t="s">
        <v>3956</v>
      </c>
      <c r="AX27">
        <v>12</v>
      </c>
      <c r="AY27">
        <v>2</v>
      </c>
      <c r="AZ27" t="s">
        <v>3897</v>
      </c>
      <c r="BA27">
        <v>10</v>
      </c>
      <c r="BB27" t="s">
        <v>3898</v>
      </c>
      <c r="BC27">
        <v>3</v>
      </c>
      <c r="BD27">
        <v>5</v>
      </c>
      <c r="BE27" t="s">
        <v>3899</v>
      </c>
      <c r="BF27">
        <v>3</v>
      </c>
      <c r="BG27">
        <v>37</v>
      </c>
      <c r="BH27" t="s">
        <v>4007</v>
      </c>
      <c r="BI27" t="s">
        <v>4008</v>
      </c>
      <c r="BJ27">
        <v>1</v>
      </c>
      <c r="BK27" t="s">
        <v>3902</v>
      </c>
    </row>
    <row r="28" spans="1:63" x14ac:dyDescent="0.25">
      <c r="A28">
        <v>1070</v>
      </c>
      <c r="B28" t="str">
        <f>"20200124119017013308"</f>
        <v>20200124119017013308</v>
      </c>
      <c r="C28">
        <v>1</v>
      </c>
      <c r="D28">
        <v>1</v>
      </c>
      <c r="E28" t="s">
        <v>3886</v>
      </c>
      <c r="F28">
        <v>1</v>
      </c>
      <c r="G28">
        <v>0</v>
      </c>
      <c r="H28" t="s">
        <v>66</v>
      </c>
      <c r="I28">
        <v>0</v>
      </c>
      <c r="J28" t="s">
        <v>66</v>
      </c>
      <c r="K28">
        <v>0</v>
      </c>
      <c r="L28" t="s">
        <v>66</v>
      </c>
      <c r="M28" t="s">
        <v>56</v>
      </c>
      <c r="N28">
        <v>0</v>
      </c>
      <c r="O28" t="s">
        <v>66</v>
      </c>
      <c r="P28" t="s">
        <v>56</v>
      </c>
      <c r="Q28">
        <v>0</v>
      </c>
      <c r="R28" t="s">
        <v>66</v>
      </c>
      <c r="S28" t="s">
        <v>56</v>
      </c>
      <c r="T28">
        <v>1</v>
      </c>
      <c r="U28" t="s">
        <v>1627</v>
      </c>
      <c r="V28" t="s">
        <v>56</v>
      </c>
      <c r="W28">
        <v>0</v>
      </c>
      <c r="X28" t="s">
        <v>66</v>
      </c>
      <c r="Y28" t="s">
        <v>56</v>
      </c>
      <c r="Z28">
        <v>0</v>
      </c>
      <c r="AA28" t="s">
        <v>66</v>
      </c>
      <c r="AB28" t="s">
        <v>56</v>
      </c>
      <c r="AC28">
        <v>1</v>
      </c>
      <c r="AD28" t="s">
        <v>1627</v>
      </c>
      <c r="AE28" t="s">
        <v>3887</v>
      </c>
      <c r="AF28">
        <v>0</v>
      </c>
      <c r="AG28" t="s">
        <v>66</v>
      </c>
      <c r="AH28" t="s">
        <v>56</v>
      </c>
      <c r="AI28">
        <v>1</v>
      </c>
      <c r="AJ28" t="s">
        <v>1627</v>
      </c>
      <c r="AK28" t="s">
        <v>56</v>
      </c>
      <c r="AL28" t="s">
        <v>56</v>
      </c>
      <c r="AM28" t="s">
        <v>56</v>
      </c>
      <c r="AN28" t="s">
        <v>56</v>
      </c>
      <c r="AO28" t="s">
        <v>3938</v>
      </c>
      <c r="AP28" t="s">
        <v>3962</v>
      </c>
      <c r="AQ28" t="s">
        <v>3963</v>
      </c>
      <c r="AR28" t="s">
        <v>3941</v>
      </c>
      <c r="AS28" t="s">
        <v>3942</v>
      </c>
      <c r="AT28" t="s">
        <v>4009</v>
      </c>
      <c r="AU28" t="s">
        <v>3944</v>
      </c>
      <c r="AV28" t="s">
        <v>3945</v>
      </c>
      <c r="AW28" t="s">
        <v>3946</v>
      </c>
      <c r="AX28">
        <v>12</v>
      </c>
      <c r="AY28">
        <v>2</v>
      </c>
      <c r="AZ28" t="s">
        <v>3897</v>
      </c>
      <c r="BA28">
        <v>10</v>
      </c>
      <c r="BB28" t="s">
        <v>3898</v>
      </c>
      <c r="BC28">
        <v>90</v>
      </c>
      <c r="BD28">
        <v>3</v>
      </c>
      <c r="BE28" t="s">
        <v>3911</v>
      </c>
      <c r="BF28">
        <v>180</v>
      </c>
      <c r="BG28">
        <v>66</v>
      </c>
      <c r="BH28" t="s">
        <v>3965</v>
      </c>
      <c r="BI28" t="s">
        <v>3969</v>
      </c>
      <c r="BJ28">
        <v>1</v>
      </c>
      <c r="BK28" t="s">
        <v>3902</v>
      </c>
    </row>
    <row r="29" spans="1:63" x14ac:dyDescent="0.25">
      <c r="A29">
        <v>1071</v>
      </c>
      <c r="B29" t="str">
        <f>"20200124163017013352"</f>
        <v>20200124163017013352</v>
      </c>
      <c r="C29">
        <v>1</v>
      </c>
      <c r="D29">
        <v>1</v>
      </c>
      <c r="E29" t="s">
        <v>3886</v>
      </c>
      <c r="F29">
        <v>2</v>
      </c>
      <c r="G29">
        <v>0</v>
      </c>
      <c r="H29" t="s">
        <v>66</v>
      </c>
      <c r="I29">
        <v>0</v>
      </c>
      <c r="J29" t="s">
        <v>66</v>
      </c>
      <c r="K29">
        <v>0</v>
      </c>
      <c r="L29" t="s">
        <v>66</v>
      </c>
      <c r="M29" t="s">
        <v>56</v>
      </c>
      <c r="N29">
        <v>0</v>
      </c>
      <c r="O29" t="s">
        <v>66</v>
      </c>
      <c r="P29" t="s">
        <v>56</v>
      </c>
      <c r="Q29">
        <v>0</v>
      </c>
      <c r="R29" t="s">
        <v>66</v>
      </c>
      <c r="S29" t="s">
        <v>56</v>
      </c>
      <c r="T29">
        <v>1</v>
      </c>
      <c r="U29" t="s">
        <v>1627</v>
      </c>
      <c r="V29" t="s">
        <v>56</v>
      </c>
      <c r="W29">
        <v>0</v>
      </c>
      <c r="X29" t="s">
        <v>66</v>
      </c>
      <c r="Y29" t="s">
        <v>56</v>
      </c>
      <c r="Z29">
        <v>0</v>
      </c>
      <c r="AA29" t="s">
        <v>66</v>
      </c>
      <c r="AB29" t="s">
        <v>56</v>
      </c>
      <c r="AC29">
        <v>1</v>
      </c>
      <c r="AD29" t="s">
        <v>1627</v>
      </c>
      <c r="AE29" t="s">
        <v>3887</v>
      </c>
      <c r="AF29">
        <v>0</v>
      </c>
      <c r="AG29" t="s">
        <v>66</v>
      </c>
      <c r="AH29" t="s">
        <v>56</v>
      </c>
      <c r="AI29">
        <v>1</v>
      </c>
      <c r="AJ29" t="s">
        <v>1627</v>
      </c>
      <c r="AK29">
        <v>0</v>
      </c>
      <c r="AL29" t="s">
        <v>66</v>
      </c>
      <c r="AM29" t="s">
        <v>56</v>
      </c>
      <c r="AN29" t="s">
        <v>56</v>
      </c>
      <c r="AO29" t="s">
        <v>4010</v>
      </c>
      <c r="AP29" t="s">
        <v>3939</v>
      </c>
      <c r="AQ29" t="s">
        <v>3940</v>
      </c>
      <c r="AR29" t="s">
        <v>3941</v>
      </c>
      <c r="AS29" t="s">
        <v>3942</v>
      </c>
      <c r="AT29" t="s">
        <v>4011</v>
      </c>
      <c r="AU29" t="s">
        <v>4012</v>
      </c>
      <c r="AV29" t="s">
        <v>4013</v>
      </c>
      <c r="AW29" t="s">
        <v>4014</v>
      </c>
      <c r="AX29">
        <v>12</v>
      </c>
      <c r="AY29">
        <v>2</v>
      </c>
      <c r="AZ29" t="s">
        <v>3897</v>
      </c>
      <c r="BA29">
        <v>10</v>
      </c>
      <c r="BB29" t="s">
        <v>3898</v>
      </c>
      <c r="BC29">
        <v>30</v>
      </c>
      <c r="BD29">
        <v>3</v>
      </c>
      <c r="BE29" t="s">
        <v>3911</v>
      </c>
      <c r="BF29">
        <v>120</v>
      </c>
      <c r="BG29">
        <v>66</v>
      </c>
      <c r="BH29" t="s">
        <v>3965</v>
      </c>
      <c r="BI29" t="s">
        <v>62</v>
      </c>
      <c r="BJ29">
        <v>1</v>
      </c>
      <c r="BK29" t="s">
        <v>3902</v>
      </c>
    </row>
    <row r="30" spans="1:63" x14ac:dyDescent="0.25">
      <c r="A30">
        <v>1072</v>
      </c>
      <c r="B30" t="str">
        <f>"20200124121017013422"</f>
        <v>20200124121017013422</v>
      </c>
      <c r="C30">
        <v>1</v>
      </c>
      <c r="D30">
        <v>1</v>
      </c>
      <c r="E30" t="s">
        <v>3886</v>
      </c>
      <c r="F30">
        <v>1</v>
      </c>
      <c r="G30">
        <v>0</v>
      </c>
      <c r="H30" t="s">
        <v>66</v>
      </c>
      <c r="I30">
        <v>0</v>
      </c>
      <c r="J30" t="s">
        <v>66</v>
      </c>
      <c r="K30">
        <v>0</v>
      </c>
      <c r="L30" t="s">
        <v>66</v>
      </c>
      <c r="M30" t="s">
        <v>56</v>
      </c>
      <c r="N30">
        <v>0</v>
      </c>
      <c r="O30" t="s">
        <v>66</v>
      </c>
      <c r="P30" t="s">
        <v>56</v>
      </c>
      <c r="Q30">
        <v>0</v>
      </c>
      <c r="R30" t="s">
        <v>66</v>
      </c>
      <c r="S30" t="s">
        <v>56</v>
      </c>
      <c r="T30">
        <v>1</v>
      </c>
      <c r="U30" t="s">
        <v>1627</v>
      </c>
      <c r="V30" t="s">
        <v>56</v>
      </c>
      <c r="W30">
        <v>0</v>
      </c>
      <c r="X30" t="s">
        <v>66</v>
      </c>
      <c r="Y30" t="s">
        <v>56</v>
      </c>
      <c r="Z30">
        <v>0</v>
      </c>
      <c r="AA30" t="s">
        <v>66</v>
      </c>
      <c r="AB30" t="s">
        <v>56</v>
      </c>
      <c r="AC30">
        <v>1</v>
      </c>
      <c r="AD30" t="s">
        <v>1627</v>
      </c>
      <c r="AE30" t="s">
        <v>3887</v>
      </c>
      <c r="AF30">
        <v>0</v>
      </c>
      <c r="AG30" t="s">
        <v>66</v>
      </c>
      <c r="AH30" t="s">
        <v>56</v>
      </c>
      <c r="AI30">
        <v>1</v>
      </c>
      <c r="AJ30" t="s">
        <v>1627</v>
      </c>
      <c r="AK30" t="s">
        <v>56</v>
      </c>
      <c r="AL30" t="s">
        <v>56</v>
      </c>
      <c r="AM30" t="s">
        <v>56</v>
      </c>
      <c r="AN30" t="s">
        <v>56</v>
      </c>
      <c r="AO30" t="s">
        <v>4015</v>
      </c>
      <c r="AP30" t="s">
        <v>3971</v>
      </c>
      <c r="AQ30" t="s">
        <v>3972</v>
      </c>
      <c r="AR30" t="s">
        <v>3904</v>
      </c>
      <c r="AS30" t="s">
        <v>3905</v>
      </c>
      <c r="AT30" t="s">
        <v>4016</v>
      </c>
      <c r="AU30" t="s">
        <v>3929</v>
      </c>
      <c r="AV30" t="s">
        <v>3930</v>
      </c>
      <c r="AW30" t="s">
        <v>3931</v>
      </c>
      <c r="AX30">
        <v>1</v>
      </c>
      <c r="AY30">
        <v>3</v>
      </c>
      <c r="AZ30" t="s">
        <v>3911</v>
      </c>
      <c r="BA30">
        <v>10</v>
      </c>
      <c r="BB30" t="s">
        <v>3898</v>
      </c>
      <c r="BC30">
        <v>5</v>
      </c>
      <c r="BD30">
        <v>3</v>
      </c>
      <c r="BE30" t="s">
        <v>3911</v>
      </c>
      <c r="BF30">
        <v>5</v>
      </c>
      <c r="BG30">
        <v>75</v>
      </c>
      <c r="BH30" t="s">
        <v>4017</v>
      </c>
      <c r="BI30" t="s">
        <v>4018</v>
      </c>
      <c r="BJ30">
        <v>1</v>
      </c>
      <c r="BK30" t="s">
        <v>3902</v>
      </c>
    </row>
    <row r="31" spans="1:63" x14ac:dyDescent="0.25">
      <c r="A31">
        <v>1073</v>
      </c>
      <c r="B31" t="str">
        <f>"20200124116017013574"</f>
        <v>20200124116017013574</v>
      </c>
      <c r="C31">
        <v>1</v>
      </c>
      <c r="D31">
        <v>1</v>
      </c>
      <c r="E31" t="s">
        <v>3886</v>
      </c>
      <c r="F31">
        <v>2</v>
      </c>
      <c r="G31">
        <v>0</v>
      </c>
      <c r="H31" t="s">
        <v>66</v>
      </c>
      <c r="I31">
        <v>0</v>
      </c>
      <c r="J31" t="s">
        <v>66</v>
      </c>
      <c r="K31">
        <v>0</v>
      </c>
      <c r="L31" t="s">
        <v>66</v>
      </c>
      <c r="M31" t="s">
        <v>56</v>
      </c>
      <c r="N31">
        <v>0</v>
      </c>
      <c r="O31" t="s">
        <v>66</v>
      </c>
      <c r="P31" t="s">
        <v>56</v>
      </c>
      <c r="Q31">
        <v>0</v>
      </c>
      <c r="R31" t="s">
        <v>66</v>
      </c>
      <c r="S31" t="s">
        <v>56</v>
      </c>
      <c r="T31">
        <v>1</v>
      </c>
      <c r="U31" t="s">
        <v>1627</v>
      </c>
      <c r="V31" t="s">
        <v>56</v>
      </c>
      <c r="W31">
        <v>0</v>
      </c>
      <c r="X31" t="s">
        <v>66</v>
      </c>
      <c r="Y31" t="s">
        <v>56</v>
      </c>
      <c r="Z31">
        <v>0</v>
      </c>
      <c r="AA31" t="s">
        <v>66</v>
      </c>
      <c r="AB31" t="s">
        <v>56</v>
      </c>
      <c r="AC31">
        <v>1</v>
      </c>
      <c r="AD31" t="s">
        <v>1627</v>
      </c>
      <c r="AE31" t="s">
        <v>3887</v>
      </c>
      <c r="AF31">
        <v>0</v>
      </c>
      <c r="AG31" t="s">
        <v>66</v>
      </c>
      <c r="AH31" t="s">
        <v>56</v>
      </c>
      <c r="AI31">
        <v>1</v>
      </c>
      <c r="AJ31" t="s">
        <v>1627</v>
      </c>
      <c r="AK31" t="s">
        <v>56</v>
      </c>
      <c r="AL31" t="s">
        <v>56</v>
      </c>
      <c r="AM31" t="s">
        <v>56</v>
      </c>
      <c r="AN31" t="s">
        <v>56</v>
      </c>
      <c r="AO31" t="s">
        <v>3975</v>
      </c>
      <c r="AP31" t="s">
        <v>3962</v>
      </c>
      <c r="AQ31" t="s">
        <v>3963</v>
      </c>
      <c r="AR31" t="s">
        <v>3941</v>
      </c>
      <c r="AS31" t="s">
        <v>3942</v>
      </c>
      <c r="AT31" t="s">
        <v>3968</v>
      </c>
      <c r="AU31" t="s">
        <v>3944</v>
      </c>
      <c r="AV31" t="s">
        <v>3945</v>
      </c>
      <c r="AW31" t="s">
        <v>3946</v>
      </c>
      <c r="AX31">
        <v>12</v>
      </c>
      <c r="AY31">
        <v>2</v>
      </c>
      <c r="AZ31" t="s">
        <v>3897</v>
      </c>
      <c r="BA31">
        <v>10</v>
      </c>
      <c r="BB31" t="s">
        <v>3898</v>
      </c>
      <c r="BC31">
        <v>90</v>
      </c>
      <c r="BD31">
        <v>3</v>
      </c>
      <c r="BE31" t="s">
        <v>3911</v>
      </c>
      <c r="BF31">
        <v>180</v>
      </c>
      <c r="BG31">
        <v>66</v>
      </c>
      <c r="BH31" t="s">
        <v>3965</v>
      </c>
      <c r="BI31" t="s">
        <v>3969</v>
      </c>
      <c r="BJ31">
        <v>1</v>
      </c>
      <c r="BK31" t="s">
        <v>3902</v>
      </c>
    </row>
    <row r="32" spans="1:63" x14ac:dyDescent="0.25">
      <c r="A32">
        <v>1074</v>
      </c>
      <c r="B32" t="str">
        <f>"20200124177017013807"</f>
        <v>20200124177017013807</v>
      </c>
      <c r="C32">
        <v>1</v>
      </c>
      <c r="D32">
        <v>1</v>
      </c>
      <c r="E32" t="s">
        <v>3886</v>
      </c>
      <c r="F32">
        <v>1</v>
      </c>
      <c r="G32">
        <v>0</v>
      </c>
      <c r="H32" t="s">
        <v>66</v>
      </c>
      <c r="I32">
        <v>0</v>
      </c>
      <c r="J32" t="s">
        <v>66</v>
      </c>
      <c r="K32">
        <v>0</v>
      </c>
      <c r="L32" t="s">
        <v>66</v>
      </c>
      <c r="M32" t="s">
        <v>56</v>
      </c>
      <c r="N32">
        <v>0</v>
      </c>
      <c r="O32" t="s">
        <v>66</v>
      </c>
      <c r="P32" t="s">
        <v>56</v>
      </c>
      <c r="Q32">
        <v>0</v>
      </c>
      <c r="R32" t="s">
        <v>66</v>
      </c>
      <c r="S32" t="s">
        <v>56</v>
      </c>
      <c r="T32">
        <v>1</v>
      </c>
      <c r="U32" t="s">
        <v>1627</v>
      </c>
      <c r="V32" t="s">
        <v>56</v>
      </c>
      <c r="W32">
        <v>0</v>
      </c>
      <c r="X32" t="s">
        <v>66</v>
      </c>
      <c r="Y32" t="s">
        <v>56</v>
      </c>
      <c r="Z32">
        <v>0</v>
      </c>
      <c r="AA32" t="s">
        <v>66</v>
      </c>
      <c r="AB32" t="s">
        <v>56</v>
      </c>
      <c r="AC32">
        <v>1</v>
      </c>
      <c r="AD32" t="s">
        <v>1627</v>
      </c>
      <c r="AE32" t="s">
        <v>3887</v>
      </c>
      <c r="AF32">
        <v>0</v>
      </c>
      <c r="AG32" t="s">
        <v>66</v>
      </c>
      <c r="AH32" t="s">
        <v>56</v>
      </c>
      <c r="AI32">
        <v>1</v>
      </c>
      <c r="AJ32" t="s">
        <v>1627</v>
      </c>
      <c r="AK32" t="s">
        <v>56</v>
      </c>
      <c r="AL32" t="s">
        <v>56</v>
      </c>
      <c r="AM32" t="s">
        <v>56</v>
      </c>
      <c r="AN32" t="s">
        <v>56</v>
      </c>
      <c r="AO32" t="s">
        <v>3938</v>
      </c>
      <c r="AP32" t="s">
        <v>3962</v>
      </c>
      <c r="AQ32" t="s">
        <v>3963</v>
      </c>
      <c r="AR32" t="s">
        <v>3941</v>
      </c>
      <c r="AS32" t="s">
        <v>3942</v>
      </c>
      <c r="AT32" t="s">
        <v>4009</v>
      </c>
      <c r="AU32" t="s">
        <v>3944</v>
      </c>
      <c r="AV32" t="s">
        <v>3945</v>
      </c>
      <c r="AW32" t="s">
        <v>3946</v>
      </c>
      <c r="AX32">
        <v>12</v>
      </c>
      <c r="AY32">
        <v>2</v>
      </c>
      <c r="AZ32" t="s">
        <v>3897</v>
      </c>
      <c r="BA32">
        <v>10</v>
      </c>
      <c r="BB32" t="s">
        <v>3898</v>
      </c>
      <c r="BC32">
        <v>90</v>
      </c>
      <c r="BD32">
        <v>3</v>
      </c>
      <c r="BE32" t="s">
        <v>3911</v>
      </c>
      <c r="BF32">
        <v>180</v>
      </c>
      <c r="BG32">
        <v>66</v>
      </c>
      <c r="BH32" t="s">
        <v>3965</v>
      </c>
      <c r="BI32" t="s">
        <v>3969</v>
      </c>
      <c r="BJ32">
        <v>1</v>
      </c>
      <c r="BK32" t="s">
        <v>3902</v>
      </c>
    </row>
    <row r="33" spans="1:63" x14ac:dyDescent="0.25">
      <c r="A33">
        <v>1075</v>
      </c>
      <c r="B33" t="str">
        <f>"20200124188017013853"</f>
        <v>20200124188017013853</v>
      </c>
      <c r="C33">
        <v>1</v>
      </c>
      <c r="D33">
        <v>1</v>
      </c>
      <c r="E33" t="s">
        <v>3886</v>
      </c>
      <c r="F33">
        <v>2</v>
      </c>
      <c r="G33">
        <v>0</v>
      </c>
      <c r="H33" t="s">
        <v>66</v>
      </c>
      <c r="I33">
        <v>0</v>
      </c>
      <c r="J33" t="s">
        <v>66</v>
      </c>
      <c r="K33">
        <v>1</v>
      </c>
      <c r="L33" t="s">
        <v>1627</v>
      </c>
      <c r="M33" t="s">
        <v>4019</v>
      </c>
      <c r="N33">
        <v>1</v>
      </c>
      <c r="O33" t="s">
        <v>1627</v>
      </c>
      <c r="P33" t="s">
        <v>4020</v>
      </c>
      <c r="Q33">
        <v>0</v>
      </c>
      <c r="R33" t="s">
        <v>66</v>
      </c>
      <c r="S33" t="s">
        <v>56</v>
      </c>
      <c r="T33" t="s">
        <v>56</v>
      </c>
      <c r="U33" t="s">
        <v>56</v>
      </c>
      <c r="V33" t="s">
        <v>56</v>
      </c>
      <c r="W33">
        <v>0</v>
      </c>
      <c r="X33" t="s">
        <v>66</v>
      </c>
      <c r="Y33" t="s">
        <v>56</v>
      </c>
      <c r="Z33">
        <v>0</v>
      </c>
      <c r="AA33" t="s">
        <v>66</v>
      </c>
      <c r="AB33" t="s">
        <v>56</v>
      </c>
      <c r="AC33">
        <v>0</v>
      </c>
      <c r="AD33" t="s">
        <v>66</v>
      </c>
      <c r="AE33" t="s">
        <v>56</v>
      </c>
      <c r="AF33">
        <v>0</v>
      </c>
      <c r="AG33" t="s">
        <v>66</v>
      </c>
      <c r="AH33" t="s">
        <v>56</v>
      </c>
      <c r="AI33">
        <v>1</v>
      </c>
      <c r="AJ33" t="s">
        <v>1627</v>
      </c>
      <c r="AK33" t="s">
        <v>56</v>
      </c>
      <c r="AL33" t="s">
        <v>56</v>
      </c>
      <c r="AM33" t="s">
        <v>56</v>
      </c>
      <c r="AN33" t="s">
        <v>56</v>
      </c>
      <c r="AO33" t="s">
        <v>4021</v>
      </c>
      <c r="AP33" t="s">
        <v>3962</v>
      </c>
      <c r="AQ33" t="s">
        <v>3963</v>
      </c>
      <c r="AR33" t="s">
        <v>3941</v>
      </c>
      <c r="AS33" t="s">
        <v>3942</v>
      </c>
      <c r="AT33" t="s">
        <v>4022</v>
      </c>
      <c r="AU33" t="s">
        <v>3944</v>
      </c>
      <c r="AV33" t="s">
        <v>3945</v>
      </c>
      <c r="AW33" t="s">
        <v>3946</v>
      </c>
      <c r="AX33">
        <v>7</v>
      </c>
      <c r="AY33">
        <v>3</v>
      </c>
      <c r="AZ33" t="s">
        <v>3911</v>
      </c>
      <c r="BA33">
        <v>10</v>
      </c>
      <c r="BB33" t="s">
        <v>3898</v>
      </c>
      <c r="BC33">
        <v>90</v>
      </c>
      <c r="BD33">
        <v>3</v>
      </c>
      <c r="BE33" t="s">
        <v>3911</v>
      </c>
      <c r="BF33">
        <v>12</v>
      </c>
      <c r="BG33">
        <v>66</v>
      </c>
      <c r="BH33" t="s">
        <v>3965</v>
      </c>
      <c r="BI33" t="s">
        <v>4023</v>
      </c>
      <c r="BJ33">
        <v>1</v>
      </c>
      <c r="BK33" t="s">
        <v>3902</v>
      </c>
    </row>
    <row r="34" spans="1:63" x14ac:dyDescent="0.25">
      <c r="A34">
        <v>1076</v>
      </c>
      <c r="B34" t="str">
        <f>"20200124115017014098"</f>
        <v>20200124115017014098</v>
      </c>
      <c r="C34">
        <v>1</v>
      </c>
      <c r="D34">
        <v>1</v>
      </c>
      <c r="E34" t="s">
        <v>3886</v>
      </c>
      <c r="F34">
        <v>1</v>
      </c>
      <c r="G34">
        <v>0</v>
      </c>
      <c r="H34" t="s">
        <v>66</v>
      </c>
      <c r="I34">
        <v>0</v>
      </c>
      <c r="J34" t="s">
        <v>66</v>
      </c>
      <c r="K34">
        <v>0</v>
      </c>
      <c r="L34" t="s">
        <v>66</v>
      </c>
      <c r="M34" t="s">
        <v>56</v>
      </c>
      <c r="N34">
        <v>0</v>
      </c>
      <c r="O34" t="s">
        <v>66</v>
      </c>
      <c r="P34" t="s">
        <v>56</v>
      </c>
      <c r="Q34">
        <v>0</v>
      </c>
      <c r="R34" t="s">
        <v>66</v>
      </c>
      <c r="S34" t="s">
        <v>56</v>
      </c>
      <c r="T34">
        <v>1</v>
      </c>
      <c r="U34" t="s">
        <v>1627</v>
      </c>
      <c r="V34" t="s">
        <v>56</v>
      </c>
      <c r="W34">
        <v>0</v>
      </c>
      <c r="X34" t="s">
        <v>66</v>
      </c>
      <c r="Y34" t="s">
        <v>56</v>
      </c>
      <c r="Z34">
        <v>0</v>
      </c>
      <c r="AA34" t="s">
        <v>66</v>
      </c>
      <c r="AB34" t="s">
        <v>56</v>
      </c>
      <c r="AC34">
        <v>1</v>
      </c>
      <c r="AD34" t="s">
        <v>1627</v>
      </c>
      <c r="AE34" t="s">
        <v>3887</v>
      </c>
      <c r="AF34">
        <v>0</v>
      </c>
      <c r="AG34" t="s">
        <v>66</v>
      </c>
      <c r="AH34" t="s">
        <v>56</v>
      </c>
      <c r="AI34">
        <v>1</v>
      </c>
      <c r="AJ34" t="s">
        <v>1627</v>
      </c>
      <c r="AK34" t="s">
        <v>56</v>
      </c>
      <c r="AL34" t="s">
        <v>56</v>
      </c>
      <c r="AM34" t="s">
        <v>56</v>
      </c>
      <c r="AN34" t="s">
        <v>56</v>
      </c>
      <c r="AO34" t="s">
        <v>3938</v>
      </c>
      <c r="AP34" t="s">
        <v>3962</v>
      </c>
      <c r="AQ34" t="s">
        <v>3963</v>
      </c>
      <c r="AR34" t="s">
        <v>3941</v>
      </c>
      <c r="AS34" t="s">
        <v>3942</v>
      </c>
      <c r="AT34" t="s">
        <v>4009</v>
      </c>
      <c r="AU34" t="s">
        <v>3944</v>
      </c>
      <c r="AV34" t="s">
        <v>3945</v>
      </c>
      <c r="AW34" t="s">
        <v>3946</v>
      </c>
      <c r="AX34">
        <v>12</v>
      </c>
      <c r="AY34">
        <v>2</v>
      </c>
      <c r="AZ34" t="s">
        <v>3897</v>
      </c>
      <c r="BA34">
        <v>10</v>
      </c>
      <c r="BB34" t="s">
        <v>3898</v>
      </c>
      <c r="BC34">
        <v>90</v>
      </c>
      <c r="BD34">
        <v>3</v>
      </c>
      <c r="BE34" t="s">
        <v>3911</v>
      </c>
      <c r="BF34">
        <v>180</v>
      </c>
      <c r="BG34">
        <v>66</v>
      </c>
      <c r="BH34" t="s">
        <v>3965</v>
      </c>
      <c r="BI34" t="s">
        <v>3969</v>
      </c>
      <c r="BJ34">
        <v>1</v>
      </c>
      <c r="BK34" t="s">
        <v>3902</v>
      </c>
    </row>
    <row r="35" spans="1:63" x14ac:dyDescent="0.25">
      <c r="A35">
        <v>1077</v>
      </c>
      <c r="B35" t="str">
        <f>"20200124124017015382"</f>
        <v>20200124124017015382</v>
      </c>
      <c r="C35">
        <v>1</v>
      </c>
      <c r="D35">
        <v>1</v>
      </c>
      <c r="E35" t="s">
        <v>3886</v>
      </c>
      <c r="F35">
        <v>2</v>
      </c>
      <c r="G35">
        <v>0</v>
      </c>
      <c r="H35" t="s">
        <v>66</v>
      </c>
      <c r="I35">
        <v>0</v>
      </c>
      <c r="J35" t="s">
        <v>66</v>
      </c>
      <c r="K35">
        <v>0</v>
      </c>
      <c r="L35" t="s">
        <v>66</v>
      </c>
      <c r="M35" t="s">
        <v>56</v>
      </c>
      <c r="N35">
        <v>0</v>
      </c>
      <c r="O35" t="s">
        <v>66</v>
      </c>
      <c r="P35" t="s">
        <v>56</v>
      </c>
      <c r="Q35">
        <v>0</v>
      </c>
      <c r="R35" t="s">
        <v>66</v>
      </c>
      <c r="S35" t="s">
        <v>56</v>
      </c>
      <c r="T35">
        <v>1</v>
      </c>
      <c r="U35" t="s">
        <v>1627</v>
      </c>
      <c r="V35" t="s">
        <v>56</v>
      </c>
      <c r="W35">
        <v>0</v>
      </c>
      <c r="X35" t="s">
        <v>66</v>
      </c>
      <c r="Y35" t="s">
        <v>56</v>
      </c>
      <c r="Z35">
        <v>0</v>
      </c>
      <c r="AA35" t="s">
        <v>66</v>
      </c>
      <c r="AB35" t="s">
        <v>56</v>
      </c>
      <c r="AC35">
        <v>1</v>
      </c>
      <c r="AD35" t="s">
        <v>1627</v>
      </c>
      <c r="AE35" t="s">
        <v>3887</v>
      </c>
      <c r="AF35">
        <v>0</v>
      </c>
      <c r="AG35" t="s">
        <v>66</v>
      </c>
      <c r="AH35" t="s">
        <v>56</v>
      </c>
      <c r="AI35">
        <v>1</v>
      </c>
      <c r="AJ35" t="s">
        <v>1627</v>
      </c>
      <c r="AK35" t="s">
        <v>56</v>
      </c>
      <c r="AL35" t="s">
        <v>56</v>
      </c>
      <c r="AM35" t="s">
        <v>56</v>
      </c>
      <c r="AN35" t="s">
        <v>56</v>
      </c>
      <c r="AO35" t="s">
        <v>4024</v>
      </c>
      <c r="AP35" t="s">
        <v>3962</v>
      </c>
      <c r="AQ35" t="s">
        <v>3963</v>
      </c>
      <c r="AR35" t="s">
        <v>3941</v>
      </c>
      <c r="AS35" t="s">
        <v>3942</v>
      </c>
      <c r="AT35" t="s">
        <v>4025</v>
      </c>
      <c r="AU35" t="s">
        <v>4026</v>
      </c>
      <c r="AV35" t="s">
        <v>4027</v>
      </c>
      <c r="AW35" t="s">
        <v>4028</v>
      </c>
      <c r="AX35">
        <v>1</v>
      </c>
      <c r="AY35">
        <v>3</v>
      </c>
      <c r="AZ35" t="s">
        <v>3911</v>
      </c>
      <c r="BA35">
        <v>10</v>
      </c>
      <c r="BB35" t="s">
        <v>3898</v>
      </c>
      <c r="BC35">
        <v>180</v>
      </c>
      <c r="BD35">
        <v>3</v>
      </c>
      <c r="BE35" t="s">
        <v>3911</v>
      </c>
      <c r="BF35">
        <v>360</v>
      </c>
      <c r="BG35">
        <v>66</v>
      </c>
      <c r="BH35" t="s">
        <v>3965</v>
      </c>
      <c r="BI35" t="s">
        <v>4029</v>
      </c>
      <c r="BJ35">
        <v>1</v>
      </c>
      <c r="BK35" t="s">
        <v>3902</v>
      </c>
    </row>
    <row r="36" spans="1:63" x14ac:dyDescent="0.25">
      <c r="A36">
        <v>1078</v>
      </c>
      <c r="B36" t="str">
        <f>"20200124119017015484"</f>
        <v>20200124119017015484</v>
      </c>
      <c r="C36">
        <v>1</v>
      </c>
      <c r="D36">
        <v>1</v>
      </c>
      <c r="E36" t="s">
        <v>3886</v>
      </c>
      <c r="F36">
        <v>2</v>
      </c>
      <c r="G36">
        <v>0</v>
      </c>
      <c r="H36" t="s">
        <v>66</v>
      </c>
      <c r="I36">
        <v>0</v>
      </c>
      <c r="J36" t="s">
        <v>66</v>
      </c>
      <c r="K36">
        <v>1</v>
      </c>
      <c r="L36" t="s">
        <v>1627</v>
      </c>
      <c r="M36" t="s">
        <v>4030</v>
      </c>
      <c r="N36">
        <v>0</v>
      </c>
      <c r="O36" t="s">
        <v>66</v>
      </c>
      <c r="P36" t="s">
        <v>56</v>
      </c>
      <c r="Q36">
        <v>1</v>
      </c>
      <c r="R36" t="s">
        <v>1627</v>
      </c>
      <c r="S36" t="s">
        <v>4031</v>
      </c>
      <c r="T36" t="s">
        <v>56</v>
      </c>
      <c r="U36" t="s">
        <v>56</v>
      </c>
      <c r="V36" t="s">
        <v>56</v>
      </c>
      <c r="W36">
        <v>0</v>
      </c>
      <c r="X36" t="s">
        <v>66</v>
      </c>
      <c r="Y36" t="s">
        <v>56</v>
      </c>
      <c r="Z36">
        <v>0</v>
      </c>
      <c r="AA36" t="s">
        <v>66</v>
      </c>
      <c r="AB36" t="s">
        <v>56</v>
      </c>
      <c r="AC36">
        <v>0</v>
      </c>
      <c r="AD36" t="s">
        <v>66</v>
      </c>
      <c r="AE36" t="s">
        <v>56</v>
      </c>
      <c r="AF36">
        <v>0</v>
      </c>
      <c r="AG36" t="s">
        <v>66</v>
      </c>
      <c r="AH36" t="s">
        <v>56</v>
      </c>
      <c r="AI36">
        <v>1</v>
      </c>
      <c r="AJ36" t="s">
        <v>1627</v>
      </c>
      <c r="AK36" t="s">
        <v>56</v>
      </c>
      <c r="AL36" t="s">
        <v>56</v>
      </c>
      <c r="AM36" t="s">
        <v>56</v>
      </c>
      <c r="AN36" t="s">
        <v>56</v>
      </c>
      <c r="AO36" t="s">
        <v>4032</v>
      </c>
      <c r="AP36" t="s">
        <v>3962</v>
      </c>
      <c r="AQ36" t="s">
        <v>3963</v>
      </c>
      <c r="AR36" t="s">
        <v>3941</v>
      </c>
      <c r="AS36" t="s">
        <v>3942</v>
      </c>
      <c r="AT36" t="s">
        <v>4033</v>
      </c>
      <c r="AU36" t="s">
        <v>3944</v>
      </c>
      <c r="AV36" t="s">
        <v>3945</v>
      </c>
      <c r="AW36" t="s">
        <v>3946</v>
      </c>
      <c r="AX36">
        <v>24</v>
      </c>
      <c r="AY36">
        <v>2</v>
      </c>
      <c r="AZ36" t="s">
        <v>3897</v>
      </c>
      <c r="BA36">
        <v>10</v>
      </c>
      <c r="BB36" t="s">
        <v>3898</v>
      </c>
      <c r="BC36">
        <v>6</v>
      </c>
      <c r="BD36">
        <v>5</v>
      </c>
      <c r="BE36" t="s">
        <v>3899</v>
      </c>
      <c r="BF36">
        <v>180</v>
      </c>
      <c r="BG36">
        <v>66</v>
      </c>
      <c r="BH36" t="s">
        <v>3965</v>
      </c>
      <c r="BI36" t="s">
        <v>4034</v>
      </c>
      <c r="BJ36">
        <v>1</v>
      </c>
      <c r="BK36" t="s">
        <v>3902</v>
      </c>
    </row>
    <row r="37" spans="1:63" x14ac:dyDescent="0.25">
      <c r="A37">
        <v>1079</v>
      </c>
      <c r="B37" t="str">
        <f>"20200124190017015895"</f>
        <v>20200124190017015895</v>
      </c>
      <c r="C37">
        <v>1</v>
      </c>
      <c r="D37">
        <v>1</v>
      </c>
      <c r="E37" t="s">
        <v>3886</v>
      </c>
      <c r="F37">
        <v>2</v>
      </c>
      <c r="G37">
        <v>0</v>
      </c>
      <c r="H37" t="s">
        <v>66</v>
      </c>
      <c r="I37">
        <v>0</v>
      </c>
      <c r="J37" t="s">
        <v>66</v>
      </c>
      <c r="K37">
        <v>0</v>
      </c>
      <c r="L37" t="s">
        <v>66</v>
      </c>
      <c r="M37" t="s">
        <v>56</v>
      </c>
      <c r="N37">
        <v>0</v>
      </c>
      <c r="O37" t="s">
        <v>66</v>
      </c>
      <c r="P37" t="s">
        <v>56</v>
      </c>
      <c r="Q37">
        <v>0</v>
      </c>
      <c r="R37" t="s">
        <v>66</v>
      </c>
      <c r="S37" t="s">
        <v>56</v>
      </c>
      <c r="T37">
        <v>1</v>
      </c>
      <c r="U37" t="s">
        <v>1627</v>
      </c>
      <c r="V37" t="s">
        <v>56</v>
      </c>
      <c r="W37">
        <v>0</v>
      </c>
      <c r="X37" t="s">
        <v>66</v>
      </c>
      <c r="Y37" t="s">
        <v>56</v>
      </c>
      <c r="Z37">
        <v>0</v>
      </c>
      <c r="AA37" t="s">
        <v>66</v>
      </c>
      <c r="AB37" t="s">
        <v>56</v>
      </c>
      <c r="AC37">
        <v>1</v>
      </c>
      <c r="AD37" t="s">
        <v>1627</v>
      </c>
      <c r="AE37" t="s">
        <v>3887</v>
      </c>
      <c r="AF37">
        <v>0</v>
      </c>
      <c r="AG37" t="s">
        <v>66</v>
      </c>
      <c r="AH37" t="s">
        <v>56</v>
      </c>
      <c r="AI37">
        <v>1</v>
      </c>
      <c r="AJ37" t="s">
        <v>1627</v>
      </c>
      <c r="AK37" t="s">
        <v>56</v>
      </c>
      <c r="AL37" t="s">
        <v>56</v>
      </c>
      <c r="AM37" t="s">
        <v>56</v>
      </c>
      <c r="AN37" t="s">
        <v>56</v>
      </c>
      <c r="AO37" t="s">
        <v>4035</v>
      </c>
      <c r="AP37" t="s">
        <v>3962</v>
      </c>
      <c r="AQ37" t="s">
        <v>3963</v>
      </c>
      <c r="AR37" t="s">
        <v>3941</v>
      </c>
      <c r="AS37" t="s">
        <v>3942</v>
      </c>
      <c r="AT37" t="s">
        <v>4036</v>
      </c>
      <c r="AU37" t="s">
        <v>3944</v>
      </c>
      <c r="AV37" t="s">
        <v>3945</v>
      </c>
      <c r="AW37" t="s">
        <v>3946</v>
      </c>
      <c r="AX37">
        <v>1</v>
      </c>
      <c r="AY37">
        <v>3</v>
      </c>
      <c r="AZ37" t="s">
        <v>3911</v>
      </c>
      <c r="BA37">
        <v>10</v>
      </c>
      <c r="BB37" t="s">
        <v>3898</v>
      </c>
      <c r="BC37">
        <v>180</v>
      </c>
      <c r="BD37">
        <v>3</v>
      </c>
      <c r="BE37" t="s">
        <v>3911</v>
      </c>
      <c r="BF37">
        <v>180</v>
      </c>
      <c r="BG37">
        <v>66</v>
      </c>
      <c r="BH37" t="s">
        <v>3965</v>
      </c>
      <c r="BI37" t="s">
        <v>4037</v>
      </c>
      <c r="BJ37">
        <v>1</v>
      </c>
      <c r="BK37" t="s">
        <v>3902</v>
      </c>
    </row>
    <row r="38" spans="1:63" x14ac:dyDescent="0.25">
      <c r="A38">
        <v>1080</v>
      </c>
      <c r="B38" t="str">
        <f>"20200124176017016058"</f>
        <v>20200124176017016058</v>
      </c>
      <c r="C38">
        <v>1</v>
      </c>
      <c r="D38">
        <v>1</v>
      </c>
      <c r="E38" t="s">
        <v>3886</v>
      </c>
      <c r="F38">
        <v>1</v>
      </c>
      <c r="G38">
        <v>0</v>
      </c>
      <c r="H38" t="s">
        <v>66</v>
      </c>
      <c r="I38">
        <v>0</v>
      </c>
      <c r="J38" t="s">
        <v>66</v>
      </c>
      <c r="K38">
        <v>0</v>
      </c>
      <c r="L38" t="s">
        <v>66</v>
      </c>
      <c r="M38" t="s">
        <v>56</v>
      </c>
      <c r="N38">
        <v>0</v>
      </c>
      <c r="O38" t="s">
        <v>66</v>
      </c>
      <c r="P38" t="s">
        <v>56</v>
      </c>
      <c r="Q38">
        <v>0</v>
      </c>
      <c r="R38" t="s">
        <v>66</v>
      </c>
      <c r="S38" t="s">
        <v>56</v>
      </c>
      <c r="T38">
        <v>1</v>
      </c>
      <c r="U38" t="s">
        <v>1627</v>
      </c>
      <c r="V38" t="s">
        <v>56</v>
      </c>
      <c r="W38">
        <v>0</v>
      </c>
      <c r="X38" t="s">
        <v>66</v>
      </c>
      <c r="Y38" t="s">
        <v>56</v>
      </c>
      <c r="Z38">
        <v>0</v>
      </c>
      <c r="AA38" t="s">
        <v>66</v>
      </c>
      <c r="AB38" t="s">
        <v>56</v>
      </c>
      <c r="AC38">
        <v>1</v>
      </c>
      <c r="AD38" t="s">
        <v>1627</v>
      </c>
      <c r="AE38" t="s">
        <v>3887</v>
      </c>
      <c r="AF38">
        <v>0</v>
      </c>
      <c r="AG38" t="s">
        <v>66</v>
      </c>
      <c r="AH38" t="s">
        <v>56</v>
      </c>
      <c r="AI38">
        <v>1</v>
      </c>
      <c r="AJ38" t="s">
        <v>1627</v>
      </c>
      <c r="AK38" t="s">
        <v>56</v>
      </c>
      <c r="AL38" t="s">
        <v>56</v>
      </c>
      <c r="AM38" t="s">
        <v>56</v>
      </c>
      <c r="AN38" t="s">
        <v>56</v>
      </c>
      <c r="AO38" t="s">
        <v>3952</v>
      </c>
      <c r="AP38" t="s">
        <v>3889</v>
      </c>
      <c r="AQ38" t="s">
        <v>3890</v>
      </c>
      <c r="AR38" t="s">
        <v>3953</v>
      </c>
      <c r="AS38" t="s">
        <v>3954</v>
      </c>
      <c r="AT38" t="s">
        <v>4038</v>
      </c>
      <c r="AU38">
        <v>9000</v>
      </c>
      <c r="AV38" t="s">
        <v>3956</v>
      </c>
      <c r="AW38" t="s">
        <v>3956</v>
      </c>
      <c r="AX38">
        <v>1</v>
      </c>
      <c r="AY38">
        <v>3</v>
      </c>
      <c r="AZ38" t="s">
        <v>3911</v>
      </c>
      <c r="BA38">
        <v>10</v>
      </c>
      <c r="BB38" t="s">
        <v>3898</v>
      </c>
      <c r="BC38">
        <v>1</v>
      </c>
      <c r="BD38">
        <v>3</v>
      </c>
      <c r="BE38" t="s">
        <v>3911</v>
      </c>
      <c r="BF38">
        <v>1</v>
      </c>
      <c r="BG38" t="s">
        <v>3912</v>
      </c>
      <c r="BH38" t="s">
        <v>3913</v>
      </c>
      <c r="BI38" t="s">
        <v>4039</v>
      </c>
      <c r="BJ38">
        <v>1</v>
      </c>
      <c r="BK38" t="s">
        <v>3902</v>
      </c>
    </row>
    <row r="39" spans="1:63" x14ac:dyDescent="0.25">
      <c r="A39">
        <v>1081</v>
      </c>
      <c r="B39" t="str">
        <f>"20200124155017016212"</f>
        <v>20200124155017016212</v>
      </c>
      <c r="C39">
        <v>1</v>
      </c>
      <c r="D39">
        <v>1</v>
      </c>
      <c r="E39" t="s">
        <v>3886</v>
      </c>
      <c r="F39">
        <v>1</v>
      </c>
      <c r="G39">
        <v>0</v>
      </c>
      <c r="H39" t="s">
        <v>66</v>
      </c>
      <c r="I39">
        <v>0</v>
      </c>
      <c r="J39" t="s">
        <v>66</v>
      </c>
      <c r="K39">
        <v>0</v>
      </c>
      <c r="L39" t="s">
        <v>66</v>
      </c>
      <c r="M39" t="s">
        <v>56</v>
      </c>
      <c r="N39">
        <v>0</v>
      </c>
      <c r="O39" t="s">
        <v>66</v>
      </c>
      <c r="P39" t="s">
        <v>56</v>
      </c>
      <c r="Q39">
        <v>0</v>
      </c>
      <c r="R39" t="s">
        <v>66</v>
      </c>
      <c r="S39" t="s">
        <v>56</v>
      </c>
      <c r="T39">
        <v>1</v>
      </c>
      <c r="U39" t="s">
        <v>1627</v>
      </c>
      <c r="V39" t="s">
        <v>56</v>
      </c>
      <c r="W39">
        <v>0</v>
      </c>
      <c r="X39" t="s">
        <v>66</v>
      </c>
      <c r="Y39" t="s">
        <v>56</v>
      </c>
      <c r="Z39">
        <v>0</v>
      </c>
      <c r="AA39" t="s">
        <v>66</v>
      </c>
      <c r="AB39" t="s">
        <v>56</v>
      </c>
      <c r="AC39">
        <v>1</v>
      </c>
      <c r="AD39" t="s">
        <v>1627</v>
      </c>
      <c r="AE39" t="s">
        <v>3887</v>
      </c>
      <c r="AF39">
        <v>0</v>
      </c>
      <c r="AG39" t="s">
        <v>66</v>
      </c>
      <c r="AH39" t="s">
        <v>56</v>
      </c>
      <c r="AI39">
        <v>1</v>
      </c>
      <c r="AJ39" t="s">
        <v>1627</v>
      </c>
      <c r="AK39" t="s">
        <v>56</v>
      </c>
      <c r="AL39" t="s">
        <v>56</v>
      </c>
      <c r="AM39" t="s">
        <v>56</v>
      </c>
      <c r="AN39" t="s">
        <v>56</v>
      </c>
      <c r="AO39" t="s">
        <v>4040</v>
      </c>
      <c r="AP39" t="s">
        <v>3962</v>
      </c>
      <c r="AQ39" t="s">
        <v>3963</v>
      </c>
      <c r="AR39" t="s">
        <v>3941</v>
      </c>
      <c r="AS39" t="s">
        <v>3942</v>
      </c>
      <c r="AT39" t="s">
        <v>4041</v>
      </c>
      <c r="AU39" t="s">
        <v>3944</v>
      </c>
      <c r="AV39" t="s">
        <v>3945</v>
      </c>
      <c r="AW39" t="s">
        <v>3946</v>
      </c>
      <c r="AX39">
        <v>12</v>
      </c>
      <c r="AY39">
        <v>2</v>
      </c>
      <c r="AZ39" t="s">
        <v>3897</v>
      </c>
      <c r="BA39">
        <v>10</v>
      </c>
      <c r="BB39" t="s">
        <v>3898</v>
      </c>
      <c r="BC39">
        <v>1</v>
      </c>
      <c r="BD39">
        <v>5</v>
      </c>
      <c r="BE39" t="s">
        <v>3899</v>
      </c>
      <c r="BF39">
        <v>60</v>
      </c>
      <c r="BG39">
        <v>66</v>
      </c>
      <c r="BH39" t="s">
        <v>3965</v>
      </c>
      <c r="BI39" t="s">
        <v>4042</v>
      </c>
      <c r="BJ39">
        <v>1</v>
      </c>
      <c r="BK39" t="s">
        <v>3902</v>
      </c>
    </row>
    <row r="40" spans="1:63" x14ac:dyDescent="0.25">
      <c r="A40">
        <v>1082</v>
      </c>
      <c r="B40" t="str">
        <f>"20200124150017016318"</f>
        <v>20200124150017016318</v>
      </c>
      <c r="C40">
        <v>1</v>
      </c>
      <c r="D40">
        <v>1</v>
      </c>
      <c r="E40" t="s">
        <v>3886</v>
      </c>
      <c r="F40">
        <v>2</v>
      </c>
      <c r="G40">
        <v>0</v>
      </c>
      <c r="H40" t="s">
        <v>66</v>
      </c>
      <c r="I40">
        <v>0</v>
      </c>
      <c r="J40" t="s">
        <v>66</v>
      </c>
      <c r="K40">
        <v>0</v>
      </c>
      <c r="L40" t="s">
        <v>66</v>
      </c>
      <c r="M40" t="s">
        <v>56</v>
      </c>
      <c r="N40">
        <v>0</v>
      </c>
      <c r="O40" t="s">
        <v>66</v>
      </c>
      <c r="P40" t="s">
        <v>56</v>
      </c>
      <c r="Q40">
        <v>0</v>
      </c>
      <c r="R40" t="s">
        <v>66</v>
      </c>
      <c r="S40" t="s">
        <v>56</v>
      </c>
      <c r="T40">
        <v>1</v>
      </c>
      <c r="U40" t="s">
        <v>1627</v>
      </c>
      <c r="V40" t="s">
        <v>56</v>
      </c>
      <c r="W40">
        <v>0</v>
      </c>
      <c r="X40" t="s">
        <v>66</v>
      </c>
      <c r="Y40" t="s">
        <v>56</v>
      </c>
      <c r="Z40">
        <v>0</v>
      </c>
      <c r="AA40" t="s">
        <v>66</v>
      </c>
      <c r="AB40" t="s">
        <v>56</v>
      </c>
      <c r="AC40">
        <v>1</v>
      </c>
      <c r="AD40" t="s">
        <v>1627</v>
      </c>
      <c r="AE40" t="s">
        <v>3887</v>
      </c>
      <c r="AF40">
        <v>0</v>
      </c>
      <c r="AG40" t="s">
        <v>66</v>
      </c>
      <c r="AH40" t="s">
        <v>56</v>
      </c>
      <c r="AI40">
        <v>1</v>
      </c>
      <c r="AJ40" t="s">
        <v>1627</v>
      </c>
      <c r="AK40" t="s">
        <v>56</v>
      </c>
      <c r="AL40" t="s">
        <v>56</v>
      </c>
      <c r="AM40" t="s">
        <v>56</v>
      </c>
      <c r="AN40" t="s">
        <v>56</v>
      </c>
      <c r="AO40" t="s">
        <v>4043</v>
      </c>
      <c r="AP40" t="s">
        <v>3918</v>
      </c>
      <c r="AQ40" t="s">
        <v>3919</v>
      </c>
      <c r="AR40" t="s">
        <v>3920</v>
      </c>
      <c r="AS40" t="s">
        <v>3921</v>
      </c>
      <c r="AT40" t="s">
        <v>4044</v>
      </c>
      <c r="AU40">
        <v>9000</v>
      </c>
      <c r="AV40" t="s">
        <v>3956</v>
      </c>
      <c r="AW40" t="s">
        <v>3956</v>
      </c>
      <c r="AX40">
        <v>24</v>
      </c>
      <c r="AY40">
        <v>2</v>
      </c>
      <c r="AZ40" t="s">
        <v>3897</v>
      </c>
      <c r="BA40">
        <v>10</v>
      </c>
      <c r="BB40" t="s">
        <v>3898</v>
      </c>
      <c r="BC40">
        <v>3</v>
      </c>
      <c r="BD40">
        <v>5</v>
      </c>
      <c r="BE40" t="s">
        <v>3899</v>
      </c>
      <c r="BF40">
        <v>3</v>
      </c>
      <c r="BG40">
        <v>37</v>
      </c>
      <c r="BH40" t="s">
        <v>4007</v>
      </c>
      <c r="BI40" t="s">
        <v>4045</v>
      </c>
      <c r="BJ40">
        <v>1</v>
      </c>
      <c r="BK40" t="s">
        <v>3902</v>
      </c>
    </row>
    <row r="41" spans="1:63" x14ac:dyDescent="0.25">
      <c r="A41">
        <v>1083</v>
      </c>
      <c r="B41" t="str">
        <f>"20200124172017016422"</f>
        <v>20200124172017016422</v>
      </c>
      <c r="C41">
        <v>1</v>
      </c>
      <c r="D41">
        <v>1</v>
      </c>
      <c r="E41" t="s">
        <v>3886</v>
      </c>
      <c r="F41">
        <v>2</v>
      </c>
      <c r="G41">
        <v>0</v>
      </c>
      <c r="H41" t="s">
        <v>66</v>
      </c>
      <c r="I41">
        <v>0</v>
      </c>
      <c r="J41" t="s">
        <v>66</v>
      </c>
      <c r="K41">
        <v>0</v>
      </c>
      <c r="L41" t="s">
        <v>66</v>
      </c>
      <c r="M41" t="s">
        <v>56</v>
      </c>
      <c r="N41">
        <v>0</v>
      </c>
      <c r="O41" t="s">
        <v>66</v>
      </c>
      <c r="P41" t="s">
        <v>56</v>
      </c>
      <c r="Q41">
        <v>0</v>
      </c>
      <c r="R41" t="s">
        <v>66</v>
      </c>
      <c r="S41" t="s">
        <v>56</v>
      </c>
      <c r="T41">
        <v>1</v>
      </c>
      <c r="U41" t="s">
        <v>1627</v>
      </c>
      <c r="V41" t="s">
        <v>56</v>
      </c>
      <c r="W41">
        <v>0</v>
      </c>
      <c r="X41" t="s">
        <v>66</v>
      </c>
      <c r="Y41" t="s">
        <v>56</v>
      </c>
      <c r="Z41">
        <v>0</v>
      </c>
      <c r="AA41" t="s">
        <v>66</v>
      </c>
      <c r="AB41" t="s">
        <v>56</v>
      </c>
      <c r="AC41">
        <v>1</v>
      </c>
      <c r="AD41" t="s">
        <v>1627</v>
      </c>
      <c r="AE41" t="s">
        <v>3887</v>
      </c>
      <c r="AF41">
        <v>0</v>
      </c>
      <c r="AG41" t="s">
        <v>66</v>
      </c>
      <c r="AH41" t="s">
        <v>56</v>
      </c>
      <c r="AI41">
        <v>1</v>
      </c>
      <c r="AJ41" t="s">
        <v>1627</v>
      </c>
      <c r="AK41" t="s">
        <v>56</v>
      </c>
      <c r="AL41" t="s">
        <v>56</v>
      </c>
      <c r="AM41" t="s">
        <v>56</v>
      </c>
      <c r="AN41" t="s">
        <v>56</v>
      </c>
      <c r="AO41" t="s">
        <v>4046</v>
      </c>
      <c r="AP41" t="s">
        <v>3889</v>
      </c>
      <c r="AQ41" t="s">
        <v>3890</v>
      </c>
      <c r="AR41" t="s">
        <v>3926</v>
      </c>
      <c r="AS41" t="s">
        <v>3927</v>
      </c>
      <c r="AT41" t="s">
        <v>4047</v>
      </c>
      <c r="AU41" t="s">
        <v>3894</v>
      </c>
      <c r="AV41" t="s">
        <v>3895</v>
      </c>
      <c r="AW41" t="s">
        <v>3896</v>
      </c>
      <c r="AX41">
        <v>12</v>
      </c>
      <c r="AY41">
        <v>2</v>
      </c>
      <c r="AZ41" t="s">
        <v>3897</v>
      </c>
      <c r="BA41">
        <v>10</v>
      </c>
      <c r="BB41" t="s">
        <v>3898</v>
      </c>
      <c r="BC41">
        <v>2</v>
      </c>
      <c r="BD41">
        <v>5</v>
      </c>
      <c r="BE41" t="s">
        <v>3899</v>
      </c>
      <c r="BF41">
        <v>2</v>
      </c>
      <c r="BG41">
        <v>13</v>
      </c>
      <c r="BH41" t="s">
        <v>3900</v>
      </c>
      <c r="BI41" t="s">
        <v>4048</v>
      </c>
      <c r="BJ41">
        <v>1</v>
      </c>
      <c r="BK41" t="s">
        <v>3902</v>
      </c>
    </row>
    <row r="42" spans="1:63" x14ac:dyDescent="0.25">
      <c r="A42">
        <v>1084</v>
      </c>
      <c r="B42" t="str">
        <f>"20200124125017016964"</f>
        <v>20200124125017016964</v>
      </c>
      <c r="C42">
        <v>1</v>
      </c>
      <c r="D42">
        <v>1</v>
      </c>
      <c r="E42" t="s">
        <v>3886</v>
      </c>
      <c r="F42">
        <v>2</v>
      </c>
      <c r="G42">
        <v>0</v>
      </c>
      <c r="H42" t="s">
        <v>66</v>
      </c>
      <c r="I42">
        <v>0</v>
      </c>
      <c r="J42" t="s">
        <v>66</v>
      </c>
      <c r="K42">
        <v>0</v>
      </c>
      <c r="L42" t="s">
        <v>66</v>
      </c>
      <c r="M42" t="s">
        <v>56</v>
      </c>
      <c r="N42">
        <v>0</v>
      </c>
      <c r="O42" t="s">
        <v>66</v>
      </c>
      <c r="P42" t="s">
        <v>56</v>
      </c>
      <c r="Q42">
        <v>0</v>
      </c>
      <c r="R42" t="s">
        <v>66</v>
      </c>
      <c r="S42" t="s">
        <v>56</v>
      </c>
      <c r="T42">
        <v>1</v>
      </c>
      <c r="U42" t="s">
        <v>1627</v>
      </c>
      <c r="V42" t="s">
        <v>56</v>
      </c>
      <c r="W42">
        <v>0</v>
      </c>
      <c r="X42" t="s">
        <v>66</v>
      </c>
      <c r="Y42" t="s">
        <v>56</v>
      </c>
      <c r="Z42">
        <v>0</v>
      </c>
      <c r="AA42" t="s">
        <v>66</v>
      </c>
      <c r="AB42" t="s">
        <v>56</v>
      </c>
      <c r="AC42">
        <v>1</v>
      </c>
      <c r="AD42" t="s">
        <v>1627</v>
      </c>
      <c r="AE42" t="s">
        <v>4049</v>
      </c>
      <c r="AF42">
        <v>0</v>
      </c>
      <c r="AG42" t="s">
        <v>66</v>
      </c>
      <c r="AH42" t="s">
        <v>56</v>
      </c>
      <c r="AI42">
        <v>1</v>
      </c>
      <c r="AJ42" t="s">
        <v>1627</v>
      </c>
      <c r="AK42" t="s">
        <v>56</v>
      </c>
      <c r="AL42" t="s">
        <v>56</v>
      </c>
      <c r="AM42" t="s">
        <v>56</v>
      </c>
      <c r="AN42" t="s">
        <v>56</v>
      </c>
      <c r="AO42" t="s">
        <v>4050</v>
      </c>
      <c r="AP42" t="s">
        <v>3962</v>
      </c>
      <c r="AQ42" t="s">
        <v>3963</v>
      </c>
      <c r="AR42" t="s">
        <v>3941</v>
      </c>
      <c r="AS42" t="s">
        <v>3942</v>
      </c>
      <c r="AT42" t="s">
        <v>4051</v>
      </c>
      <c r="AU42">
        <v>9000</v>
      </c>
      <c r="AV42" t="s">
        <v>3956</v>
      </c>
      <c r="AW42" t="s">
        <v>3956</v>
      </c>
      <c r="AX42">
        <v>12</v>
      </c>
      <c r="AY42">
        <v>2</v>
      </c>
      <c r="AZ42" t="s">
        <v>3897</v>
      </c>
      <c r="BA42">
        <v>10</v>
      </c>
      <c r="BB42" t="s">
        <v>3898</v>
      </c>
      <c r="BC42">
        <v>90</v>
      </c>
      <c r="BD42">
        <v>3</v>
      </c>
      <c r="BE42" t="s">
        <v>3911</v>
      </c>
      <c r="BF42">
        <v>180</v>
      </c>
      <c r="BG42">
        <v>66</v>
      </c>
      <c r="BH42" t="s">
        <v>3965</v>
      </c>
      <c r="BI42" t="s">
        <v>4052</v>
      </c>
      <c r="BJ42">
        <v>1</v>
      </c>
      <c r="BK42" t="s">
        <v>3902</v>
      </c>
    </row>
    <row r="43" spans="1:63" x14ac:dyDescent="0.25">
      <c r="A43">
        <v>1085</v>
      </c>
      <c r="B43" t="str">
        <f>"20200124196017017174"</f>
        <v>20200124196017017174</v>
      </c>
      <c r="C43">
        <v>1</v>
      </c>
      <c r="D43">
        <v>1</v>
      </c>
      <c r="E43" t="s">
        <v>3886</v>
      </c>
      <c r="F43">
        <v>2</v>
      </c>
      <c r="G43">
        <v>0</v>
      </c>
      <c r="H43" t="s">
        <v>66</v>
      </c>
      <c r="I43">
        <v>0</v>
      </c>
      <c r="J43" t="s">
        <v>66</v>
      </c>
      <c r="K43">
        <v>1</v>
      </c>
      <c r="L43" t="s">
        <v>1627</v>
      </c>
      <c r="M43" t="s">
        <v>4019</v>
      </c>
      <c r="N43">
        <v>1</v>
      </c>
      <c r="O43" t="s">
        <v>1627</v>
      </c>
      <c r="P43" t="s">
        <v>4053</v>
      </c>
      <c r="Q43">
        <v>0</v>
      </c>
      <c r="R43" t="s">
        <v>66</v>
      </c>
      <c r="S43" t="s">
        <v>56</v>
      </c>
      <c r="T43" t="s">
        <v>56</v>
      </c>
      <c r="U43" t="s">
        <v>56</v>
      </c>
      <c r="V43" t="s">
        <v>56</v>
      </c>
      <c r="W43">
        <v>0</v>
      </c>
      <c r="X43" t="s">
        <v>66</v>
      </c>
      <c r="Y43" t="s">
        <v>56</v>
      </c>
      <c r="Z43">
        <v>0</v>
      </c>
      <c r="AA43" t="s">
        <v>66</v>
      </c>
      <c r="AB43" t="s">
        <v>56</v>
      </c>
      <c r="AC43">
        <v>0</v>
      </c>
      <c r="AD43" t="s">
        <v>66</v>
      </c>
      <c r="AE43" t="s">
        <v>56</v>
      </c>
      <c r="AF43">
        <v>0</v>
      </c>
      <c r="AG43" t="s">
        <v>66</v>
      </c>
      <c r="AH43" t="s">
        <v>56</v>
      </c>
      <c r="AI43">
        <v>1</v>
      </c>
      <c r="AJ43" t="s">
        <v>1627</v>
      </c>
      <c r="AK43" t="s">
        <v>56</v>
      </c>
      <c r="AL43" t="s">
        <v>56</v>
      </c>
      <c r="AM43" t="s">
        <v>56</v>
      </c>
      <c r="AN43" t="s">
        <v>56</v>
      </c>
      <c r="AO43" t="s">
        <v>4021</v>
      </c>
      <c r="AP43" t="s">
        <v>3962</v>
      </c>
      <c r="AQ43" t="s">
        <v>3963</v>
      </c>
      <c r="AR43" t="s">
        <v>3941</v>
      </c>
      <c r="AS43" t="s">
        <v>3942</v>
      </c>
      <c r="AT43" t="s">
        <v>4054</v>
      </c>
      <c r="AU43" t="s">
        <v>3944</v>
      </c>
      <c r="AV43" t="s">
        <v>3945</v>
      </c>
      <c r="AW43" t="s">
        <v>3946</v>
      </c>
      <c r="AX43">
        <v>7</v>
      </c>
      <c r="AY43">
        <v>3</v>
      </c>
      <c r="AZ43" t="s">
        <v>3911</v>
      </c>
      <c r="BA43">
        <v>10</v>
      </c>
      <c r="BB43" t="s">
        <v>3898</v>
      </c>
      <c r="BC43">
        <v>90</v>
      </c>
      <c r="BD43">
        <v>3</v>
      </c>
      <c r="BE43" t="s">
        <v>3911</v>
      </c>
      <c r="BF43">
        <v>12</v>
      </c>
      <c r="BG43">
        <v>66</v>
      </c>
      <c r="BH43" t="s">
        <v>3965</v>
      </c>
      <c r="BI43" t="s">
        <v>4055</v>
      </c>
      <c r="BJ43">
        <v>1</v>
      </c>
      <c r="BK43" t="s">
        <v>3902</v>
      </c>
    </row>
    <row r="44" spans="1:63" x14ac:dyDescent="0.25">
      <c r="A44">
        <v>1086</v>
      </c>
      <c r="B44" t="str">
        <f>"20200124110017017356"</f>
        <v>20200124110017017356</v>
      </c>
      <c r="C44">
        <v>1</v>
      </c>
      <c r="D44">
        <v>1</v>
      </c>
      <c r="E44" t="s">
        <v>3886</v>
      </c>
      <c r="F44">
        <v>1</v>
      </c>
      <c r="G44">
        <v>0</v>
      </c>
      <c r="H44" t="s">
        <v>66</v>
      </c>
      <c r="I44">
        <v>0</v>
      </c>
      <c r="J44" t="s">
        <v>66</v>
      </c>
      <c r="K44">
        <v>1</v>
      </c>
      <c r="L44" t="s">
        <v>1627</v>
      </c>
      <c r="M44" t="s">
        <v>3915</v>
      </c>
      <c r="N44">
        <v>1</v>
      </c>
      <c r="O44" t="s">
        <v>1627</v>
      </c>
      <c r="P44" t="s">
        <v>4056</v>
      </c>
      <c r="Q44">
        <v>0</v>
      </c>
      <c r="R44" t="s">
        <v>66</v>
      </c>
      <c r="S44" t="s">
        <v>56</v>
      </c>
      <c r="T44" t="s">
        <v>56</v>
      </c>
      <c r="U44" t="s">
        <v>56</v>
      </c>
      <c r="V44" t="s">
        <v>56</v>
      </c>
      <c r="W44">
        <v>0</v>
      </c>
      <c r="X44" t="s">
        <v>66</v>
      </c>
      <c r="Y44" t="s">
        <v>56</v>
      </c>
      <c r="Z44">
        <v>0</v>
      </c>
      <c r="AA44" t="s">
        <v>66</v>
      </c>
      <c r="AB44" t="s">
        <v>56</v>
      </c>
      <c r="AC44">
        <v>0</v>
      </c>
      <c r="AD44" t="s">
        <v>66</v>
      </c>
      <c r="AE44" t="s">
        <v>56</v>
      </c>
      <c r="AF44">
        <v>0</v>
      </c>
      <c r="AG44" t="s">
        <v>66</v>
      </c>
      <c r="AH44" t="s">
        <v>56</v>
      </c>
      <c r="AI44">
        <v>1</v>
      </c>
      <c r="AJ44" t="s">
        <v>1627</v>
      </c>
      <c r="AK44" t="s">
        <v>56</v>
      </c>
      <c r="AL44" t="s">
        <v>56</v>
      </c>
      <c r="AM44" t="s">
        <v>56</v>
      </c>
      <c r="AN44" t="s">
        <v>56</v>
      </c>
      <c r="AO44" t="s">
        <v>4057</v>
      </c>
      <c r="AP44" t="s">
        <v>4058</v>
      </c>
      <c r="AQ44" t="s">
        <v>4059</v>
      </c>
      <c r="AR44">
        <v>503</v>
      </c>
      <c r="AS44" t="s">
        <v>4060</v>
      </c>
      <c r="AT44" t="s">
        <v>4061</v>
      </c>
      <c r="AU44">
        <v>9000</v>
      </c>
      <c r="AV44" t="s">
        <v>3956</v>
      </c>
      <c r="AW44" t="s">
        <v>3956</v>
      </c>
      <c r="AX44">
        <v>12</v>
      </c>
      <c r="AY44">
        <v>2</v>
      </c>
      <c r="AZ44" t="s">
        <v>3897</v>
      </c>
      <c r="BA44">
        <v>10</v>
      </c>
      <c r="BB44" t="s">
        <v>3898</v>
      </c>
      <c r="BC44">
        <v>1</v>
      </c>
      <c r="BD44">
        <v>5</v>
      </c>
      <c r="BE44" t="s">
        <v>3899</v>
      </c>
      <c r="BF44">
        <v>1</v>
      </c>
      <c r="BG44">
        <v>37</v>
      </c>
      <c r="BH44" t="s">
        <v>4007</v>
      </c>
      <c r="BI44" t="s">
        <v>4062</v>
      </c>
      <c r="BJ44">
        <v>1</v>
      </c>
      <c r="BK44" t="s">
        <v>3902</v>
      </c>
    </row>
    <row r="45" spans="1:63" x14ac:dyDescent="0.25">
      <c r="A45">
        <v>1087</v>
      </c>
      <c r="B45" t="str">
        <f>"20200124174017017395"</f>
        <v>20200124174017017395</v>
      </c>
      <c r="C45">
        <v>1</v>
      </c>
      <c r="D45">
        <v>1</v>
      </c>
      <c r="E45" t="s">
        <v>3886</v>
      </c>
      <c r="F45">
        <v>2</v>
      </c>
      <c r="G45">
        <v>0</v>
      </c>
      <c r="H45" t="s">
        <v>66</v>
      </c>
      <c r="I45">
        <v>0</v>
      </c>
      <c r="J45" t="s">
        <v>66</v>
      </c>
      <c r="K45">
        <v>1</v>
      </c>
      <c r="L45" t="s">
        <v>1627</v>
      </c>
      <c r="M45" t="s">
        <v>4063</v>
      </c>
      <c r="N45">
        <v>1</v>
      </c>
      <c r="O45" t="s">
        <v>1627</v>
      </c>
      <c r="P45" t="s">
        <v>4064</v>
      </c>
      <c r="Q45">
        <v>0</v>
      </c>
      <c r="R45" t="s">
        <v>66</v>
      </c>
      <c r="S45" t="s">
        <v>56</v>
      </c>
      <c r="T45" t="s">
        <v>56</v>
      </c>
      <c r="U45" t="s">
        <v>56</v>
      </c>
      <c r="V45" t="s">
        <v>56</v>
      </c>
      <c r="W45">
        <v>0</v>
      </c>
      <c r="X45" t="s">
        <v>66</v>
      </c>
      <c r="Y45" t="s">
        <v>56</v>
      </c>
      <c r="Z45">
        <v>0</v>
      </c>
      <c r="AA45" t="s">
        <v>66</v>
      </c>
      <c r="AB45" t="s">
        <v>56</v>
      </c>
      <c r="AC45">
        <v>0</v>
      </c>
      <c r="AD45" t="s">
        <v>66</v>
      </c>
      <c r="AE45" t="s">
        <v>56</v>
      </c>
      <c r="AF45">
        <v>0</v>
      </c>
      <c r="AG45" t="s">
        <v>66</v>
      </c>
      <c r="AH45" t="s">
        <v>56</v>
      </c>
      <c r="AI45">
        <v>1</v>
      </c>
      <c r="AJ45" t="s">
        <v>1627</v>
      </c>
      <c r="AK45" t="s">
        <v>56</v>
      </c>
      <c r="AL45" t="s">
        <v>56</v>
      </c>
      <c r="AM45" t="s">
        <v>56</v>
      </c>
      <c r="AN45" t="s">
        <v>56</v>
      </c>
      <c r="AO45" t="s">
        <v>3967</v>
      </c>
      <c r="AP45" t="s">
        <v>3962</v>
      </c>
      <c r="AQ45" t="s">
        <v>3963</v>
      </c>
      <c r="AR45" t="s">
        <v>3941</v>
      </c>
      <c r="AS45" t="s">
        <v>3942</v>
      </c>
      <c r="AT45" t="s">
        <v>4065</v>
      </c>
      <c r="AU45" t="s">
        <v>3944</v>
      </c>
      <c r="AV45" t="s">
        <v>3945</v>
      </c>
      <c r="AW45" t="s">
        <v>3946</v>
      </c>
      <c r="AX45">
        <v>12</v>
      </c>
      <c r="AY45">
        <v>2</v>
      </c>
      <c r="AZ45" t="s">
        <v>3897</v>
      </c>
      <c r="BA45">
        <v>10</v>
      </c>
      <c r="BB45" t="s">
        <v>3898</v>
      </c>
      <c r="BC45">
        <v>90</v>
      </c>
      <c r="BD45">
        <v>3</v>
      </c>
      <c r="BE45" t="s">
        <v>3911</v>
      </c>
      <c r="BF45">
        <v>180</v>
      </c>
      <c r="BG45">
        <v>66</v>
      </c>
      <c r="BH45" t="s">
        <v>3965</v>
      </c>
      <c r="BI45" t="s">
        <v>4066</v>
      </c>
      <c r="BJ45">
        <v>1</v>
      </c>
      <c r="BK45" t="s">
        <v>3902</v>
      </c>
    </row>
    <row r="46" spans="1:63" x14ac:dyDescent="0.25">
      <c r="A46">
        <v>1088</v>
      </c>
      <c r="B46" t="str">
        <f>"20200124178017018380"</f>
        <v>20200124178017018380</v>
      </c>
      <c r="C46">
        <v>1</v>
      </c>
      <c r="D46">
        <v>1</v>
      </c>
      <c r="E46" t="s">
        <v>3886</v>
      </c>
      <c r="F46">
        <v>2</v>
      </c>
      <c r="G46">
        <v>0</v>
      </c>
      <c r="H46" t="s">
        <v>66</v>
      </c>
      <c r="I46">
        <v>0</v>
      </c>
      <c r="J46" t="s">
        <v>66</v>
      </c>
      <c r="K46">
        <v>0</v>
      </c>
      <c r="L46" t="s">
        <v>66</v>
      </c>
      <c r="M46" t="s">
        <v>56</v>
      </c>
      <c r="N46">
        <v>0</v>
      </c>
      <c r="O46" t="s">
        <v>66</v>
      </c>
      <c r="P46" t="s">
        <v>56</v>
      </c>
      <c r="Q46">
        <v>0</v>
      </c>
      <c r="R46" t="s">
        <v>66</v>
      </c>
      <c r="S46" t="s">
        <v>56</v>
      </c>
      <c r="T46">
        <v>1</v>
      </c>
      <c r="U46" t="s">
        <v>1627</v>
      </c>
      <c r="V46" t="s">
        <v>56</v>
      </c>
      <c r="W46">
        <v>0</v>
      </c>
      <c r="X46" t="s">
        <v>66</v>
      </c>
      <c r="Y46" t="s">
        <v>56</v>
      </c>
      <c r="Z46">
        <v>0</v>
      </c>
      <c r="AA46" t="s">
        <v>66</v>
      </c>
      <c r="AB46" t="s">
        <v>56</v>
      </c>
      <c r="AC46">
        <v>1</v>
      </c>
      <c r="AD46" t="s">
        <v>1627</v>
      </c>
      <c r="AE46" t="s">
        <v>4067</v>
      </c>
      <c r="AF46">
        <v>0</v>
      </c>
      <c r="AG46" t="s">
        <v>66</v>
      </c>
      <c r="AH46" t="s">
        <v>56</v>
      </c>
      <c r="AI46">
        <v>1</v>
      </c>
      <c r="AJ46" t="s">
        <v>1627</v>
      </c>
      <c r="AK46" t="s">
        <v>56</v>
      </c>
      <c r="AL46" t="s">
        <v>56</v>
      </c>
      <c r="AM46" t="s">
        <v>56</v>
      </c>
      <c r="AN46" t="s">
        <v>56</v>
      </c>
      <c r="AO46" t="s">
        <v>4068</v>
      </c>
      <c r="AP46" t="s">
        <v>4069</v>
      </c>
      <c r="AQ46" t="s">
        <v>4070</v>
      </c>
      <c r="AR46" t="s">
        <v>4071</v>
      </c>
      <c r="AS46" t="s">
        <v>4072</v>
      </c>
      <c r="AT46" t="s">
        <v>4073</v>
      </c>
      <c r="AU46" t="s">
        <v>4026</v>
      </c>
      <c r="AV46" t="s">
        <v>4027</v>
      </c>
      <c r="AW46" t="s">
        <v>4028</v>
      </c>
      <c r="AX46">
        <v>1</v>
      </c>
      <c r="AY46">
        <v>5</v>
      </c>
      <c r="AZ46" t="s">
        <v>3899</v>
      </c>
      <c r="BA46">
        <v>10</v>
      </c>
      <c r="BB46" t="s">
        <v>3898</v>
      </c>
      <c r="BC46">
        <v>3</v>
      </c>
      <c r="BD46">
        <v>5</v>
      </c>
      <c r="BE46" t="s">
        <v>3899</v>
      </c>
      <c r="BF46">
        <v>3</v>
      </c>
      <c r="BG46">
        <v>13</v>
      </c>
      <c r="BH46" t="s">
        <v>3900</v>
      </c>
      <c r="BI46" t="s">
        <v>4074</v>
      </c>
      <c r="BJ46">
        <v>1</v>
      </c>
      <c r="BK46" t="s">
        <v>3902</v>
      </c>
    </row>
    <row r="47" spans="1:63" x14ac:dyDescent="0.25">
      <c r="A47">
        <v>1089</v>
      </c>
      <c r="B47" t="str">
        <f>"20200124177017018879"</f>
        <v>20200124177017018879</v>
      </c>
      <c r="C47">
        <v>1</v>
      </c>
      <c r="D47">
        <v>1</v>
      </c>
      <c r="E47" t="s">
        <v>3886</v>
      </c>
      <c r="F47">
        <v>2</v>
      </c>
      <c r="G47">
        <v>0</v>
      </c>
      <c r="H47" t="s">
        <v>66</v>
      </c>
      <c r="I47">
        <v>0</v>
      </c>
      <c r="J47" t="s">
        <v>66</v>
      </c>
      <c r="K47">
        <v>1</v>
      </c>
      <c r="L47" t="s">
        <v>1627</v>
      </c>
      <c r="M47" t="s">
        <v>3976</v>
      </c>
      <c r="N47">
        <v>1</v>
      </c>
      <c r="O47" t="s">
        <v>1627</v>
      </c>
      <c r="P47" t="s">
        <v>4075</v>
      </c>
      <c r="Q47">
        <v>0</v>
      </c>
      <c r="R47" t="s">
        <v>66</v>
      </c>
      <c r="S47" t="s">
        <v>56</v>
      </c>
      <c r="T47" t="s">
        <v>56</v>
      </c>
      <c r="U47" t="s">
        <v>56</v>
      </c>
      <c r="V47" t="s">
        <v>56</v>
      </c>
      <c r="W47">
        <v>0</v>
      </c>
      <c r="X47" t="s">
        <v>66</v>
      </c>
      <c r="Y47" t="s">
        <v>56</v>
      </c>
      <c r="Z47">
        <v>0</v>
      </c>
      <c r="AA47" t="s">
        <v>66</v>
      </c>
      <c r="AB47" t="s">
        <v>56</v>
      </c>
      <c r="AC47">
        <v>0</v>
      </c>
      <c r="AD47" t="s">
        <v>66</v>
      </c>
      <c r="AE47" t="s">
        <v>56</v>
      </c>
      <c r="AF47">
        <v>0</v>
      </c>
      <c r="AG47" t="s">
        <v>66</v>
      </c>
      <c r="AH47" t="s">
        <v>56</v>
      </c>
      <c r="AI47">
        <v>1</v>
      </c>
      <c r="AJ47" t="s">
        <v>1627</v>
      </c>
      <c r="AK47" t="s">
        <v>56</v>
      </c>
      <c r="AL47" t="s">
        <v>56</v>
      </c>
      <c r="AM47" t="s">
        <v>56</v>
      </c>
      <c r="AN47" t="s">
        <v>56</v>
      </c>
      <c r="AO47" t="s">
        <v>4076</v>
      </c>
      <c r="AP47" t="s">
        <v>4077</v>
      </c>
      <c r="AQ47" t="s">
        <v>4078</v>
      </c>
      <c r="AR47" t="s">
        <v>3941</v>
      </c>
      <c r="AS47" t="s">
        <v>3942</v>
      </c>
      <c r="AT47" t="s">
        <v>4079</v>
      </c>
      <c r="AU47">
        <v>9000</v>
      </c>
      <c r="AV47" t="s">
        <v>3956</v>
      </c>
      <c r="AW47" t="s">
        <v>3956</v>
      </c>
      <c r="AX47">
        <v>12</v>
      </c>
      <c r="AY47">
        <v>2</v>
      </c>
      <c r="AZ47" t="s">
        <v>3897</v>
      </c>
      <c r="BA47">
        <v>10</v>
      </c>
      <c r="BB47" t="s">
        <v>3898</v>
      </c>
      <c r="BC47">
        <v>180</v>
      </c>
      <c r="BD47">
        <v>3</v>
      </c>
      <c r="BE47" t="s">
        <v>3911</v>
      </c>
      <c r="BF47">
        <v>360</v>
      </c>
      <c r="BG47">
        <v>66</v>
      </c>
      <c r="BH47" t="s">
        <v>3965</v>
      </c>
      <c r="BI47" t="s">
        <v>4080</v>
      </c>
      <c r="BJ47">
        <v>1</v>
      </c>
      <c r="BK47" t="s">
        <v>3902</v>
      </c>
    </row>
    <row r="48" spans="1:63" x14ac:dyDescent="0.25">
      <c r="A48">
        <v>1090</v>
      </c>
      <c r="B48" t="str">
        <f>"20200124112017019198"</f>
        <v>20200124112017019198</v>
      </c>
      <c r="C48">
        <v>1</v>
      </c>
      <c r="D48">
        <v>1</v>
      </c>
      <c r="E48" t="s">
        <v>3886</v>
      </c>
      <c r="F48">
        <v>2</v>
      </c>
      <c r="G48">
        <v>0</v>
      </c>
      <c r="H48" t="s">
        <v>66</v>
      </c>
      <c r="I48">
        <v>0</v>
      </c>
      <c r="J48" t="s">
        <v>66</v>
      </c>
      <c r="K48">
        <v>0</v>
      </c>
      <c r="L48" t="s">
        <v>66</v>
      </c>
      <c r="M48" t="s">
        <v>56</v>
      </c>
      <c r="N48">
        <v>0</v>
      </c>
      <c r="O48" t="s">
        <v>66</v>
      </c>
      <c r="P48" t="s">
        <v>56</v>
      </c>
      <c r="Q48">
        <v>0</v>
      </c>
      <c r="R48" t="s">
        <v>66</v>
      </c>
      <c r="S48" t="s">
        <v>56</v>
      </c>
      <c r="T48">
        <v>1</v>
      </c>
      <c r="U48" t="s">
        <v>1627</v>
      </c>
      <c r="V48" t="s">
        <v>56</v>
      </c>
      <c r="W48">
        <v>0</v>
      </c>
      <c r="X48" t="s">
        <v>66</v>
      </c>
      <c r="Y48" t="s">
        <v>56</v>
      </c>
      <c r="Z48">
        <v>0</v>
      </c>
      <c r="AA48" t="s">
        <v>66</v>
      </c>
      <c r="AB48" t="s">
        <v>56</v>
      </c>
      <c r="AC48">
        <v>1</v>
      </c>
      <c r="AD48" t="s">
        <v>1627</v>
      </c>
      <c r="AE48" t="s">
        <v>3887</v>
      </c>
      <c r="AF48">
        <v>0</v>
      </c>
      <c r="AG48" t="s">
        <v>66</v>
      </c>
      <c r="AH48" t="s">
        <v>56</v>
      </c>
      <c r="AI48">
        <v>1</v>
      </c>
      <c r="AJ48" t="s">
        <v>1627</v>
      </c>
      <c r="AK48">
        <v>0</v>
      </c>
      <c r="AL48" t="s">
        <v>66</v>
      </c>
      <c r="AM48" t="s">
        <v>56</v>
      </c>
      <c r="AN48" t="s">
        <v>56</v>
      </c>
      <c r="AO48" t="s">
        <v>4081</v>
      </c>
      <c r="AP48" t="s">
        <v>3939</v>
      </c>
      <c r="AQ48" t="s">
        <v>3940</v>
      </c>
      <c r="AR48" t="s">
        <v>3941</v>
      </c>
      <c r="AS48" t="s">
        <v>3942</v>
      </c>
      <c r="AT48" t="s">
        <v>4082</v>
      </c>
      <c r="AU48" t="s">
        <v>3944</v>
      </c>
      <c r="AV48" t="s">
        <v>3945</v>
      </c>
      <c r="AW48" t="s">
        <v>3946</v>
      </c>
      <c r="AX48">
        <v>24</v>
      </c>
      <c r="AY48">
        <v>2</v>
      </c>
      <c r="AZ48" t="s">
        <v>3897</v>
      </c>
      <c r="BA48">
        <v>10</v>
      </c>
      <c r="BB48" t="s">
        <v>3898</v>
      </c>
      <c r="BC48">
        <v>90</v>
      </c>
      <c r="BD48">
        <v>3</v>
      </c>
      <c r="BE48" t="s">
        <v>3911</v>
      </c>
      <c r="BF48">
        <v>15</v>
      </c>
      <c r="BG48">
        <v>74</v>
      </c>
      <c r="BH48" t="s">
        <v>3923</v>
      </c>
      <c r="BI48" t="s">
        <v>4083</v>
      </c>
      <c r="BJ48">
        <v>1</v>
      </c>
      <c r="BK48" t="s">
        <v>3902</v>
      </c>
    </row>
    <row r="49" spans="1:63" x14ac:dyDescent="0.25">
      <c r="A49">
        <v>1091</v>
      </c>
      <c r="B49" t="str">
        <f>"20200124112017019198"</f>
        <v>20200124112017019198</v>
      </c>
      <c r="C49">
        <v>2</v>
      </c>
      <c r="D49">
        <v>1</v>
      </c>
      <c r="E49" t="s">
        <v>3886</v>
      </c>
      <c r="F49">
        <v>2</v>
      </c>
      <c r="G49">
        <v>0</v>
      </c>
      <c r="H49" t="s">
        <v>66</v>
      </c>
      <c r="I49">
        <v>0</v>
      </c>
      <c r="J49" t="s">
        <v>66</v>
      </c>
      <c r="K49">
        <v>0</v>
      </c>
      <c r="L49" t="s">
        <v>66</v>
      </c>
      <c r="M49" t="s">
        <v>56</v>
      </c>
      <c r="N49">
        <v>0</v>
      </c>
      <c r="O49" t="s">
        <v>66</v>
      </c>
      <c r="P49" t="s">
        <v>56</v>
      </c>
      <c r="Q49">
        <v>0</v>
      </c>
      <c r="R49" t="s">
        <v>66</v>
      </c>
      <c r="S49" t="s">
        <v>56</v>
      </c>
      <c r="T49">
        <v>1</v>
      </c>
      <c r="U49" t="s">
        <v>1627</v>
      </c>
      <c r="V49" t="s">
        <v>56</v>
      </c>
      <c r="W49">
        <v>0</v>
      </c>
      <c r="X49" t="s">
        <v>66</v>
      </c>
      <c r="Y49" t="s">
        <v>56</v>
      </c>
      <c r="Z49">
        <v>0</v>
      </c>
      <c r="AA49" t="s">
        <v>66</v>
      </c>
      <c r="AB49" t="s">
        <v>56</v>
      </c>
      <c r="AC49">
        <v>1</v>
      </c>
      <c r="AD49" t="s">
        <v>1627</v>
      </c>
      <c r="AE49" t="s">
        <v>3887</v>
      </c>
      <c r="AF49">
        <v>0</v>
      </c>
      <c r="AG49" t="s">
        <v>66</v>
      </c>
      <c r="AH49" t="s">
        <v>56</v>
      </c>
      <c r="AI49">
        <v>1</v>
      </c>
      <c r="AJ49" t="s">
        <v>1627</v>
      </c>
      <c r="AK49">
        <v>0</v>
      </c>
      <c r="AL49" t="s">
        <v>66</v>
      </c>
      <c r="AM49" t="s">
        <v>56</v>
      </c>
      <c r="AN49" t="s">
        <v>56</v>
      </c>
      <c r="AO49" t="s">
        <v>4084</v>
      </c>
      <c r="AP49" t="s">
        <v>3939</v>
      </c>
      <c r="AQ49" t="s">
        <v>3940</v>
      </c>
      <c r="AR49" t="s">
        <v>3941</v>
      </c>
      <c r="AS49" t="s">
        <v>3942</v>
      </c>
      <c r="AT49" t="s">
        <v>4082</v>
      </c>
      <c r="AU49" t="s">
        <v>3944</v>
      </c>
      <c r="AV49" t="s">
        <v>3945</v>
      </c>
      <c r="AW49" t="s">
        <v>3946</v>
      </c>
      <c r="AX49">
        <v>12</v>
      </c>
      <c r="AY49">
        <v>2</v>
      </c>
      <c r="AZ49" t="s">
        <v>3897</v>
      </c>
      <c r="BA49">
        <v>10</v>
      </c>
      <c r="BB49" t="s">
        <v>3898</v>
      </c>
      <c r="BC49">
        <v>90</v>
      </c>
      <c r="BD49">
        <v>3</v>
      </c>
      <c r="BE49" t="s">
        <v>3911</v>
      </c>
      <c r="BF49">
        <v>30</v>
      </c>
      <c r="BG49">
        <v>74</v>
      </c>
      <c r="BH49" t="s">
        <v>3923</v>
      </c>
      <c r="BI49" t="s">
        <v>4085</v>
      </c>
      <c r="BJ49">
        <v>1</v>
      </c>
      <c r="BK49" t="s">
        <v>3902</v>
      </c>
    </row>
    <row r="50" spans="1:63" x14ac:dyDescent="0.25">
      <c r="A50">
        <v>1092</v>
      </c>
      <c r="B50" t="str">
        <f>"20200124163017019470"</f>
        <v>20200124163017019470</v>
      </c>
      <c r="C50">
        <v>1</v>
      </c>
      <c r="D50">
        <v>1</v>
      </c>
      <c r="E50" t="s">
        <v>3886</v>
      </c>
      <c r="F50">
        <v>2</v>
      </c>
      <c r="G50">
        <v>0</v>
      </c>
      <c r="H50" t="s">
        <v>66</v>
      </c>
      <c r="I50">
        <v>0</v>
      </c>
      <c r="J50" t="s">
        <v>66</v>
      </c>
      <c r="K50">
        <v>0</v>
      </c>
      <c r="L50" t="s">
        <v>66</v>
      </c>
      <c r="M50" t="s">
        <v>56</v>
      </c>
      <c r="N50">
        <v>0</v>
      </c>
      <c r="O50" t="s">
        <v>66</v>
      </c>
      <c r="P50" t="s">
        <v>56</v>
      </c>
      <c r="Q50">
        <v>0</v>
      </c>
      <c r="R50" t="s">
        <v>66</v>
      </c>
      <c r="S50" t="s">
        <v>56</v>
      </c>
      <c r="T50">
        <v>1</v>
      </c>
      <c r="U50" t="s">
        <v>1627</v>
      </c>
      <c r="V50" t="s">
        <v>56</v>
      </c>
      <c r="W50">
        <v>0</v>
      </c>
      <c r="X50" t="s">
        <v>66</v>
      </c>
      <c r="Y50" t="s">
        <v>56</v>
      </c>
      <c r="Z50">
        <v>0</v>
      </c>
      <c r="AA50" t="s">
        <v>66</v>
      </c>
      <c r="AB50" t="s">
        <v>56</v>
      </c>
      <c r="AC50">
        <v>1</v>
      </c>
      <c r="AD50" t="s">
        <v>1627</v>
      </c>
      <c r="AE50" t="s">
        <v>3887</v>
      </c>
      <c r="AF50">
        <v>0</v>
      </c>
      <c r="AG50" t="s">
        <v>66</v>
      </c>
      <c r="AH50" t="s">
        <v>56</v>
      </c>
      <c r="AI50">
        <v>1</v>
      </c>
      <c r="AJ50" t="s">
        <v>1627</v>
      </c>
      <c r="AK50" t="s">
        <v>56</v>
      </c>
      <c r="AL50" t="s">
        <v>56</v>
      </c>
      <c r="AM50" t="s">
        <v>56</v>
      </c>
      <c r="AN50" t="s">
        <v>56</v>
      </c>
      <c r="AO50" t="s">
        <v>4086</v>
      </c>
      <c r="AP50" t="s">
        <v>3939</v>
      </c>
      <c r="AQ50" t="s">
        <v>3940</v>
      </c>
      <c r="AR50" t="s">
        <v>3920</v>
      </c>
      <c r="AS50" t="s">
        <v>3921</v>
      </c>
      <c r="AT50" t="s">
        <v>4087</v>
      </c>
      <c r="AU50">
        <v>9000</v>
      </c>
      <c r="AV50" t="s">
        <v>3956</v>
      </c>
      <c r="AW50" t="s">
        <v>3956</v>
      </c>
      <c r="AX50">
        <v>24</v>
      </c>
      <c r="AY50">
        <v>2</v>
      </c>
      <c r="AZ50" t="s">
        <v>3897</v>
      </c>
      <c r="BA50">
        <v>10</v>
      </c>
      <c r="BB50" t="s">
        <v>3898</v>
      </c>
      <c r="BC50">
        <v>3</v>
      </c>
      <c r="BD50">
        <v>5</v>
      </c>
      <c r="BE50" t="s">
        <v>3899</v>
      </c>
      <c r="BF50">
        <v>90</v>
      </c>
      <c r="BG50">
        <v>14</v>
      </c>
      <c r="BH50" t="s">
        <v>3947</v>
      </c>
      <c r="BI50" t="s">
        <v>4088</v>
      </c>
      <c r="BJ50">
        <v>1</v>
      </c>
      <c r="BK50" t="s">
        <v>3902</v>
      </c>
    </row>
    <row r="51" spans="1:63" x14ac:dyDescent="0.25">
      <c r="A51">
        <v>1093</v>
      </c>
      <c r="B51" t="str">
        <f>"20200124170017019797"</f>
        <v>20200124170017019797</v>
      </c>
      <c r="C51">
        <v>1</v>
      </c>
      <c r="D51">
        <v>1</v>
      </c>
      <c r="E51" t="s">
        <v>3886</v>
      </c>
      <c r="F51">
        <v>2</v>
      </c>
      <c r="G51">
        <v>0</v>
      </c>
      <c r="H51" t="s">
        <v>66</v>
      </c>
      <c r="I51">
        <v>0</v>
      </c>
      <c r="J51" t="s">
        <v>66</v>
      </c>
      <c r="K51">
        <v>0</v>
      </c>
      <c r="L51" t="s">
        <v>66</v>
      </c>
      <c r="M51" t="s">
        <v>56</v>
      </c>
      <c r="N51">
        <v>0</v>
      </c>
      <c r="O51" t="s">
        <v>66</v>
      </c>
      <c r="P51" t="s">
        <v>56</v>
      </c>
      <c r="Q51">
        <v>0</v>
      </c>
      <c r="R51" t="s">
        <v>66</v>
      </c>
      <c r="S51" t="s">
        <v>56</v>
      </c>
      <c r="T51">
        <v>1</v>
      </c>
      <c r="U51" t="s">
        <v>1627</v>
      </c>
      <c r="V51" t="s">
        <v>56</v>
      </c>
      <c r="W51">
        <v>0</v>
      </c>
      <c r="X51" t="s">
        <v>66</v>
      </c>
      <c r="Y51" t="s">
        <v>56</v>
      </c>
      <c r="Z51">
        <v>0</v>
      </c>
      <c r="AA51" t="s">
        <v>66</v>
      </c>
      <c r="AB51" t="s">
        <v>56</v>
      </c>
      <c r="AC51">
        <v>1</v>
      </c>
      <c r="AD51" t="s">
        <v>1627</v>
      </c>
      <c r="AE51" t="s">
        <v>3887</v>
      </c>
      <c r="AF51">
        <v>0</v>
      </c>
      <c r="AG51" t="s">
        <v>66</v>
      </c>
      <c r="AH51" t="s">
        <v>56</v>
      </c>
      <c r="AI51">
        <v>1</v>
      </c>
      <c r="AJ51" t="s">
        <v>1627</v>
      </c>
      <c r="AK51" t="s">
        <v>56</v>
      </c>
      <c r="AL51" t="s">
        <v>56</v>
      </c>
      <c r="AM51" t="s">
        <v>56</v>
      </c>
      <c r="AN51" t="s">
        <v>56</v>
      </c>
      <c r="AO51" t="s">
        <v>4089</v>
      </c>
      <c r="AP51" t="s">
        <v>3962</v>
      </c>
      <c r="AQ51" t="s">
        <v>3963</v>
      </c>
      <c r="AR51" t="s">
        <v>3941</v>
      </c>
      <c r="AS51" t="s">
        <v>3942</v>
      </c>
      <c r="AT51" t="s">
        <v>4090</v>
      </c>
      <c r="AU51" t="s">
        <v>3944</v>
      </c>
      <c r="AV51" t="s">
        <v>3945</v>
      </c>
      <c r="AW51" t="s">
        <v>3946</v>
      </c>
      <c r="AX51">
        <v>12</v>
      </c>
      <c r="AY51">
        <v>2</v>
      </c>
      <c r="AZ51" t="s">
        <v>3897</v>
      </c>
      <c r="BA51">
        <v>10</v>
      </c>
      <c r="BB51" t="s">
        <v>3898</v>
      </c>
      <c r="BC51">
        <v>180</v>
      </c>
      <c r="BD51">
        <v>3</v>
      </c>
      <c r="BE51" t="s">
        <v>3911</v>
      </c>
      <c r="BF51">
        <v>360</v>
      </c>
      <c r="BG51">
        <v>66</v>
      </c>
      <c r="BH51" t="s">
        <v>3965</v>
      </c>
      <c r="BI51" t="s">
        <v>4091</v>
      </c>
      <c r="BJ51">
        <v>1</v>
      </c>
      <c r="BK51" t="s">
        <v>3902</v>
      </c>
    </row>
    <row r="52" spans="1:63" x14ac:dyDescent="0.25">
      <c r="A52">
        <v>1094</v>
      </c>
      <c r="B52" t="str">
        <f>"20200124193017019975"</f>
        <v>20200124193017019975</v>
      </c>
      <c r="C52">
        <v>1</v>
      </c>
      <c r="D52">
        <v>1</v>
      </c>
      <c r="E52" t="s">
        <v>3886</v>
      </c>
      <c r="F52">
        <v>2</v>
      </c>
      <c r="G52">
        <v>0</v>
      </c>
      <c r="H52" t="s">
        <v>66</v>
      </c>
      <c r="I52">
        <v>0</v>
      </c>
      <c r="J52" t="s">
        <v>66</v>
      </c>
      <c r="K52">
        <v>0</v>
      </c>
      <c r="L52" t="s">
        <v>66</v>
      </c>
      <c r="M52" t="s">
        <v>56</v>
      </c>
      <c r="N52">
        <v>0</v>
      </c>
      <c r="O52" t="s">
        <v>66</v>
      </c>
      <c r="P52" t="s">
        <v>56</v>
      </c>
      <c r="Q52">
        <v>0</v>
      </c>
      <c r="R52" t="s">
        <v>66</v>
      </c>
      <c r="S52" t="s">
        <v>56</v>
      </c>
      <c r="T52">
        <v>1</v>
      </c>
      <c r="U52" t="s">
        <v>1627</v>
      </c>
      <c r="V52" t="s">
        <v>56</v>
      </c>
      <c r="W52">
        <v>0</v>
      </c>
      <c r="X52" t="s">
        <v>66</v>
      </c>
      <c r="Y52" t="s">
        <v>56</v>
      </c>
      <c r="Z52">
        <v>0</v>
      </c>
      <c r="AA52" t="s">
        <v>66</v>
      </c>
      <c r="AB52" t="s">
        <v>56</v>
      </c>
      <c r="AC52">
        <v>1</v>
      </c>
      <c r="AD52" t="s">
        <v>1627</v>
      </c>
      <c r="AE52" t="s">
        <v>3887</v>
      </c>
      <c r="AF52">
        <v>0</v>
      </c>
      <c r="AG52" t="s">
        <v>66</v>
      </c>
      <c r="AH52" t="s">
        <v>56</v>
      </c>
      <c r="AI52">
        <v>1</v>
      </c>
      <c r="AJ52" t="s">
        <v>1627</v>
      </c>
      <c r="AK52" t="s">
        <v>56</v>
      </c>
      <c r="AL52" t="s">
        <v>56</v>
      </c>
      <c r="AM52" t="s">
        <v>56</v>
      </c>
      <c r="AN52" t="s">
        <v>56</v>
      </c>
      <c r="AO52" t="s">
        <v>4092</v>
      </c>
      <c r="AP52" t="s">
        <v>3962</v>
      </c>
      <c r="AQ52" t="s">
        <v>3963</v>
      </c>
      <c r="AR52" t="s">
        <v>3941</v>
      </c>
      <c r="AS52" t="s">
        <v>3942</v>
      </c>
      <c r="AT52" t="s">
        <v>4093</v>
      </c>
      <c r="AU52">
        <v>9000</v>
      </c>
      <c r="AV52" t="s">
        <v>3956</v>
      </c>
      <c r="AW52" t="s">
        <v>3956</v>
      </c>
      <c r="AX52">
        <v>24</v>
      </c>
      <c r="AY52">
        <v>2</v>
      </c>
      <c r="AZ52" t="s">
        <v>3897</v>
      </c>
      <c r="BA52">
        <v>10</v>
      </c>
      <c r="BB52" t="s">
        <v>3898</v>
      </c>
      <c r="BC52">
        <v>180</v>
      </c>
      <c r="BD52">
        <v>3</v>
      </c>
      <c r="BE52" t="s">
        <v>3911</v>
      </c>
      <c r="BF52">
        <v>180</v>
      </c>
      <c r="BG52">
        <v>66</v>
      </c>
      <c r="BH52" t="s">
        <v>3965</v>
      </c>
      <c r="BI52" t="s">
        <v>4094</v>
      </c>
      <c r="BJ52">
        <v>1</v>
      </c>
      <c r="BK52" t="s">
        <v>3902</v>
      </c>
    </row>
    <row r="53" spans="1:63" x14ac:dyDescent="0.25">
      <c r="A53">
        <v>1095</v>
      </c>
      <c r="B53" t="str">
        <f>"20200124134017020812"</f>
        <v>20200124134017020812</v>
      </c>
      <c r="C53">
        <v>1</v>
      </c>
      <c r="D53">
        <v>1</v>
      </c>
      <c r="E53" t="s">
        <v>3886</v>
      </c>
      <c r="F53">
        <v>1</v>
      </c>
      <c r="G53">
        <v>0</v>
      </c>
      <c r="H53" t="s">
        <v>66</v>
      </c>
      <c r="I53">
        <v>0</v>
      </c>
      <c r="J53" t="s">
        <v>66</v>
      </c>
      <c r="K53">
        <v>1</v>
      </c>
      <c r="L53" t="s">
        <v>1627</v>
      </c>
      <c r="M53" t="s">
        <v>4095</v>
      </c>
      <c r="N53">
        <v>1</v>
      </c>
      <c r="O53" t="s">
        <v>1627</v>
      </c>
      <c r="P53" t="s">
        <v>4096</v>
      </c>
      <c r="Q53">
        <v>0</v>
      </c>
      <c r="R53" t="s">
        <v>66</v>
      </c>
      <c r="S53" t="s">
        <v>56</v>
      </c>
      <c r="T53" t="s">
        <v>56</v>
      </c>
      <c r="U53" t="s">
        <v>56</v>
      </c>
      <c r="V53" t="s">
        <v>56</v>
      </c>
      <c r="W53">
        <v>0</v>
      </c>
      <c r="X53" t="s">
        <v>66</v>
      </c>
      <c r="Y53" t="s">
        <v>56</v>
      </c>
      <c r="Z53">
        <v>0</v>
      </c>
      <c r="AA53" t="s">
        <v>66</v>
      </c>
      <c r="AB53" t="s">
        <v>56</v>
      </c>
      <c r="AC53">
        <v>0</v>
      </c>
      <c r="AD53" t="s">
        <v>66</v>
      </c>
      <c r="AE53" t="s">
        <v>56</v>
      </c>
      <c r="AF53">
        <v>0</v>
      </c>
      <c r="AG53" t="s">
        <v>66</v>
      </c>
      <c r="AH53" t="s">
        <v>56</v>
      </c>
      <c r="AI53">
        <v>1</v>
      </c>
      <c r="AJ53" t="s">
        <v>1627</v>
      </c>
      <c r="AK53" t="s">
        <v>56</v>
      </c>
      <c r="AL53" t="s">
        <v>56</v>
      </c>
      <c r="AM53" t="s">
        <v>56</v>
      </c>
      <c r="AN53" t="s">
        <v>56</v>
      </c>
      <c r="AO53" t="s">
        <v>4097</v>
      </c>
      <c r="AP53" t="s">
        <v>3889</v>
      </c>
      <c r="AQ53" t="s">
        <v>3890</v>
      </c>
      <c r="AR53" t="s">
        <v>3926</v>
      </c>
      <c r="AS53" t="s">
        <v>3927</v>
      </c>
      <c r="AT53" t="s">
        <v>4098</v>
      </c>
      <c r="AU53" t="s">
        <v>3894</v>
      </c>
      <c r="AV53" t="s">
        <v>3895</v>
      </c>
      <c r="AW53" t="s">
        <v>3896</v>
      </c>
      <c r="AX53">
        <v>5</v>
      </c>
      <c r="AY53">
        <v>1</v>
      </c>
      <c r="AZ53" t="s">
        <v>4099</v>
      </c>
      <c r="BA53">
        <v>10</v>
      </c>
      <c r="BB53" t="s">
        <v>3898</v>
      </c>
      <c r="BC53">
        <v>1</v>
      </c>
      <c r="BD53">
        <v>3</v>
      </c>
      <c r="BE53" t="s">
        <v>3911</v>
      </c>
      <c r="BF53">
        <v>1</v>
      </c>
      <c r="BG53">
        <v>13</v>
      </c>
      <c r="BH53" t="s">
        <v>3900</v>
      </c>
      <c r="BI53" t="s">
        <v>4100</v>
      </c>
      <c r="BJ53">
        <v>1</v>
      </c>
      <c r="BK53" t="s">
        <v>3902</v>
      </c>
    </row>
    <row r="54" spans="1:63" x14ac:dyDescent="0.25">
      <c r="A54">
        <v>1096</v>
      </c>
      <c r="B54" t="str">
        <f>"20200124112017021331"</f>
        <v>20200124112017021331</v>
      </c>
      <c r="C54">
        <v>1</v>
      </c>
      <c r="D54">
        <v>1</v>
      </c>
      <c r="E54" t="s">
        <v>3886</v>
      </c>
      <c r="F54">
        <v>2</v>
      </c>
      <c r="G54">
        <v>0</v>
      </c>
      <c r="H54" t="s">
        <v>66</v>
      </c>
      <c r="I54">
        <v>0</v>
      </c>
      <c r="J54" t="s">
        <v>66</v>
      </c>
      <c r="K54">
        <v>0</v>
      </c>
      <c r="L54" t="s">
        <v>66</v>
      </c>
      <c r="M54" t="s">
        <v>56</v>
      </c>
      <c r="N54">
        <v>0</v>
      </c>
      <c r="O54" t="s">
        <v>66</v>
      </c>
      <c r="P54" t="s">
        <v>56</v>
      </c>
      <c r="Q54">
        <v>0</v>
      </c>
      <c r="R54" t="s">
        <v>66</v>
      </c>
      <c r="S54" t="s">
        <v>56</v>
      </c>
      <c r="T54">
        <v>1</v>
      </c>
      <c r="U54" t="s">
        <v>1627</v>
      </c>
      <c r="V54" t="s">
        <v>56</v>
      </c>
      <c r="W54">
        <v>0</v>
      </c>
      <c r="X54" t="s">
        <v>66</v>
      </c>
      <c r="Y54" t="s">
        <v>56</v>
      </c>
      <c r="Z54">
        <v>0</v>
      </c>
      <c r="AA54" t="s">
        <v>66</v>
      </c>
      <c r="AB54" t="s">
        <v>56</v>
      </c>
      <c r="AC54">
        <v>1</v>
      </c>
      <c r="AD54" t="s">
        <v>1627</v>
      </c>
      <c r="AE54" t="s">
        <v>3887</v>
      </c>
      <c r="AF54">
        <v>0</v>
      </c>
      <c r="AG54" t="s">
        <v>66</v>
      </c>
      <c r="AH54" t="s">
        <v>56</v>
      </c>
      <c r="AI54">
        <v>1</v>
      </c>
      <c r="AJ54" t="s">
        <v>1627</v>
      </c>
      <c r="AK54" t="s">
        <v>56</v>
      </c>
      <c r="AL54" t="s">
        <v>56</v>
      </c>
      <c r="AM54" t="s">
        <v>56</v>
      </c>
      <c r="AN54" t="s">
        <v>56</v>
      </c>
      <c r="AO54" t="s">
        <v>4101</v>
      </c>
      <c r="AP54" t="s">
        <v>3939</v>
      </c>
      <c r="AQ54" t="s">
        <v>3940</v>
      </c>
      <c r="AR54" t="s">
        <v>3941</v>
      </c>
      <c r="AS54" t="s">
        <v>3942</v>
      </c>
      <c r="AT54" t="s">
        <v>4102</v>
      </c>
      <c r="AU54" t="s">
        <v>3944</v>
      </c>
      <c r="AV54" t="s">
        <v>3945</v>
      </c>
      <c r="AW54" t="s">
        <v>3946</v>
      </c>
      <c r="AX54">
        <v>12</v>
      </c>
      <c r="AY54">
        <v>2</v>
      </c>
      <c r="AZ54" t="s">
        <v>3897</v>
      </c>
      <c r="BA54">
        <v>10</v>
      </c>
      <c r="BB54" t="s">
        <v>3898</v>
      </c>
      <c r="BC54">
        <v>45</v>
      </c>
      <c r="BD54">
        <v>3</v>
      </c>
      <c r="BE54" t="s">
        <v>3911</v>
      </c>
      <c r="BF54">
        <v>90</v>
      </c>
      <c r="BG54">
        <v>14</v>
      </c>
      <c r="BH54" t="s">
        <v>3947</v>
      </c>
      <c r="BI54" t="s">
        <v>4103</v>
      </c>
      <c r="BJ54">
        <v>1</v>
      </c>
      <c r="BK54" t="s">
        <v>3902</v>
      </c>
    </row>
    <row r="55" spans="1:63" x14ac:dyDescent="0.25">
      <c r="A55">
        <v>1097</v>
      </c>
      <c r="B55" t="str">
        <f>"20200124157017023008"</f>
        <v>20200124157017023008</v>
      </c>
      <c r="C55">
        <v>1</v>
      </c>
      <c r="D55">
        <v>1</v>
      </c>
      <c r="E55" t="s">
        <v>3886</v>
      </c>
      <c r="F55">
        <v>2</v>
      </c>
      <c r="G55">
        <v>0</v>
      </c>
      <c r="H55" t="s">
        <v>66</v>
      </c>
      <c r="I55">
        <v>0</v>
      </c>
      <c r="J55" t="s">
        <v>66</v>
      </c>
      <c r="K55">
        <v>1</v>
      </c>
      <c r="L55" t="s">
        <v>1627</v>
      </c>
      <c r="M55" t="s">
        <v>4019</v>
      </c>
      <c r="N55">
        <v>1</v>
      </c>
      <c r="O55" t="s">
        <v>1627</v>
      </c>
      <c r="P55" t="s">
        <v>4104</v>
      </c>
      <c r="Q55">
        <v>0</v>
      </c>
      <c r="R55" t="s">
        <v>66</v>
      </c>
      <c r="S55" t="s">
        <v>56</v>
      </c>
      <c r="T55" t="s">
        <v>56</v>
      </c>
      <c r="U55" t="s">
        <v>56</v>
      </c>
      <c r="V55" t="s">
        <v>56</v>
      </c>
      <c r="W55">
        <v>0</v>
      </c>
      <c r="X55" t="s">
        <v>66</v>
      </c>
      <c r="Y55" t="s">
        <v>56</v>
      </c>
      <c r="Z55">
        <v>0</v>
      </c>
      <c r="AA55" t="s">
        <v>66</v>
      </c>
      <c r="AB55" t="s">
        <v>56</v>
      </c>
      <c r="AC55">
        <v>0</v>
      </c>
      <c r="AD55" t="s">
        <v>66</v>
      </c>
      <c r="AE55" t="s">
        <v>56</v>
      </c>
      <c r="AF55">
        <v>0</v>
      </c>
      <c r="AG55" t="s">
        <v>66</v>
      </c>
      <c r="AH55" t="s">
        <v>56</v>
      </c>
      <c r="AI55">
        <v>1</v>
      </c>
      <c r="AJ55" t="s">
        <v>1627</v>
      </c>
      <c r="AK55" t="s">
        <v>56</v>
      </c>
      <c r="AL55" t="s">
        <v>56</v>
      </c>
      <c r="AM55" t="s">
        <v>56</v>
      </c>
      <c r="AN55" t="s">
        <v>56</v>
      </c>
      <c r="AO55" t="s">
        <v>4021</v>
      </c>
      <c r="AP55" t="s">
        <v>3962</v>
      </c>
      <c r="AQ55" t="s">
        <v>3963</v>
      </c>
      <c r="AR55" t="s">
        <v>3941</v>
      </c>
      <c r="AS55" t="s">
        <v>3942</v>
      </c>
      <c r="AT55" t="s">
        <v>4105</v>
      </c>
      <c r="AU55">
        <v>9000</v>
      </c>
      <c r="AV55" t="s">
        <v>3956</v>
      </c>
      <c r="AW55" t="s">
        <v>3956</v>
      </c>
      <c r="AX55">
        <v>1</v>
      </c>
      <c r="AY55">
        <v>3</v>
      </c>
      <c r="AZ55" t="s">
        <v>3911</v>
      </c>
      <c r="BA55">
        <v>10</v>
      </c>
      <c r="BB55" t="s">
        <v>3898</v>
      </c>
      <c r="BC55">
        <v>1</v>
      </c>
      <c r="BD55">
        <v>3</v>
      </c>
      <c r="BE55" t="s">
        <v>3911</v>
      </c>
      <c r="BF55">
        <v>1</v>
      </c>
      <c r="BG55">
        <v>14</v>
      </c>
      <c r="BH55" t="s">
        <v>3947</v>
      </c>
      <c r="BI55" t="s">
        <v>4106</v>
      </c>
      <c r="BJ55">
        <v>1</v>
      </c>
      <c r="BK55" t="s">
        <v>3902</v>
      </c>
    </row>
    <row r="56" spans="1:63" x14ac:dyDescent="0.25">
      <c r="A56">
        <v>1098</v>
      </c>
      <c r="B56" t="str">
        <f>"20200124180017024383"</f>
        <v>20200124180017024383</v>
      </c>
      <c r="C56">
        <v>1</v>
      </c>
      <c r="D56">
        <v>1</v>
      </c>
      <c r="E56" t="s">
        <v>3886</v>
      </c>
      <c r="F56">
        <v>2</v>
      </c>
      <c r="G56">
        <v>0</v>
      </c>
      <c r="H56" t="s">
        <v>66</v>
      </c>
      <c r="I56">
        <v>0</v>
      </c>
      <c r="J56" t="s">
        <v>66</v>
      </c>
      <c r="K56">
        <v>1</v>
      </c>
      <c r="L56" t="s">
        <v>1627</v>
      </c>
      <c r="M56" t="s">
        <v>4107</v>
      </c>
      <c r="N56">
        <v>1</v>
      </c>
      <c r="O56" t="s">
        <v>1627</v>
      </c>
      <c r="P56" t="s">
        <v>4108</v>
      </c>
      <c r="Q56">
        <v>0</v>
      </c>
      <c r="R56" t="s">
        <v>66</v>
      </c>
      <c r="S56" t="s">
        <v>56</v>
      </c>
      <c r="T56" t="s">
        <v>56</v>
      </c>
      <c r="U56" t="s">
        <v>56</v>
      </c>
      <c r="V56" t="s">
        <v>56</v>
      </c>
      <c r="W56">
        <v>0</v>
      </c>
      <c r="X56" t="s">
        <v>66</v>
      </c>
      <c r="Y56" t="s">
        <v>56</v>
      </c>
      <c r="Z56">
        <v>0</v>
      </c>
      <c r="AA56" t="s">
        <v>66</v>
      </c>
      <c r="AB56" t="s">
        <v>56</v>
      </c>
      <c r="AC56">
        <v>0</v>
      </c>
      <c r="AD56" t="s">
        <v>66</v>
      </c>
      <c r="AE56" t="s">
        <v>56</v>
      </c>
      <c r="AF56">
        <v>0</v>
      </c>
      <c r="AG56" t="s">
        <v>66</v>
      </c>
      <c r="AH56" t="s">
        <v>56</v>
      </c>
      <c r="AI56">
        <v>1</v>
      </c>
      <c r="AJ56" t="s">
        <v>1627</v>
      </c>
      <c r="AK56" t="s">
        <v>56</v>
      </c>
      <c r="AL56" t="s">
        <v>56</v>
      </c>
      <c r="AM56" t="s">
        <v>56</v>
      </c>
      <c r="AN56" t="s">
        <v>56</v>
      </c>
      <c r="AO56" t="s">
        <v>4109</v>
      </c>
      <c r="AP56" t="s">
        <v>3962</v>
      </c>
      <c r="AQ56" t="s">
        <v>3963</v>
      </c>
      <c r="AR56" t="s">
        <v>3941</v>
      </c>
      <c r="AS56" t="s">
        <v>3942</v>
      </c>
      <c r="AT56" t="s">
        <v>4110</v>
      </c>
      <c r="AU56" t="s">
        <v>3944</v>
      </c>
      <c r="AV56" t="s">
        <v>3945</v>
      </c>
      <c r="AW56" t="s">
        <v>3946</v>
      </c>
      <c r="AX56">
        <v>1</v>
      </c>
      <c r="AY56">
        <v>3</v>
      </c>
      <c r="AZ56" t="s">
        <v>3911</v>
      </c>
      <c r="BA56">
        <v>10</v>
      </c>
      <c r="BB56" t="s">
        <v>3898</v>
      </c>
      <c r="BC56">
        <v>6</v>
      </c>
      <c r="BD56">
        <v>5</v>
      </c>
      <c r="BE56" t="s">
        <v>3899</v>
      </c>
      <c r="BF56">
        <v>180</v>
      </c>
      <c r="BG56">
        <v>66</v>
      </c>
      <c r="BH56" t="s">
        <v>3965</v>
      </c>
      <c r="BI56" t="s">
        <v>4111</v>
      </c>
      <c r="BJ56">
        <v>1</v>
      </c>
      <c r="BK56" t="s">
        <v>3902</v>
      </c>
    </row>
    <row r="57" spans="1:63" x14ac:dyDescent="0.25">
      <c r="A57">
        <v>1099</v>
      </c>
      <c r="B57" t="str">
        <f>"20200124120017024389"</f>
        <v>20200124120017024389</v>
      </c>
      <c r="C57">
        <v>1</v>
      </c>
      <c r="D57">
        <v>1</v>
      </c>
      <c r="E57" t="s">
        <v>3886</v>
      </c>
      <c r="F57">
        <v>2</v>
      </c>
      <c r="G57">
        <v>0</v>
      </c>
      <c r="H57" t="s">
        <v>66</v>
      </c>
      <c r="I57">
        <v>0</v>
      </c>
      <c r="J57" t="s">
        <v>66</v>
      </c>
      <c r="K57">
        <v>1</v>
      </c>
      <c r="L57" t="s">
        <v>1627</v>
      </c>
      <c r="M57" t="s">
        <v>4112</v>
      </c>
      <c r="N57">
        <v>0</v>
      </c>
      <c r="O57" t="s">
        <v>66</v>
      </c>
      <c r="P57" t="s">
        <v>56</v>
      </c>
      <c r="Q57">
        <v>1</v>
      </c>
      <c r="R57" t="s">
        <v>1627</v>
      </c>
      <c r="S57" t="s">
        <v>4113</v>
      </c>
      <c r="T57" t="s">
        <v>56</v>
      </c>
      <c r="U57" t="s">
        <v>56</v>
      </c>
      <c r="V57" t="s">
        <v>56</v>
      </c>
      <c r="W57">
        <v>0</v>
      </c>
      <c r="X57" t="s">
        <v>66</v>
      </c>
      <c r="Y57" t="s">
        <v>56</v>
      </c>
      <c r="Z57">
        <v>0</v>
      </c>
      <c r="AA57" t="s">
        <v>66</v>
      </c>
      <c r="AB57" t="s">
        <v>56</v>
      </c>
      <c r="AC57">
        <v>0</v>
      </c>
      <c r="AD57" t="s">
        <v>66</v>
      </c>
      <c r="AE57" t="s">
        <v>56</v>
      </c>
      <c r="AF57">
        <v>0</v>
      </c>
      <c r="AG57" t="s">
        <v>66</v>
      </c>
      <c r="AH57" t="s">
        <v>56</v>
      </c>
      <c r="AI57">
        <v>1</v>
      </c>
      <c r="AJ57" t="s">
        <v>1627</v>
      </c>
      <c r="AK57" t="s">
        <v>56</v>
      </c>
      <c r="AL57" t="s">
        <v>56</v>
      </c>
      <c r="AM57" t="s">
        <v>56</v>
      </c>
      <c r="AN57" t="s">
        <v>56</v>
      </c>
      <c r="AO57" t="s">
        <v>3985</v>
      </c>
      <c r="AP57" t="s">
        <v>3962</v>
      </c>
      <c r="AQ57" t="s">
        <v>3963</v>
      </c>
      <c r="AR57" t="s">
        <v>3941</v>
      </c>
      <c r="AS57" t="s">
        <v>3942</v>
      </c>
      <c r="AT57" t="s">
        <v>4114</v>
      </c>
      <c r="AU57" t="s">
        <v>3944</v>
      </c>
      <c r="AV57" t="s">
        <v>3945</v>
      </c>
      <c r="AW57" t="s">
        <v>3946</v>
      </c>
      <c r="AX57">
        <v>1</v>
      </c>
      <c r="AY57">
        <v>3</v>
      </c>
      <c r="AZ57" t="s">
        <v>3911</v>
      </c>
      <c r="BA57">
        <v>10</v>
      </c>
      <c r="BB57" t="s">
        <v>3898</v>
      </c>
      <c r="BC57">
        <v>6</v>
      </c>
      <c r="BD57">
        <v>5</v>
      </c>
      <c r="BE57" t="s">
        <v>3899</v>
      </c>
      <c r="BF57">
        <v>180</v>
      </c>
      <c r="BG57">
        <v>66</v>
      </c>
      <c r="BH57" t="s">
        <v>3965</v>
      </c>
      <c r="BI57" t="s">
        <v>4115</v>
      </c>
      <c r="BJ57">
        <v>1</v>
      </c>
      <c r="BK57" t="s">
        <v>3902</v>
      </c>
    </row>
    <row r="58" spans="1:63" x14ac:dyDescent="0.25">
      <c r="A58">
        <v>1100</v>
      </c>
      <c r="B58" t="str">
        <f>"20200124139017024469"</f>
        <v>20200124139017024469</v>
      </c>
      <c r="C58">
        <v>1</v>
      </c>
      <c r="D58">
        <v>1</v>
      </c>
      <c r="E58" t="s">
        <v>3886</v>
      </c>
      <c r="F58">
        <v>2</v>
      </c>
      <c r="G58">
        <v>0</v>
      </c>
      <c r="H58" t="s">
        <v>66</v>
      </c>
      <c r="I58">
        <v>0</v>
      </c>
      <c r="J58" t="s">
        <v>66</v>
      </c>
      <c r="K58">
        <v>1</v>
      </c>
      <c r="L58" t="s">
        <v>1627</v>
      </c>
      <c r="M58" t="s">
        <v>4116</v>
      </c>
      <c r="N58">
        <v>1</v>
      </c>
      <c r="O58" t="s">
        <v>1627</v>
      </c>
      <c r="P58" t="s">
        <v>4117</v>
      </c>
      <c r="Q58">
        <v>0</v>
      </c>
      <c r="R58" t="s">
        <v>66</v>
      </c>
      <c r="S58" t="s">
        <v>56</v>
      </c>
      <c r="T58" t="s">
        <v>56</v>
      </c>
      <c r="U58" t="s">
        <v>56</v>
      </c>
      <c r="V58" t="s">
        <v>56</v>
      </c>
      <c r="W58">
        <v>0</v>
      </c>
      <c r="X58" t="s">
        <v>66</v>
      </c>
      <c r="Y58" t="s">
        <v>56</v>
      </c>
      <c r="Z58">
        <v>0</v>
      </c>
      <c r="AA58" t="s">
        <v>66</v>
      </c>
      <c r="AB58" t="s">
        <v>56</v>
      </c>
      <c r="AC58">
        <v>0</v>
      </c>
      <c r="AD58" t="s">
        <v>66</v>
      </c>
      <c r="AE58" t="s">
        <v>56</v>
      </c>
      <c r="AF58">
        <v>0</v>
      </c>
      <c r="AG58" t="s">
        <v>66</v>
      </c>
      <c r="AH58" t="s">
        <v>56</v>
      </c>
      <c r="AI58">
        <v>1</v>
      </c>
      <c r="AJ58" t="s">
        <v>1627</v>
      </c>
      <c r="AK58" t="s">
        <v>56</v>
      </c>
      <c r="AL58" t="s">
        <v>56</v>
      </c>
      <c r="AM58" t="s">
        <v>56</v>
      </c>
      <c r="AN58" t="s">
        <v>56</v>
      </c>
      <c r="AO58" t="s">
        <v>4118</v>
      </c>
      <c r="AP58" t="s">
        <v>3962</v>
      </c>
      <c r="AQ58" t="s">
        <v>3963</v>
      </c>
      <c r="AR58" t="s">
        <v>3941</v>
      </c>
      <c r="AS58" t="s">
        <v>3942</v>
      </c>
      <c r="AT58" t="s">
        <v>4119</v>
      </c>
      <c r="AU58">
        <v>9000</v>
      </c>
      <c r="AV58" t="s">
        <v>3956</v>
      </c>
      <c r="AW58" t="s">
        <v>3956</v>
      </c>
      <c r="AX58">
        <v>12</v>
      </c>
      <c r="AY58">
        <v>2</v>
      </c>
      <c r="AZ58" t="s">
        <v>3897</v>
      </c>
      <c r="BA58">
        <v>10</v>
      </c>
      <c r="BB58" t="s">
        <v>3898</v>
      </c>
      <c r="BC58">
        <v>60</v>
      </c>
      <c r="BD58">
        <v>3</v>
      </c>
      <c r="BE58" t="s">
        <v>3911</v>
      </c>
      <c r="BF58">
        <v>120</v>
      </c>
      <c r="BG58">
        <v>66</v>
      </c>
      <c r="BH58" t="s">
        <v>3965</v>
      </c>
      <c r="BI58" t="s">
        <v>4120</v>
      </c>
      <c r="BJ58">
        <v>1</v>
      </c>
      <c r="BK58" t="s">
        <v>3902</v>
      </c>
    </row>
    <row r="59" spans="1:63" x14ac:dyDescent="0.25">
      <c r="A59">
        <v>1017</v>
      </c>
      <c r="B59" t="str">
        <f>"20200124155016997586"</f>
        <v>20200124155016997586</v>
      </c>
      <c r="C59">
        <v>1</v>
      </c>
      <c r="D59">
        <v>1</v>
      </c>
      <c r="E59" t="s">
        <v>3886</v>
      </c>
      <c r="F59">
        <v>2</v>
      </c>
      <c r="G59">
        <v>0</v>
      </c>
      <c r="H59" t="s">
        <v>66</v>
      </c>
      <c r="I59">
        <v>0</v>
      </c>
      <c r="J59" t="s">
        <v>66</v>
      </c>
      <c r="K59">
        <v>0</v>
      </c>
      <c r="L59" t="s">
        <v>66</v>
      </c>
      <c r="M59" t="s">
        <v>56</v>
      </c>
      <c r="N59">
        <v>0</v>
      </c>
      <c r="O59" t="s">
        <v>66</v>
      </c>
      <c r="P59" t="s">
        <v>56</v>
      </c>
      <c r="Q59">
        <v>0</v>
      </c>
      <c r="R59" t="s">
        <v>66</v>
      </c>
      <c r="S59" t="s">
        <v>56</v>
      </c>
      <c r="T59">
        <v>1</v>
      </c>
      <c r="U59" t="s">
        <v>1627</v>
      </c>
      <c r="V59" t="s">
        <v>56</v>
      </c>
      <c r="W59">
        <v>0</v>
      </c>
      <c r="X59" t="s">
        <v>66</v>
      </c>
      <c r="Y59" t="s">
        <v>56</v>
      </c>
      <c r="Z59">
        <v>0</v>
      </c>
      <c r="AA59" t="s">
        <v>66</v>
      </c>
      <c r="AB59" t="s">
        <v>56</v>
      </c>
      <c r="AC59">
        <v>1</v>
      </c>
      <c r="AD59" t="s">
        <v>1627</v>
      </c>
      <c r="AE59" t="s">
        <v>3887</v>
      </c>
      <c r="AF59">
        <v>0</v>
      </c>
      <c r="AG59" t="s">
        <v>66</v>
      </c>
      <c r="AH59" t="s">
        <v>56</v>
      </c>
      <c r="AI59">
        <v>1</v>
      </c>
      <c r="AJ59" t="s">
        <v>1627</v>
      </c>
      <c r="AK59" t="s">
        <v>56</v>
      </c>
      <c r="AL59" t="s">
        <v>56</v>
      </c>
      <c r="AM59" t="s">
        <v>56</v>
      </c>
      <c r="AN59" t="s">
        <v>56</v>
      </c>
      <c r="AO59" t="s">
        <v>4092</v>
      </c>
      <c r="AP59" t="s">
        <v>3962</v>
      </c>
      <c r="AQ59" t="s">
        <v>3963</v>
      </c>
      <c r="AR59" t="s">
        <v>3941</v>
      </c>
      <c r="AS59" t="s">
        <v>3942</v>
      </c>
      <c r="AT59" t="s">
        <v>4121</v>
      </c>
      <c r="AU59" t="s">
        <v>3944</v>
      </c>
      <c r="AV59" t="s">
        <v>3945</v>
      </c>
      <c r="AW59" t="s">
        <v>3946</v>
      </c>
      <c r="AX59">
        <v>24</v>
      </c>
      <c r="AY59">
        <v>2</v>
      </c>
      <c r="AZ59" t="s">
        <v>3897</v>
      </c>
      <c r="BA59">
        <v>10</v>
      </c>
      <c r="BB59" t="s">
        <v>3898</v>
      </c>
      <c r="BC59">
        <v>1</v>
      </c>
      <c r="BD59">
        <v>5</v>
      </c>
      <c r="BE59" t="s">
        <v>3899</v>
      </c>
      <c r="BF59">
        <v>30</v>
      </c>
      <c r="BG59">
        <v>66</v>
      </c>
      <c r="BH59" t="s">
        <v>3965</v>
      </c>
      <c r="BI59" t="s">
        <v>4122</v>
      </c>
      <c r="BJ59">
        <v>1</v>
      </c>
      <c r="BK59" t="s">
        <v>3902</v>
      </c>
    </row>
    <row r="60" spans="1:63" x14ac:dyDescent="0.25">
      <c r="A60">
        <v>1018</v>
      </c>
      <c r="B60" t="str">
        <f>"20200124170016998472"</f>
        <v>20200124170016998472</v>
      </c>
      <c r="C60">
        <v>1</v>
      </c>
      <c r="D60">
        <v>1</v>
      </c>
      <c r="E60" t="s">
        <v>3886</v>
      </c>
      <c r="F60">
        <v>2</v>
      </c>
      <c r="G60">
        <v>0</v>
      </c>
      <c r="H60" t="s">
        <v>66</v>
      </c>
      <c r="I60">
        <v>0</v>
      </c>
      <c r="J60" t="s">
        <v>66</v>
      </c>
      <c r="K60">
        <v>1</v>
      </c>
      <c r="L60" t="s">
        <v>1627</v>
      </c>
      <c r="M60" t="s">
        <v>4123</v>
      </c>
      <c r="N60">
        <v>1</v>
      </c>
      <c r="O60" t="s">
        <v>1627</v>
      </c>
      <c r="P60" t="s">
        <v>4124</v>
      </c>
      <c r="Q60">
        <v>0</v>
      </c>
      <c r="R60" t="s">
        <v>66</v>
      </c>
      <c r="S60" t="s">
        <v>56</v>
      </c>
      <c r="T60" t="s">
        <v>56</v>
      </c>
      <c r="U60" t="s">
        <v>56</v>
      </c>
      <c r="V60" t="s">
        <v>56</v>
      </c>
      <c r="W60">
        <v>0</v>
      </c>
      <c r="X60" t="s">
        <v>66</v>
      </c>
      <c r="Y60" t="s">
        <v>56</v>
      </c>
      <c r="Z60">
        <v>0</v>
      </c>
      <c r="AA60" t="s">
        <v>66</v>
      </c>
      <c r="AB60" t="s">
        <v>56</v>
      </c>
      <c r="AC60">
        <v>0</v>
      </c>
      <c r="AD60" t="s">
        <v>66</v>
      </c>
      <c r="AE60" t="s">
        <v>56</v>
      </c>
      <c r="AF60">
        <v>0</v>
      </c>
      <c r="AG60" t="s">
        <v>66</v>
      </c>
      <c r="AH60" t="s">
        <v>56</v>
      </c>
      <c r="AI60">
        <v>1</v>
      </c>
      <c r="AJ60" t="s">
        <v>1627</v>
      </c>
      <c r="AK60">
        <v>0</v>
      </c>
      <c r="AL60" t="s">
        <v>66</v>
      </c>
      <c r="AM60" t="s">
        <v>56</v>
      </c>
      <c r="AN60" t="s">
        <v>56</v>
      </c>
      <c r="AO60" t="s">
        <v>4125</v>
      </c>
      <c r="AP60" t="s">
        <v>3962</v>
      </c>
      <c r="AQ60" t="s">
        <v>3963</v>
      </c>
      <c r="AR60" t="s">
        <v>3941</v>
      </c>
      <c r="AS60" t="s">
        <v>3942</v>
      </c>
      <c r="AT60" t="s">
        <v>4126</v>
      </c>
      <c r="AU60" t="s">
        <v>4026</v>
      </c>
      <c r="AV60" t="s">
        <v>4027</v>
      </c>
      <c r="AW60" t="s">
        <v>4028</v>
      </c>
      <c r="AX60">
        <v>12</v>
      </c>
      <c r="AY60">
        <v>2</v>
      </c>
      <c r="AZ60" t="s">
        <v>3897</v>
      </c>
      <c r="BA60">
        <v>10</v>
      </c>
      <c r="BB60" t="s">
        <v>3898</v>
      </c>
      <c r="BC60">
        <v>2</v>
      </c>
      <c r="BD60">
        <v>5</v>
      </c>
      <c r="BE60" t="s">
        <v>3899</v>
      </c>
      <c r="BF60">
        <v>120</v>
      </c>
      <c r="BG60">
        <v>74</v>
      </c>
      <c r="BH60" t="s">
        <v>3923</v>
      </c>
      <c r="BI60" t="s">
        <v>4127</v>
      </c>
      <c r="BJ60">
        <v>1</v>
      </c>
      <c r="BK60" t="s">
        <v>3902</v>
      </c>
    </row>
    <row r="61" spans="1:63" x14ac:dyDescent="0.25">
      <c r="A61">
        <v>1019</v>
      </c>
      <c r="B61" t="str">
        <f>"20200124119016998651"</f>
        <v>20200124119016998651</v>
      </c>
      <c r="C61">
        <v>1</v>
      </c>
      <c r="D61">
        <v>1</v>
      </c>
      <c r="E61" t="s">
        <v>3886</v>
      </c>
      <c r="F61">
        <v>2</v>
      </c>
      <c r="G61">
        <v>0</v>
      </c>
      <c r="H61" t="s">
        <v>66</v>
      </c>
      <c r="I61">
        <v>0</v>
      </c>
      <c r="J61" t="s">
        <v>66</v>
      </c>
      <c r="K61">
        <v>1</v>
      </c>
      <c r="L61" t="s">
        <v>1627</v>
      </c>
      <c r="M61" t="s">
        <v>4128</v>
      </c>
      <c r="N61">
        <v>1</v>
      </c>
      <c r="O61" t="s">
        <v>1627</v>
      </c>
      <c r="P61" t="s">
        <v>4129</v>
      </c>
      <c r="Q61">
        <v>0</v>
      </c>
      <c r="R61" t="s">
        <v>66</v>
      </c>
      <c r="S61" t="s">
        <v>56</v>
      </c>
      <c r="T61" t="s">
        <v>56</v>
      </c>
      <c r="U61" t="s">
        <v>56</v>
      </c>
      <c r="V61" t="s">
        <v>56</v>
      </c>
      <c r="W61">
        <v>0</v>
      </c>
      <c r="X61" t="s">
        <v>66</v>
      </c>
      <c r="Y61" t="s">
        <v>56</v>
      </c>
      <c r="Z61">
        <v>0</v>
      </c>
      <c r="AA61" t="s">
        <v>66</v>
      </c>
      <c r="AB61" t="s">
        <v>56</v>
      </c>
      <c r="AC61">
        <v>0</v>
      </c>
      <c r="AD61" t="s">
        <v>66</v>
      </c>
      <c r="AE61" t="s">
        <v>56</v>
      </c>
      <c r="AF61">
        <v>0</v>
      </c>
      <c r="AG61" t="s">
        <v>66</v>
      </c>
      <c r="AH61" t="s">
        <v>56</v>
      </c>
      <c r="AI61">
        <v>1</v>
      </c>
      <c r="AJ61" t="s">
        <v>1627</v>
      </c>
      <c r="AK61">
        <v>0</v>
      </c>
      <c r="AL61" t="s">
        <v>66</v>
      </c>
      <c r="AM61" t="s">
        <v>56</v>
      </c>
      <c r="AN61" t="s">
        <v>56</v>
      </c>
      <c r="AO61" t="s">
        <v>4130</v>
      </c>
      <c r="AP61" t="s">
        <v>3962</v>
      </c>
      <c r="AQ61" t="s">
        <v>3963</v>
      </c>
      <c r="AR61" t="s">
        <v>3941</v>
      </c>
      <c r="AS61" t="s">
        <v>3942</v>
      </c>
      <c r="AT61" t="s">
        <v>4131</v>
      </c>
      <c r="AU61">
        <v>9000</v>
      </c>
      <c r="AV61" t="s">
        <v>3956</v>
      </c>
      <c r="AW61" t="s">
        <v>3956</v>
      </c>
      <c r="AX61">
        <v>12</v>
      </c>
      <c r="AY61">
        <v>2</v>
      </c>
      <c r="AZ61" t="s">
        <v>3897</v>
      </c>
      <c r="BA61">
        <v>10</v>
      </c>
      <c r="BB61" t="s">
        <v>3898</v>
      </c>
      <c r="BC61">
        <v>3</v>
      </c>
      <c r="BD61">
        <v>5</v>
      </c>
      <c r="BE61" t="s">
        <v>3899</v>
      </c>
      <c r="BF61">
        <v>180</v>
      </c>
      <c r="BG61">
        <v>66</v>
      </c>
      <c r="BH61" t="s">
        <v>3965</v>
      </c>
      <c r="BI61" t="s">
        <v>4132</v>
      </c>
      <c r="BJ61">
        <v>1</v>
      </c>
      <c r="BK61" t="s">
        <v>3902</v>
      </c>
    </row>
    <row r="62" spans="1:63" x14ac:dyDescent="0.25">
      <c r="A62">
        <v>1020</v>
      </c>
      <c r="B62" t="str">
        <f>"20200124118016999293"</f>
        <v>20200124118016999293</v>
      </c>
      <c r="C62">
        <v>1</v>
      </c>
      <c r="D62">
        <v>1</v>
      </c>
      <c r="E62" t="s">
        <v>3886</v>
      </c>
      <c r="F62">
        <v>2</v>
      </c>
      <c r="G62">
        <v>0</v>
      </c>
      <c r="H62" t="s">
        <v>66</v>
      </c>
      <c r="I62">
        <v>0</v>
      </c>
      <c r="J62" t="s">
        <v>66</v>
      </c>
      <c r="K62">
        <v>1</v>
      </c>
      <c r="L62" t="s">
        <v>1627</v>
      </c>
      <c r="M62" t="s">
        <v>3915</v>
      </c>
      <c r="N62">
        <v>1</v>
      </c>
      <c r="O62" t="s">
        <v>1627</v>
      </c>
      <c r="P62" t="s">
        <v>4133</v>
      </c>
      <c r="Q62">
        <v>0</v>
      </c>
      <c r="R62" t="s">
        <v>66</v>
      </c>
      <c r="S62" t="s">
        <v>56</v>
      </c>
      <c r="T62" t="s">
        <v>56</v>
      </c>
      <c r="U62" t="s">
        <v>56</v>
      </c>
      <c r="V62" t="s">
        <v>56</v>
      </c>
      <c r="W62">
        <v>0</v>
      </c>
      <c r="X62" t="s">
        <v>66</v>
      </c>
      <c r="Y62" t="s">
        <v>56</v>
      </c>
      <c r="Z62">
        <v>0</v>
      </c>
      <c r="AA62" t="s">
        <v>66</v>
      </c>
      <c r="AB62" t="s">
        <v>56</v>
      </c>
      <c r="AC62">
        <v>0</v>
      </c>
      <c r="AD62" t="s">
        <v>66</v>
      </c>
      <c r="AE62" t="s">
        <v>56</v>
      </c>
      <c r="AF62">
        <v>0</v>
      </c>
      <c r="AG62" t="s">
        <v>66</v>
      </c>
      <c r="AH62" t="s">
        <v>56</v>
      </c>
      <c r="AI62">
        <v>1</v>
      </c>
      <c r="AJ62" t="s">
        <v>1627</v>
      </c>
      <c r="AK62" t="s">
        <v>56</v>
      </c>
      <c r="AL62" t="s">
        <v>56</v>
      </c>
      <c r="AM62" t="s">
        <v>56</v>
      </c>
      <c r="AN62" t="s">
        <v>56</v>
      </c>
      <c r="AO62" t="s">
        <v>4134</v>
      </c>
      <c r="AP62" t="s">
        <v>3939</v>
      </c>
      <c r="AQ62" t="s">
        <v>3940</v>
      </c>
      <c r="AR62" t="s">
        <v>4135</v>
      </c>
      <c r="AS62" t="s">
        <v>4136</v>
      </c>
      <c r="AT62" t="s">
        <v>4137</v>
      </c>
      <c r="AU62" t="s">
        <v>3907</v>
      </c>
      <c r="AV62" t="s">
        <v>3908</v>
      </c>
      <c r="AW62" t="s">
        <v>3909</v>
      </c>
      <c r="AX62">
        <v>12</v>
      </c>
      <c r="AY62">
        <v>2</v>
      </c>
      <c r="AZ62" t="s">
        <v>3897</v>
      </c>
      <c r="BA62">
        <v>10</v>
      </c>
      <c r="BB62" t="s">
        <v>3898</v>
      </c>
      <c r="BC62">
        <v>3</v>
      </c>
      <c r="BD62">
        <v>5</v>
      </c>
      <c r="BE62" t="s">
        <v>3899</v>
      </c>
      <c r="BF62">
        <v>180</v>
      </c>
      <c r="BG62">
        <v>14</v>
      </c>
      <c r="BH62" t="s">
        <v>3947</v>
      </c>
      <c r="BI62" t="s">
        <v>4138</v>
      </c>
      <c r="BJ62">
        <v>1</v>
      </c>
      <c r="BK62" t="s">
        <v>3902</v>
      </c>
    </row>
    <row r="63" spans="1:63" x14ac:dyDescent="0.25">
      <c r="A63">
        <v>1021</v>
      </c>
      <c r="B63" t="str">
        <f>"20200124157016999767"</f>
        <v>20200124157016999767</v>
      </c>
      <c r="C63">
        <v>1</v>
      </c>
      <c r="D63">
        <v>1</v>
      </c>
      <c r="E63" t="s">
        <v>3886</v>
      </c>
      <c r="F63">
        <v>2</v>
      </c>
      <c r="G63">
        <v>0</v>
      </c>
      <c r="H63" t="s">
        <v>66</v>
      </c>
      <c r="I63">
        <v>0</v>
      </c>
      <c r="J63" t="s">
        <v>66</v>
      </c>
      <c r="K63">
        <v>0</v>
      </c>
      <c r="L63" t="s">
        <v>66</v>
      </c>
      <c r="M63" t="s">
        <v>56</v>
      </c>
      <c r="N63">
        <v>0</v>
      </c>
      <c r="O63" t="s">
        <v>66</v>
      </c>
      <c r="P63" t="s">
        <v>56</v>
      </c>
      <c r="Q63">
        <v>0</v>
      </c>
      <c r="R63" t="s">
        <v>66</v>
      </c>
      <c r="S63" t="s">
        <v>56</v>
      </c>
      <c r="T63">
        <v>1</v>
      </c>
      <c r="U63" t="s">
        <v>1627</v>
      </c>
      <c r="V63" t="s">
        <v>56</v>
      </c>
      <c r="W63">
        <v>0</v>
      </c>
      <c r="X63" t="s">
        <v>66</v>
      </c>
      <c r="Y63" t="s">
        <v>56</v>
      </c>
      <c r="Z63">
        <v>0</v>
      </c>
      <c r="AA63" t="s">
        <v>66</v>
      </c>
      <c r="AB63" t="s">
        <v>56</v>
      </c>
      <c r="AC63">
        <v>1</v>
      </c>
      <c r="AD63" t="s">
        <v>1627</v>
      </c>
      <c r="AE63" t="s">
        <v>3887</v>
      </c>
      <c r="AF63">
        <v>0</v>
      </c>
      <c r="AG63" t="s">
        <v>66</v>
      </c>
      <c r="AH63" t="s">
        <v>56</v>
      </c>
      <c r="AI63">
        <v>1</v>
      </c>
      <c r="AJ63" t="s">
        <v>1627</v>
      </c>
      <c r="AK63" t="s">
        <v>56</v>
      </c>
      <c r="AL63" t="s">
        <v>56</v>
      </c>
      <c r="AM63" t="s">
        <v>56</v>
      </c>
      <c r="AN63" t="s">
        <v>56</v>
      </c>
      <c r="AO63" t="s">
        <v>4139</v>
      </c>
      <c r="AP63" t="s">
        <v>3889</v>
      </c>
      <c r="AQ63" t="s">
        <v>3890</v>
      </c>
      <c r="AR63" t="s">
        <v>3891</v>
      </c>
      <c r="AS63" t="s">
        <v>3892</v>
      </c>
      <c r="AT63" t="s">
        <v>4140</v>
      </c>
      <c r="AU63" t="s">
        <v>3894</v>
      </c>
      <c r="AV63" t="s">
        <v>3895</v>
      </c>
      <c r="AW63" t="s">
        <v>3896</v>
      </c>
      <c r="AX63">
        <v>12</v>
      </c>
      <c r="AY63">
        <v>2</v>
      </c>
      <c r="AZ63" t="s">
        <v>3897</v>
      </c>
      <c r="BA63">
        <v>10</v>
      </c>
      <c r="BB63" t="s">
        <v>3898</v>
      </c>
      <c r="BC63">
        <v>6</v>
      </c>
      <c r="BD63">
        <v>5</v>
      </c>
      <c r="BE63" t="s">
        <v>3899</v>
      </c>
      <c r="BF63">
        <v>6</v>
      </c>
      <c r="BG63">
        <v>13</v>
      </c>
      <c r="BH63" t="s">
        <v>3900</v>
      </c>
      <c r="BI63" t="s">
        <v>4141</v>
      </c>
      <c r="BJ63">
        <v>1</v>
      </c>
      <c r="BK63" t="s">
        <v>3902</v>
      </c>
    </row>
    <row r="64" spans="1:63" x14ac:dyDescent="0.25">
      <c r="A64">
        <v>1022</v>
      </c>
      <c r="B64" t="str">
        <f>"20200124157016999767"</f>
        <v>20200124157016999767</v>
      </c>
      <c r="C64">
        <v>2</v>
      </c>
      <c r="D64">
        <v>1</v>
      </c>
      <c r="E64" t="s">
        <v>3886</v>
      </c>
      <c r="F64">
        <v>2</v>
      </c>
      <c r="G64">
        <v>0</v>
      </c>
      <c r="H64" t="s">
        <v>66</v>
      </c>
      <c r="I64">
        <v>0</v>
      </c>
      <c r="J64" t="s">
        <v>66</v>
      </c>
      <c r="K64">
        <v>0</v>
      </c>
      <c r="L64" t="s">
        <v>66</v>
      </c>
      <c r="M64" t="s">
        <v>56</v>
      </c>
      <c r="N64">
        <v>0</v>
      </c>
      <c r="O64" t="s">
        <v>66</v>
      </c>
      <c r="P64" t="s">
        <v>56</v>
      </c>
      <c r="Q64">
        <v>0</v>
      </c>
      <c r="R64" t="s">
        <v>66</v>
      </c>
      <c r="S64" t="s">
        <v>56</v>
      </c>
      <c r="T64">
        <v>1</v>
      </c>
      <c r="U64" t="s">
        <v>1627</v>
      </c>
      <c r="V64" t="s">
        <v>56</v>
      </c>
      <c r="W64">
        <v>0</v>
      </c>
      <c r="X64" t="s">
        <v>66</v>
      </c>
      <c r="Y64" t="s">
        <v>56</v>
      </c>
      <c r="Z64">
        <v>0</v>
      </c>
      <c r="AA64" t="s">
        <v>66</v>
      </c>
      <c r="AB64" t="s">
        <v>56</v>
      </c>
      <c r="AC64">
        <v>1</v>
      </c>
      <c r="AD64" t="s">
        <v>1627</v>
      </c>
      <c r="AE64" t="s">
        <v>3887</v>
      </c>
      <c r="AF64">
        <v>0</v>
      </c>
      <c r="AG64" t="s">
        <v>66</v>
      </c>
      <c r="AH64" t="s">
        <v>56</v>
      </c>
      <c r="AI64">
        <v>1</v>
      </c>
      <c r="AJ64" t="s">
        <v>1627</v>
      </c>
      <c r="AK64" t="s">
        <v>56</v>
      </c>
      <c r="AL64" t="s">
        <v>56</v>
      </c>
      <c r="AM64" t="s">
        <v>56</v>
      </c>
      <c r="AN64" t="s">
        <v>56</v>
      </c>
      <c r="AO64" t="s">
        <v>4142</v>
      </c>
      <c r="AP64" t="s">
        <v>3889</v>
      </c>
      <c r="AQ64" t="s">
        <v>3890</v>
      </c>
      <c r="AR64" t="s">
        <v>3926</v>
      </c>
      <c r="AS64" t="s">
        <v>3927</v>
      </c>
      <c r="AT64" t="s">
        <v>4143</v>
      </c>
      <c r="AU64" t="s">
        <v>3894</v>
      </c>
      <c r="AV64" t="s">
        <v>3895</v>
      </c>
      <c r="AW64" t="s">
        <v>3896</v>
      </c>
      <c r="AX64">
        <v>8</v>
      </c>
      <c r="AY64">
        <v>2</v>
      </c>
      <c r="AZ64" t="s">
        <v>3897</v>
      </c>
      <c r="BA64">
        <v>10</v>
      </c>
      <c r="BB64" t="s">
        <v>3898</v>
      </c>
      <c r="BC64">
        <v>3</v>
      </c>
      <c r="BD64">
        <v>5</v>
      </c>
      <c r="BE64" t="s">
        <v>3899</v>
      </c>
      <c r="BF64">
        <v>3</v>
      </c>
      <c r="BG64">
        <v>13</v>
      </c>
      <c r="BH64" t="s">
        <v>3900</v>
      </c>
      <c r="BI64" t="s">
        <v>4144</v>
      </c>
      <c r="BJ64">
        <v>1</v>
      </c>
      <c r="BK64" t="s">
        <v>3902</v>
      </c>
    </row>
    <row r="65" spans="1:63" x14ac:dyDescent="0.25">
      <c r="A65">
        <v>1023</v>
      </c>
      <c r="B65" t="str">
        <f>"20200124189016999961"</f>
        <v>20200124189016999961</v>
      </c>
      <c r="C65">
        <v>1</v>
      </c>
      <c r="D65">
        <v>1</v>
      </c>
      <c r="E65" t="s">
        <v>3886</v>
      </c>
      <c r="F65">
        <v>1</v>
      </c>
      <c r="G65">
        <v>0</v>
      </c>
      <c r="H65" t="s">
        <v>66</v>
      </c>
      <c r="I65">
        <v>0</v>
      </c>
      <c r="J65" t="s">
        <v>66</v>
      </c>
      <c r="K65">
        <v>0</v>
      </c>
      <c r="L65" t="s">
        <v>66</v>
      </c>
      <c r="M65" t="s">
        <v>56</v>
      </c>
      <c r="N65">
        <v>0</v>
      </c>
      <c r="O65" t="s">
        <v>66</v>
      </c>
      <c r="P65" t="s">
        <v>56</v>
      </c>
      <c r="Q65">
        <v>0</v>
      </c>
      <c r="R65" t="s">
        <v>66</v>
      </c>
      <c r="S65" t="s">
        <v>56</v>
      </c>
      <c r="T65">
        <v>1</v>
      </c>
      <c r="U65" t="s">
        <v>1627</v>
      </c>
      <c r="V65" t="s">
        <v>56</v>
      </c>
      <c r="W65">
        <v>0</v>
      </c>
      <c r="X65" t="s">
        <v>66</v>
      </c>
      <c r="Y65" t="s">
        <v>56</v>
      </c>
      <c r="Z65">
        <v>0</v>
      </c>
      <c r="AA65" t="s">
        <v>66</v>
      </c>
      <c r="AB65" t="s">
        <v>56</v>
      </c>
      <c r="AC65">
        <v>1</v>
      </c>
      <c r="AD65" t="s">
        <v>1627</v>
      </c>
      <c r="AE65" t="s">
        <v>3887</v>
      </c>
      <c r="AF65">
        <v>0</v>
      </c>
      <c r="AG65" t="s">
        <v>66</v>
      </c>
      <c r="AH65" t="s">
        <v>56</v>
      </c>
      <c r="AI65">
        <v>1</v>
      </c>
      <c r="AJ65" t="s">
        <v>1627</v>
      </c>
      <c r="AK65" t="s">
        <v>56</v>
      </c>
      <c r="AL65" t="s">
        <v>56</v>
      </c>
      <c r="AM65" t="s">
        <v>56</v>
      </c>
      <c r="AN65" t="s">
        <v>56</v>
      </c>
      <c r="AO65" t="s">
        <v>4145</v>
      </c>
      <c r="AP65" t="s">
        <v>3971</v>
      </c>
      <c r="AQ65" t="s">
        <v>3972</v>
      </c>
      <c r="AR65" t="s">
        <v>4146</v>
      </c>
      <c r="AS65" t="s">
        <v>4147</v>
      </c>
      <c r="AT65" t="s">
        <v>4148</v>
      </c>
      <c r="AU65" t="s">
        <v>3944</v>
      </c>
      <c r="AV65" t="s">
        <v>3945</v>
      </c>
      <c r="AW65" t="s">
        <v>3946</v>
      </c>
      <c r="AX65">
        <v>24</v>
      </c>
      <c r="AY65">
        <v>2</v>
      </c>
      <c r="AZ65" t="s">
        <v>3897</v>
      </c>
      <c r="BA65">
        <v>1</v>
      </c>
      <c r="BB65" t="s">
        <v>4149</v>
      </c>
      <c r="BC65">
        <v>2</v>
      </c>
      <c r="BD65">
        <v>3</v>
      </c>
      <c r="BE65" t="s">
        <v>3911</v>
      </c>
      <c r="BF65">
        <v>2</v>
      </c>
      <c r="BG65" t="s">
        <v>3912</v>
      </c>
      <c r="BH65" t="s">
        <v>3913</v>
      </c>
      <c r="BI65" t="s">
        <v>4150</v>
      </c>
      <c r="BJ65">
        <v>1</v>
      </c>
      <c r="BK65" t="s">
        <v>3902</v>
      </c>
    </row>
    <row r="66" spans="1:63" x14ac:dyDescent="0.25">
      <c r="A66">
        <v>1024</v>
      </c>
      <c r="B66" t="str">
        <f>"20200124121017000267"</f>
        <v>20200124121017000267</v>
      </c>
      <c r="C66">
        <v>1</v>
      </c>
      <c r="D66">
        <v>1</v>
      </c>
      <c r="E66" t="s">
        <v>3886</v>
      </c>
      <c r="F66">
        <v>2</v>
      </c>
      <c r="G66">
        <v>0</v>
      </c>
      <c r="H66" t="s">
        <v>66</v>
      </c>
      <c r="I66">
        <v>0</v>
      </c>
      <c r="J66" t="s">
        <v>66</v>
      </c>
      <c r="K66">
        <v>0</v>
      </c>
      <c r="L66" t="s">
        <v>66</v>
      </c>
      <c r="M66" t="s">
        <v>56</v>
      </c>
      <c r="N66">
        <v>0</v>
      </c>
      <c r="O66" t="s">
        <v>66</v>
      </c>
      <c r="P66" t="s">
        <v>56</v>
      </c>
      <c r="Q66">
        <v>0</v>
      </c>
      <c r="R66" t="s">
        <v>66</v>
      </c>
      <c r="S66" t="s">
        <v>56</v>
      </c>
      <c r="T66">
        <v>1</v>
      </c>
      <c r="U66" t="s">
        <v>1627</v>
      </c>
      <c r="V66" t="s">
        <v>56</v>
      </c>
      <c r="W66">
        <v>0</v>
      </c>
      <c r="X66" t="s">
        <v>66</v>
      </c>
      <c r="Y66" t="s">
        <v>56</v>
      </c>
      <c r="Z66">
        <v>0</v>
      </c>
      <c r="AA66" t="s">
        <v>66</v>
      </c>
      <c r="AB66" t="s">
        <v>56</v>
      </c>
      <c r="AC66">
        <v>1</v>
      </c>
      <c r="AD66" t="s">
        <v>1627</v>
      </c>
      <c r="AE66" t="s">
        <v>3887</v>
      </c>
      <c r="AF66">
        <v>0</v>
      </c>
      <c r="AG66" t="s">
        <v>66</v>
      </c>
      <c r="AH66" t="s">
        <v>56</v>
      </c>
      <c r="AI66">
        <v>1</v>
      </c>
      <c r="AJ66" t="s">
        <v>1627</v>
      </c>
      <c r="AK66">
        <v>0</v>
      </c>
      <c r="AL66" t="s">
        <v>66</v>
      </c>
      <c r="AM66" t="s">
        <v>56</v>
      </c>
      <c r="AN66" t="s">
        <v>56</v>
      </c>
      <c r="AO66" t="s">
        <v>4151</v>
      </c>
      <c r="AP66" t="s">
        <v>3962</v>
      </c>
      <c r="AQ66" t="s">
        <v>3963</v>
      </c>
      <c r="AR66" t="s">
        <v>3941</v>
      </c>
      <c r="AS66" t="s">
        <v>3942</v>
      </c>
      <c r="AT66" t="s">
        <v>4152</v>
      </c>
      <c r="AU66" t="s">
        <v>3944</v>
      </c>
      <c r="AV66" t="s">
        <v>3945</v>
      </c>
      <c r="AW66" t="s">
        <v>3946</v>
      </c>
      <c r="AX66">
        <v>24</v>
      </c>
      <c r="AY66">
        <v>2</v>
      </c>
      <c r="AZ66" t="s">
        <v>3897</v>
      </c>
      <c r="BA66">
        <v>10</v>
      </c>
      <c r="BB66" t="s">
        <v>3898</v>
      </c>
      <c r="BC66">
        <v>30</v>
      </c>
      <c r="BD66">
        <v>3</v>
      </c>
      <c r="BE66" t="s">
        <v>3911</v>
      </c>
      <c r="BF66">
        <v>30</v>
      </c>
      <c r="BG66">
        <v>66</v>
      </c>
      <c r="BH66" t="s">
        <v>3965</v>
      </c>
      <c r="BI66" t="s">
        <v>4153</v>
      </c>
      <c r="BJ66">
        <v>1</v>
      </c>
      <c r="BK66" t="s">
        <v>3902</v>
      </c>
    </row>
    <row r="67" spans="1:63" x14ac:dyDescent="0.25">
      <c r="A67">
        <v>1025</v>
      </c>
      <c r="B67" t="str">
        <f>"20200124113017000880"</f>
        <v>20200124113017000880</v>
      </c>
      <c r="C67">
        <v>1</v>
      </c>
      <c r="D67">
        <v>1</v>
      </c>
      <c r="E67" t="s">
        <v>3886</v>
      </c>
      <c r="F67">
        <v>2</v>
      </c>
      <c r="G67">
        <v>0</v>
      </c>
      <c r="H67" t="s">
        <v>66</v>
      </c>
      <c r="I67">
        <v>0</v>
      </c>
      <c r="J67" t="s">
        <v>66</v>
      </c>
      <c r="K67">
        <v>0</v>
      </c>
      <c r="L67" t="s">
        <v>66</v>
      </c>
      <c r="M67" t="s">
        <v>56</v>
      </c>
      <c r="N67">
        <v>0</v>
      </c>
      <c r="O67" t="s">
        <v>66</v>
      </c>
      <c r="P67" t="s">
        <v>56</v>
      </c>
      <c r="Q67">
        <v>0</v>
      </c>
      <c r="R67" t="s">
        <v>66</v>
      </c>
      <c r="S67" t="s">
        <v>56</v>
      </c>
      <c r="T67">
        <v>1</v>
      </c>
      <c r="U67" t="s">
        <v>1627</v>
      </c>
      <c r="V67" t="s">
        <v>4112</v>
      </c>
      <c r="W67">
        <v>1</v>
      </c>
      <c r="X67" t="s">
        <v>1627</v>
      </c>
      <c r="Y67" t="s">
        <v>4154</v>
      </c>
      <c r="Z67">
        <v>0</v>
      </c>
      <c r="AA67" t="s">
        <v>66</v>
      </c>
      <c r="AB67" t="s">
        <v>56</v>
      </c>
      <c r="AC67">
        <v>0</v>
      </c>
      <c r="AD67" t="s">
        <v>66</v>
      </c>
      <c r="AE67" t="s">
        <v>56</v>
      </c>
      <c r="AF67">
        <v>0</v>
      </c>
      <c r="AG67" t="s">
        <v>66</v>
      </c>
      <c r="AH67" t="s">
        <v>56</v>
      </c>
      <c r="AI67">
        <v>1</v>
      </c>
      <c r="AJ67" t="s">
        <v>1627</v>
      </c>
      <c r="AK67" t="s">
        <v>56</v>
      </c>
      <c r="AL67" t="s">
        <v>56</v>
      </c>
      <c r="AM67" t="s">
        <v>56</v>
      </c>
      <c r="AN67" t="s">
        <v>56</v>
      </c>
      <c r="AO67" t="s">
        <v>3985</v>
      </c>
      <c r="AP67" t="s">
        <v>3962</v>
      </c>
      <c r="AQ67" t="s">
        <v>3963</v>
      </c>
      <c r="AR67" t="s">
        <v>3941</v>
      </c>
      <c r="AS67" t="s">
        <v>3942</v>
      </c>
      <c r="AT67" t="s">
        <v>4155</v>
      </c>
      <c r="AU67" t="s">
        <v>3944</v>
      </c>
      <c r="AV67" t="s">
        <v>3945</v>
      </c>
      <c r="AW67" t="s">
        <v>3946</v>
      </c>
      <c r="AX67">
        <v>24</v>
      </c>
      <c r="AY67">
        <v>2</v>
      </c>
      <c r="AZ67" t="s">
        <v>3897</v>
      </c>
      <c r="BA67">
        <v>10</v>
      </c>
      <c r="BB67" t="s">
        <v>3898</v>
      </c>
      <c r="BC67">
        <v>90</v>
      </c>
      <c r="BD67">
        <v>3</v>
      </c>
      <c r="BE67" t="s">
        <v>3911</v>
      </c>
      <c r="BF67">
        <v>90</v>
      </c>
      <c r="BG67">
        <v>66</v>
      </c>
      <c r="BH67" t="s">
        <v>3965</v>
      </c>
      <c r="BI67" t="s">
        <v>4156</v>
      </c>
      <c r="BJ67">
        <v>1</v>
      </c>
      <c r="BK67" t="s">
        <v>3902</v>
      </c>
    </row>
    <row r="68" spans="1:63" x14ac:dyDescent="0.25">
      <c r="A68">
        <v>1026</v>
      </c>
      <c r="B68" t="str">
        <f>"20200124180017001284"</f>
        <v>20200124180017001284</v>
      </c>
      <c r="C68">
        <v>1</v>
      </c>
      <c r="D68">
        <v>1</v>
      </c>
      <c r="E68" t="s">
        <v>3886</v>
      </c>
      <c r="F68">
        <v>2</v>
      </c>
      <c r="G68">
        <v>0</v>
      </c>
      <c r="H68" t="s">
        <v>66</v>
      </c>
      <c r="I68">
        <v>0</v>
      </c>
      <c r="J68" t="s">
        <v>66</v>
      </c>
      <c r="K68">
        <v>1</v>
      </c>
      <c r="L68" t="s">
        <v>1627</v>
      </c>
      <c r="M68" t="s">
        <v>3915</v>
      </c>
      <c r="N68">
        <v>1</v>
      </c>
      <c r="O68" t="s">
        <v>1627</v>
      </c>
      <c r="P68" t="s">
        <v>4157</v>
      </c>
      <c r="Q68">
        <v>0</v>
      </c>
      <c r="R68" t="s">
        <v>66</v>
      </c>
      <c r="S68" t="s">
        <v>56</v>
      </c>
      <c r="T68" t="s">
        <v>56</v>
      </c>
      <c r="U68" t="s">
        <v>56</v>
      </c>
      <c r="V68" t="s">
        <v>56</v>
      </c>
      <c r="W68">
        <v>0</v>
      </c>
      <c r="X68" t="s">
        <v>66</v>
      </c>
      <c r="Y68" t="s">
        <v>56</v>
      </c>
      <c r="Z68">
        <v>0</v>
      </c>
      <c r="AA68" t="s">
        <v>66</v>
      </c>
      <c r="AB68" t="s">
        <v>56</v>
      </c>
      <c r="AC68">
        <v>0</v>
      </c>
      <c r="AD68" t="s">
        <v>66</v>
      </c>
      <c r="AE68" t="s">
        <v>56</v>
      </c>
      <c r="AF68">
        <v>0</v>
      </c>
      <c r="AG68" t="s">
        <v>66</v>
      </c>
      <c r="AH68" t="s">
        <v>56</v>
      </c>
      <c r="AI68">
        <v>1</v>
      </c>
      <c r="AJ68" t="s">
        <v>1627</v>
      </c>
      <c r="AK68" t="s">
        <v>56</v>
      </c>
      <c r="AL68" t="s">
        <v>56</v>
      </c>
      <c r="AM68" t="s">
        <v>56</v>
      </c>
      <c r="AN68" t="s">
        <v>56</v>
      </c>
      <c r="AO68" t="s">
        <v>4134</v>
      </c>
      <c r="AP68" t="s">
        <v>3939</v>
      </c>
      <c r="AQ68" t="s">
        <v>3940</v>
      </c>
      <c r="AR68" t="s">
        <v>4135</v>
      </c>
      <c r="AS68" t="s">
        <v>4136</v>
      </c>
      <c r="AT68" t="s">
        <v>4158</v>
      </c>
      <c r="AU68" t="s">
        <v>3907</v>
      </c>
      <c r="AV68" t="s">
        <v>3908</v>
      </c>
      <c r="AW68" t="s">
        <v>3909</v>
      </c>
      <c r="AX68">
        <v>12</v>
      </c>
      <c r="AY68">
        <v>2</v>
      </c>
      <c r="AZ68" t="s">
        <v>3897</v>
      </c>
      <c r="BA68">
        <v>10</v>
      </c>
      <c r="BB68" t="s">
        <v>3898</v>
      </c>
      <c r="BC68">
        <v>180</v>
      </c>
      <c r="BD68">
        <v>3</v>
      </c>
      <c r="BE68" t="s">
        <v>3911</v>
      </c>
      <c r="BF68">
        <v>360</v>
      </c>
      <c r="BG68">
        <v>74</v>
      </c>
      <c r="BH68" t="s">
        <v>3923</v>
      </c>
      <c r="BI68" t="s">
        <v>4159</v>
      </c>
      <c r="BJ68">
        <v>1</v>
      </c>
      <c r="BK68" t="s">
        <v>3902</v>
      </c>
    </row>
    <row r="69" spans="1:63" x14ac:dyDescent="0.25">
      <c r="A69">
        <v>1027</v>
      </c>
      <c r="B69" t="str">
        <f>"20200124120017001781"</f>
        <v>20200124120017001781</v>
      </c>
      <c r="C69">
        <v>1</v>
      </c>
      <c r="D69">
        <v>1</v>
      </c>
      <c r="E69" t="s">
        <v>3886</v>
      </c>
      <c r="F69">
        <v>2</v>
      </c>
      <c r="G69">
        <v>0</v>
      </c>
      <c r="H69" t="s">
        <v>66</v>
      </c>
      <c r="I69">
        <v>0</v>
      </c>
      <c r="J69" t="s">
        <v>66</v>
      </c>
      <c r="K69">
        <v>0</v>
      </c>
      <c r="L69" t="s">
        <v>66</v>
      </c>
      <c r="M69" t="s">
        <v>56</v>
      </c>
      <c r="N69">
        <v>0</v>
      </c>
      <c r="O69" t="s">
        <v>66</v>
      </c>
      <c r="P69" t="s">
        <v>56</v>
      </c>
      <c r="Q69">
        <v>0</v>
      </c>
      <c r="R69" t="s">
        <v>66</v>
      </c>
      <c r="S69" t="s">
        <v>56</v>
      </c>
      <c r="T69">
        <v>1</v>
      </c>
      <c r="U69" t="s">
        <v>1627</v>
      </c>
      <c r="V69" t="s">
        <v>56</v>
      </c>
      <c r="W69">
        <v>0</v>
      </c>
      <c r="X69" t="s">
        <v>66</v>
      </c>
      <c r="Y69" t="s">
        <v>56</v>
      </c>
      <c r="Z69">
        <v>0</v>
      </c>
      <c r="AA69" t="s">
        <v>66</v>
      </c>
      <c r="AB69" t="s">
        <v>56</v>
      </c>
      <c r="AC69">
        <v>1</v>
      </c>
      <c r="AD69" t="s">
        <v>1627</v>
      </c>
      <c r="AE69" t="s">
        <v>3887</v>
      </c>
      <c r="AF69">
        <v>0</v>
      </c>
      <c r="AG69" t="s">
        <v>66</v>
      </c>
      <c r="AH69" t="s">
        <v>56</v>
      </c>
      <c r="AI69">
        <v>1</v>
      </c>
      <c r="AJ69" t="s">
        <v>1627</v>
      </c>
      <c r="AK69" t="s">
        <v>56</v>
      </c>
      <c r="AL69" t="s">
        <v>56</v>
      </c>
      <c r="AM69" t="s">
        <v>56</v>
      </c>
      <c r="AN69" t="s">
        <v>56</v>
      </c>
      <c r="AO69" t="s">
        <v>4160</v>
      </c>
      <c r="AP69" t="s">
        <v>3962</v>
      </c>
      <c r="AQ69" t="s">
        <v>3963</v>
      </c>
      <c r="AR69" t="s">
        <v>3941</v>
      </c>
      <c r="AS69" t="s">
        <v>3942</v>
      </c>
      <c r="AT69" t="s">
        <v>4161</v>
      </c>
      <c r="AU69" t="s">
        <v>3944</v>
      </c>
      <c r="AV69" t="s">
        <v>3945</v>
      </c>
      <c r="AW69" t="s">
        <v>3946</v>
      </c>
      <c r="AX69">
        <v>1</v>
      </c>
      <c r="AY69">
        <v>3</v>
      </c>
      <c r="AZ69" t="s">
        <v>3911</v>
      </c>
      <c r="BA69">
        <v>10</v>
      </c>
      <c r="BB69" t="s">
        <v>3898</v>
      </c>
      <c r="BC69">
        <v>12</v>
      </c>
      <c r="BD69">
        <v>5</v>
      </c>
      <c r="BE69" t="s">
        <v>3899</v>
      </c>
      <c r="BF69">
        <v>366</v>
      </c>
      <c r="BG69">
        <v>66</v>
      </c>
      <c r="BH69" t="s">
        <v>3965</v>
      </c>
      <c r="BI69" t="s">
        <v>4162</v>
      </c>
      <c r="BJ69">
        <v>1</v>
      </c>
      <c r="BK69" t="s">
        <v>3902</v>
      </c>
    </row>
    <row r="70" spans="1:63" x14ac:dyDescent="0.25">
      <c r="A70">
        <v>1028</v>
      </c>
      <c r="B70" t="str">
        <f>"20200124197017001906"</f>
        <v>20200124197017001906</v>
      </c>
      <c r="C70">
        <v>1</v>
      </c>
      <c r="D70">
        <v>1</v>
      </c>
      <c r="E70" t="s">
        <v>3886</v>
      </c>
      <c r="F70">
        <v>2</v>
      </c>
      <c r="G70">
        <v>0</v>
      </c>
      <c r="H70" t="s">
        <v>66</v>
      </c>
      <c r="I70">
        <v>0</v>
      </c>
      <c r="J70" t="s">
        <v>66</v>
      </c>
      <c r="K70">
        <v>0</v>
      </c>
      <c r="L70" t="s">
        <v>66</v>
      </c>
      <c r="M70" t="s">
        <v>56</v>
      </c>
      <c r="N70">
        <v>0</v>
      </c>
      <c r="O70" t="s">
        <v>66</v>
      </c>
      <c r="P70" t="s">
        <v>56</v>
      </c>
      <c r="Q70">
        <v>0</v>
      </c>
      <c r="R70" t="s">
        <v>66</v>
      </c>
      <c r="S70" t="s">
        <v>56</v>
      </c>
      <c r="T70">
        <v>1</v>
      </c>
      <c r="U70" t="s">
        <v>1627</v>
      </c>
      <c r="V70" t="s">
        <v>56</v>
      </c>
      <c r="W70">
        <v>0</v>
      </c>
      <c r="X70" t="s">
        <v>66</v>
      </c>
      <c r="Y70" t="s">
        <v>56</v>
      </c>
      <c r="Z70">
        <v>0</v>
      </c>
      <c r="AA70" t="s">
        <v>66</v>
      </c>
      <c r="AB70" t="s">
        <v>56</v>
      </c>
      <c r="AC70">
        <v>1</v>
      </c>
      <c r="AD70" t="s">
        <v>1627</v>
      </c>
      <c r="AE70" t="s">
        <v>3887</v>
      </c>
      <c r="AF70">
        <v>0</v>
      </c>
      <c r="AG70" t="s">
        <v>66</v>
      </c>
      <c r="AH70" t="s">
        <v>56</v>
      </c>
      <c r="AI70">
        <v>1</v>
      </c>
      <c r="AJ70" t="s">
        <v>1627</v>
      </c>
      <c r="AK70" t="s">
        <v>56</v>
      </c>
      <c r="AL70" t="s">
        <v>56</v>
      </c>
      <c r="AM70" t="s">
        <v>56</v>
      </c>
      <c r="AN70" t="s">
        <v>56</v>
      </c>
      <c r="AO70" t="s">
        <v>4163</v>
      </c>
      <c r="AP70" t="s">
        <v>3962</v>
      </c>
      <c r="AQ70" t="s">
        <v>3963</v>
      </c>
      <c r="AR70" t="s">
        <v>3941</v>
      </c>
      <c r="AS70" t="s">
        <v>3942</v>
      </c>
      <c r="AT70" t="s">
        <v>4164</v>
      </c>
      <c r="AU70">
        <v>9000</v>
      </c>
      <c r="AV70" t="s">
        <v>3956</v>
      </c>
      <c r="AW70" t="s">
        <v>3956</v>
      </c>
      <c r="AX70">
        <v>12</v>
      </c>
      <c r="AY70">
        <v>2</v>
      </c>
      <c r="AZ70" t="s">
        <v>3897</v>
      </c>
      <c r="BA70">
        <v>10</v>
      </c>
      <c r="BB70" t="s">
        <v>3898</v>
      </c>
      <c r="BC70">
        <v>1</v>
      </c>
      <c r="BD70">
        <v>5</v>
      </c>
      <c r="BE70" t="s">
        <v>3899</v>
      </c>
      <c r="BF70">
        <v>60</v>
      </c>
      <c r="BG70">
        <v>66</v>
      </c>
      <c r="BH70" t="s">
        <v>3965</v>
      </c>
      <c r="BI70" t="s">
        <v>4165</v>
      </c>
      <c r="BJ70">
        <v>1</v>
      </c>
      <c r="BK70" t="s">
        <v>3902</v>
      </c>
    </row>
    <row r="71" spans="1:63" x14ac:dyDescent="0.25">
      <c r="A71">
        <v>1029</v>
      </c>
      <c r="B71" t="str">
        <f>"20200124131017002071"</f>
        <v>20200124131017002071</v>
      </c>
      <c r="C71">
        <v>1</v>
      </c>
      <c r="D71">
        <v>1</v>
      </c>
      <c r="E71" t="s">
        <v>3886</v>
      </c>
      <c r="F71">
        <v>2</v>
      </c>
      <c r="G71">
        <v>0</v>
      </c>
      <c r="H71" t="s">
        <v>66</v>
      </c>
      <c r="I71">
        <v>0</v>
      </c>
      <c r="J71" t="s">
        <v>66</v>
      </c>
      <c r="K71">
        <v>1</v>
      </c>
      <c r="L71" t="s">
        <v>1627</v>
      </c>
      <c r="M71" t="s">
        <v>4166</v>
      </c>
      <c r="N71">
        <v>1</v>
      </c>
      <c r="O71" t="s">
        <v>1627</v>
      </c>
      <c r="P71" t="s">
        <v>4167</v>
      </c>
      <c r="Q71">
        <v>0</v>
      </c>
      <c r="R71" t="s">
        <v>66</v>
      </c>
      <c r="S71" t="s">
        <v>56</v>
      </c>
      <c r="T71" t="s">
        <v>56</v>
      </c>
      <c r="U71" t="s">
        <v>56</v>
      </c>
      <c r="V71" t="s">
        <v>56</v>
      </c>
      <c r="W71">
        <v>0</v>
      </c>
      <c r="X71" t="s">
        <v>66</v>
      </c>
      <c r="Y71" t="s">
        <v>56</v>
      </c>
      <c r="Z71">
        <v>0</v>
      </c>
      <c r="AA71" t="s">
        <v>66</v>
      </c>
      <c r="AB71" t="s">
        <v>56</v>
      </c>
      <c r="AC71">
        <v>0</v>
      </c>
      <c r="AD71" t="s">
        <v>66</v>
      </c>
      <c r="AE71" t="s">
        <v>56</v>
      </c>
      <c r="AF71">
        <v>0</v>
      </c>
      <c r="AG71" t="s">
        <v>66</v>
      </c>
      <c r="AH71" t="s">
        <v>56</v>
      </c>
      <c r="AI71">
        <v>1</v>
      </c>
      <c r="AJ71" t="s">
        <v>1627</v>
      </c>
      <c r="AK71" t="s">
        <v>56</v>
      </c>
      <c r="AL71" t="s">
        <v>56</v>
      </c>
      <c r="AM71" t="s">
        <v>56</v>
      </c>
      <c r="AN71" t="s">
        <v>56</v>
      </c>
      <c r="AO71" t="s">
        <v>4168</v>
      </c>
      <c r="AP71" t="s">
        <v>3971</v>
      </c>
      <c r="AQ71" t="s">
        <v>3972</v>
      </c>
      <c r="AR71" t="s">
        <v>3904</v>
      </c>
      <c r="AS71" t="s">
        <v>3905</v>
      </c>
      <c r="AT71" t="s">
        <v>4169</v>
      </c>
      <c r="AU71" t="s">
        <v>3944</v>
      </c>
      <c r="AV71" t="s">
        <v>3945</v>
      </c>
      <c r="AW71" t="s">
        <v>3946</v>
      </c>
      <c r="AX71">
        <v>24</v>
      </c>
      <c r="AY71">
        <v>2</v>
      </c>
      <c r="AZ71" t="s">
        <v>3897</v>
      </c>
      <c r="BA71">
        <v>9</v>
      </c>
      <c r="BB71" t="s">
        <v>4170</v>
      </c>
      <c r="BC71">
        <v>5</v>
      </c>
      <c r="BD71">
        <v>3</v>
      </c>
      <c r="BE71" t="s">
        <v>3911</v>
      </c>
      <c r="BF71">
        <v>40</v>
      </c>
      <c r="BG71">
        <v>13</v>
      </c>
      <c r="BH71" t="s">
        <v>3900</v>
      </c>
      <c r="BI71" t="s">
        <v>4171</v>
      </c>
      <c r="BJ71">
        <v>1</v>
      </c>
      <c r="BK71" t="s">
        <v>3902</v>
      </c>
    </row>
    <row r="72" spans="1:63" x14ac:dyDescent="0.25">
      <c r="A72">
        <v>1030</v>
      </c>
      <c r="B72" t="str">
        <f>"20200124197017002379"</f>
        <v>20200124197017002379</v>
      </c>
      <c r="C72">
        <v>1</v>
      </c>
      <c r="D72">
        <v>1</v>
      </c>
      <c r="E72" t="s">
        <v>3886</v>
      </c>
      <c r="F72">
        <v>2</v>
      </c>
      <c r="G72">
        <v>0</v>
      </c>
      <c r="H72" t="s">
        <v>66</v>
      </c>
      <c r="I72">
        <v>0</v>
      </c>
      <c r="J72" t="s">
        <v>66</v>
      </c>
      <c r="K72">
        <v>0</v>
      </c>
      <c r="L72" t="s">
        <v>66</v>
      </c>
      <c r="M72" t="s">
        <v>56</v>
      </c>
      <c r="N72">
        <v>0</v>
      </c>
      <c r="O72" t="s">
        <v>66</v>
      </c>
      <c r="P72" t="s">
        <v>56</v>
      </c>
      <c r="Q72">
        <v>0</v>
      </c>
      <c r="R72" t="s">
        <v>66</v>
      </c>
      <c r="S72" t="s">
        <v>56</v>
      </c>
      <c r="T72">
        <v>1</v>
      </c>
      <c r="U72" t="s">
        <v>1627</v>
      </c>
      <c r="V72" t="s">
        <v>56</v>
      </c>
      <c r="W72">
        <v>0</v>
      </c>
      <c r="X72" t="s">
        <v>66</v>
      </c>
      <c r="Y72" t="s">
        <v>56</v>
      </c>
      <c r="Z72">
        <v>0</v>
      </c>
      <c r="AA72" t="s">
        <v>66</v>
      </c>
      <c r="AB72" t="s">
        <v>56</v>
      </c>
      <c r="AC72">
        <v>1</v>
      </c>
      <c r="AD72" t="s">
        <v>1627</v>
      </c>
      <c r="AE72" t="s">
        <v>3887</v>
      </c>
      <c r="AF72">
        <v>0</v>
      </c>
      <c r="AG72" t="s">
        <v>66</v>
      </c>
      <c r="AH72" t="s">
        <v>56</v>
      </c>
      <c r="AI72">
        <v>1</v>
      </c>
      <c r="AJ72" t="s">
        <v>1627</v>
      </c>
      <c r="AK72" t="s">
        <v>56</v>
      </c>
      <c r="AL72" t="s">
        <v>56</v>
      </c>
      <c r="AM72" t="s">
        <v>56</v>
      </c>
      <c r="AN72" t="s">
        <v>56</v>
      </c>
      <c r="AO72" t="s">
        <v>3949</v>
      </c>
      <c r="AP72" t="s">
        <v>3889</v>
      </c>
      <c r="AQ72" t="s">
        <v>3890</v>
      </c>
      <c r="AR72" t="s">
        <v>3891</v>
      </c>
      <c r="AS72" t="s">
        <v>3892</v>
      </c>
      <c r="AT72" t="s">
        <v>4172</v>
      </c>
      <c r="AU72" t="s">
        <v>3894</v>
      </c>
      <c r="AV72" t="s">
        <v>3895</v>
      </c>
      <c r="AW72" t="s">
        <v>3896</v>
      </c>
      <c r="AX72">
        <v>8</v>
      </c>
      <c r="AY72">
        <v>2</v>
      </c>
      <c r="AZ72" t="s">
        <v>3897</v>
      </c>
      <c r="BA72">
        <v>10</v>
      </c>
      <c r="BB72" t="s">
        <v>3898</v>
      </c>
      <c r="BC72">
        <v>6</v>
      </c>
      <c r="BD72">
        <v>5</v>
      </c>
      <c r="BE72" t="s">
        <v>3899</v>
      </c>
      <c r="BF72">
        <v>6</v>
      </c>
      <c r="BG72">
        <v>13</v>
      </c>
      <c r="BH72" t="s">
        <v>3900</v>
      </c>
      <c r="BI72" t="s">
        <v>4173</v>
      </c>
      <c r="BJ72">
        <v>1</v>
      </c>
      <c r="BK72" t="s">
        <v>3902</v>
      </c>
    </row>
    <row r="73" spans="1:63" x14ac:dyDescent="0.25">
      <c r="A73">
        <v>1031</v>
      </c>
      <c r="B73" t="str">
        <f>"20200124176017002766"</f>
        <v>20200124176017002766</v>
      </c>
      <c r="C73">
        <v>1</v>
      </c>
      <c r="D73">
        <v>1</v>
      </c>
      <c r="E73" t="s">
        <v>3886</v>
      </c>
      <c r="F73">
        <v>2</v>
      </c>
      <c r="G73">
        <v>0</v>
      </c>
      <c r="H73" t="s">
        <v>66</v>
      </c>
      <c r="I73">
        <v>0</v>
      </c>
      <c r="J73" t="s">
        <v>66</v>
      </c>
      <c r="K73">
        <v>1</v>
      </c>
      <c r="L73" t="s">
        <v>1627</v>
      </c>
      <c r="M73" t="s">
        <v>4174</v>
      </c>
      <c r="N73">
        <v>1</v>
      </c>
      <c r="O73" t="s">
        <v>1627</v>
      </c>
      <c r="P73" t="s">
        <v>4175</v>
      </c>
      <c r="Q73">
        <v>0</v>
      </c>
      <c r="R73" t="s">
        <v>66</v>
      </c>
      <c r="S73" t="s">
        <v>56</v>
      </c>
      <c r="T73" t="s">
        <v>56</v>
      </c>
      <c r="U73" t="s">
        <v>56</v>
      </c>
      <c r="V73" t="s">
        <v>56</v>
      </c>
      <c r="W73">
        <v>0</v>
      </c>
      <c r="X73" t="s">
        <v>66</v>
      </c>
      <c r="Y73" t="s">
        <v>56</v>
      </c>
      <c r="Z73">
        <v>0</v>
      </c>
      <c r="AA73" t="s">
        <v>66</v>
      </c>
      <c r="AB73" t="s">
        <v>56</v>
      </c>
      <c r="AC73">
        <v>0</v>
      </c>
      <c r="AD73" t="s">
        <v>66</v>
      </c>
      <c r="AE73" t="s">
        <v>56</v>
      </c>
      <c r="AF73">
        <v>0</v>
      </c>
      <c r="AG73" t="s">
        <v>66</v>
      </c>
      <c r="AH73" t="s">
        <v>56</v>
      </c>
      <c r="AI73">
        <v>1</v>
      </c>
      <c r="AJ73" t="s">
        <v>1627</v>
      </c>
      <c r="AK73" t="s">
        <v>56</v>
      </c>
      <c r="AL73" t="s">
        <v>56</v>
      </c>
      <c r="AM73" t="s">
        <v>56</v>
      </c>
      <c r="AN73" t="s">
        <v>56</v>
      </c>
      <c r="AO73" t="s">
        <v>4176</v>
      </c>
      <c r="AP73" t="s">
        <v>3889</v>
      </c>
      <c r="AQ73" t="s">
        <v>3890</v>
      </c>
      <c r="AR73" t="s">
        <v>3920</v>
      </c>
      <c r="AS73" t="s">
        <v>3921</v>
      </c>
      <c r="AT73" t="s">
        <v>4177</v>
      </c>
      <c r="AU73">
        <v>9000</v>
      </c>
      <c r="AV73" t="s">
        <v>3956</v>
      </c>
      <c r="AW73" t="s">
        <v>3956</v>
      </c>
      <c r="AX73">
        <v>24</v>
      </c>
      <c r="AY73">
        <v>2</v>
      </c>
      <c r="AZ73" t="s">
        <v>3897</v>
      </c>
      <c r="BA73">
        <v>10</v>
      </c>
      <c r="BB73" t="s">
        <v>3898</v>
      </c>
      <c r="BC73">
        <v>3</v>
      </c>
      <c r="BD73">
        <v>5</v>
      </c>
      <c r="BE73" t="s">
        <v>3899</v>
      </c>
      <c r="BF73">
        <v>3</v>
      </c>
      <c r="BG73">
        <v>37</v>
      </c>
      <c r="BH73" t="s">
        <v>4007</v>
      </c>
      <c r="BI73" t="s">
        <v>4178</v>
      </c>
      <c r="BJ73">
        <v>1</v>
      </c>
      <c r="BK73" t="s">
        <v>3902</v>
      </c>
    </row>
    <row r="74" spans="1:63" x14ac:dyDescent="0.25">
      <c r="A74">
        <v>1032</v>
      </c>
      <c r="B74" t="str">
        <f>"20200124157017002890"</f>
        <v>20200124157017002890</v>
      </c>
      <c r="C74">
        <v>1</v>
      </c>
      <c r="D74">
        <v>1</v>
      </c>
      <c r="E74" t="s">
        <v>3886</v>
      </c>
      <c r="F74">
        <v>2</v>
      </c>
      <c r="G74">
        <v>0</v>
      </c>
      <c r="H74" t="s">
        <v>66</v>
      </c>
      <c r="I74">
        <v>0</v>
      </c>
      <c r="J74" t="s">
        <v>66</v>
      </c>
      <c r="K74">
        <v>0</v>
      </c>
      <c r="L74" t="s">
        <v>66</v>
      </c>
      <c r="M74" t="s">
        <v>56</v>
      </c>
      <c r="N74">
        <v>0</v>
      </c>
      <c r="O74" t="s">
        <v>66</v>
      </c>
      <c r="P74" t="s">
        <v>56</v>
      </c>
      <c r="Q74">
        <v>0</v>
      </c>
      <c r="R74" t="s">
        <v>66</v>
      </c>
      <c r="S74" t="s">
        <v>56</v>
      </c>
      <c r="T74">
        <v>1</v>
      </c>
      <c r="U74" t="s">
        <v>1627</v>
      </c>
      <c r="V74" t="s">
        <v>56</v>
      </c>
      <c r="W74">
        <v>0</v>
      </c>
      <c r="X74" t="s">
        <v>66</v>
      </c>
      <c r="Y74" t="s">
        <v>56</v>
      </c>
      <c r="Z74">
        <v>0</v>
      </c>
      <c r="AA74" t="s">
        <v>66</v>
      </c>
      <c r="AB74" t="s">
        <v>56</v>
      </c>
      <c r="AC74">
        <v>1</v>
      </c>
      <c r="AD74" t="s">
        <v>1627</v>
      </c>
      <c r="AE74" t="s">
        <v>3887</v>
      </c>
      <c r="AF74">
        <v>0</v>
      </c>
      <c r="AG74" t="s">
        <v>66</v>
      </c>
      <c r="AH74" t="s">
        <v>56</v>
      </c>
      <c r="AI74">
        <v>1</v>
      </c>
      <c r="AJ74" t="s">
        <v>1627</v>
      </c>
      <c r="AK74" t="s">
        <v>56</v>
      </c>
      <c r="AL74" t="s">
        <v>56</v>
      </c>
      <c r="AM74" t="s">
        <v>56</v>
      </c>
      <c r="AN74" t="s">
        <v>56</v>
      </c>
      <c r="AO74" t="s">
        <v>4160</v>
      </c>
      <c r="AP74" t="s">
        <v>3962</v>
      </c>
      <c r="AQ74" t="s">
        <v>3963</v>
      </c>
      <c r="AR74" t="s">
        <v>3941</v>
      </c>
      <c r="AS74" t="s">
        <v>3942</v>
      </c>
      <c r="AT74" t="s">
        <v>4179</v>
      </c>
      <c r="AU74">
        <v>9000</v>
      </c>
      <c r="AV74" t="s">
        <v>3956</v>
      </c>
      <c r="AW74" t="s">
        <v>3956</v>
      </c>
      <c r="AX74">
        <v>1</v>
      </c>
      <c r="AY74">
        <v>3</v>
      </c>
      <c r="AZ74" t="s">
        <v>3911</v>
      </c>
      <c r="BA74">
        <v>10</v>
      </c>
      <c r="BB74" t="s">
        <v>3898</v>
      </c>
      <c r="BC74">
        <v>120</v>
      </c>
      <c r="BD74">
        <v>3</v>
      </c>
      <c r="BE74" t="s">
        <v>3911</v>
      </c>
      <c r="BF74">
        <v>120</v>
      </c>
      <c r="BG74">
        <v>66</v>
      </c>
      <c r="BH74" t="s">
        <v>3965</v>
      </c>
      <c r="BI74" t="s">
        <v>4180</v>
      </c>
      <c r="BJ74">
        <v>1</v>
      </c>
      <c r="BK74" t="s">
        <v>3902</v>
      </c>
    </row>
    <row r="75" spans="1:63" x14ac:dyDescent="0.25">
      <c r="A75">
        <v>1033</v>
      </c>
      <c r="B75" t="str">
        <f>"20200124179017003528"</f>
        <v>20200124179017003528</v>
      </c>
      <c r="C75">
        <v>1</v>
      </c>
      <c r="D75">
        <v>1</v>
      </c>
      <c r="E75" t="s">
        <v>3886</v>
      </c>
      <c r="F75">
        <v>2</v>
      </c>
      <c r="G75">
        <v>0</v>
      </c>
      <c r="H75" t="s">
        <v>66</v>
      </c>
      <c r="I75">
        <v>0</v>
      </c>
      <c r="J75" t="s">
        <v>66</v>
      </c>
      <c r="K75">
        <v>1</v>
      </c>
      <c r="L75" t="s">
        <v>1627</v>
      </c>
      <c r="M75" t="s">
        <v>4181</v>
      </c>
      <c r="N75">
        <v>1</v>
      </c>
      <c r="O75" t="s">
        <v>1627</v>
      </c>
      <c r="P75" t="s">
        <v>4182</v>
      </c>
      <c r="Q75">
        <v>0</v>
      </c>
      <c r="R75" t="s">
        <v>66</v>
      </c>
      <c r="S75" t="s">
        <v>56</v>
      </c>
      <c r="T75" t="s">
        <v>56</v>
      </c>
      <c r="U75" t="s">
        <v>56</v>
      </c>
      <c r="V75" t="s">
        <v>56</v>
      </c>
      <c r="W75">
        <v>0</v>
      </c>
      <c r="X75" t="s">
        <v>66</v>
      </c>
      <c r="Y75" t="s">
        <v>56</v>
      </c>
      <c r="Z75">
        <v>0</v>
      </c>
      <c r="AA75" t="s">
        <v>66</v>
      </c>
      <c r="AB75" t="s">
        <v>56</v>
      </c>
      <c r="AC75">
        <v>0</v>
      </c>
      <c r="AD75" t="s">
        <v>66</v>
      </c>
      <c r="AE75" t="s">
        <v>56</v>
      </c>
      <c r="AF75">
        <v>0</v>
      </c>
      <c r="AG75" t="s">
        <v>66</v>
      </c>
      <c r="AH75" t="s">
        <v>56</v>
      </c>
      <c r="AI75">
        <v>1</v>
      </c>
      <c r="AJ75" t="s">
        <v>1627</v>
      </c>
      <c r="AK75">
        <v>0</v>
      </c>
      <c r="AL75" t="s">
        <v>66</v>
      </c>
      <c r="AM75" t="s">
        <v>56</v>
      </c>
      <c r="AN75" t="s">
        <v>56</v>
      </c>
      <c r="AO75" t="s">
        <v>4183</v>
      </c>
      <c r="AP75" t="s">
        <v>3962</v>
      </c>
      <c r="AQ75" t="s">
        <v>3963</v>
      </c>
      <c r="AR75" t="s">
        <v>3941</v>
      </c>
      <c r="AS75" t="s">
        <v>3942</v>
      </c>
      <c r="AT75" t="s">
        <v>4182</v>
      </c>
      <c r="AU75" t="s">
        <v>3944</v>
      </c>
      <c r="AV75" t="s">
        <v>3945</v>
      </c>
      <c r="AW75" t="s">
        <v>3946</v>
      </c>
      <c r="AX75">
        <v>12</v>
      </c>
      <c r="AY75">
        <v>2</v>
      </c>
      <c r="AZ75" t="s">
        <v>3897</v>
      </c>
      <c r="BA75">
        <v>10</v>
      </c>
      <c r="BB75" t="s">
        <v>3898</v>
      </c>
      <c r="BC75">
        <v>90</v>
      </c>
      <c r="BD75">
        <v>3</v>
      </c>
      <c r="BE75" t="s">
        <v>3911</v>
      </c>
      <c r="BF75">
        <v>360</v>
      </c>
      <c r="BG75">
        <v>66</v>
      </c>
      <c r="BH75" t="s">
        <v>3965</v>
      </c>
      <c r="BI75" t="s">
        <v>4184</v>
      </c>
      <c r="BJ75">
        <v>1</v>
      </c>
      <c r="BK75" t="s">
        <v>3902</v>
      </c>
    </row>
    <row r="76" spans="1:63" x14ac:dyDescent="0.25">
      <c r="A76">
        <v>1034</v>
      </c>
      <c r="B76" t="str">
        <f>"20200124130017003760"</f>
        <v>20200124130017003760</v>
      </c>
      <c r="C76">
        <v>1</v>
      </c>
      <c r="D76">
        <v>1</v>
      </c>
      <c r="E76" t="s">
        <v>3886</v>
      </c>
      <c r="F76">
        <v>2</v>
      </c>
      <c r="G76">
        <v>0</v>
      </c>
      <c r="H76" t="s">
        <v>66</v>
      </c>
      <c r="I76">
        <v>0</v>
      </c>
      <c r="J76" t="s">
        <v>66</v>
      </c>
      <c r="K76">
        <v>0</v>
      </c>
      <c r="L76" t="s">
        <v>66</v>
      </c>
      <c r="M76" t="s">
        <v>56</v>
      </c>
      <c r="N76">
        <v>0</v>
      </c>
      <c r="O76" t="s">
        <v>66</v>
      </c>
      <c r="P76" t="s">
        <v>56</v>
      </c>
      <c r="Q76">
        <v>0</v>
      </c>
      <c r="R76" t="s">
        <v>66</v>
      </c>
      <c r="S76" t="s">
        <v>56</v>
      </c>
      <c r="T76">
        <v>1</v>
      </c>
      <c r="U76" t="s">
        <v>1627</v>
      </c>
      <c r="V76" t="s">
        <v>56</v>
      </c>
      <c r="W76">
        <v>0</v>
      </c>
      <c r="X76" t="s">
        <v>66</v>
      </c>
      <c r="Y76" t="s">
        <v>56</v>
      </c>
      <c r="Z76">
        <v>0</v>
      </c>
      <c r="AA76" t="s">
        <v>66</v>
      </c>
      <c r="AB76" t="s">
        <v>56</v>
      </c>
      <c r="AC76">
        <v>1</v>
      </c>
      <c r="AD76" t="s">
        <v>1627</v>
      </c>
      <c r="AE76" t="s">
        <v>3887</v>
      </c>
      <c r="AF76">
        <v>0</v>
      </c>
      <c r="AG76" t="s">
        <v>66</v>
      </c>
      <c r="AH76" t="s">
        <v>56</v>
      </c>
      <c r="AI76">
        <v>1</v>
      </c>
      <c r="AJ76" t="s">
        <v>1627</v>
      </c>
      <c r="AK76" t="s">
        <v>56</v>
      </c>
      <c r="AL76" t="s">
        <v>56</v>
      </c>
      <c r="AM76" t="s">
        <v>56</v>
      </c>
      <c r="AN76" t="s">
        <v>56</v>
      </c>
      <c r="AO76" t="s">
        <v>4086</v>
      </c>
      <c r="AP76" t="s">
        <v>3939</v>
      </c>
      <c r="AQ76" t="s">
        <v>3940</v>
      </c>
      <c r="AR76" t="s">
        <v>3920</v>
      </c>
      <c r="AS76" t="s">
        <v>3921</v>
      </c>
      <c r="AT76" t="s">
        <v>4185</v>
      </c>
      <c r="AU76">
        <v>9000</v>
      </c>
      <c r="AV76" t="s">
        <v>3956</v>
      </c>
      <c r="AW76" t="s">
        <v>3956</v>
      </c>
      <c r="AX76">
        <v>24</v>
      </c>
      <c r="AY76">
        <v>2</v>
      </c>
      <c r="AZ76" t="s">
        <v>3897</v>
      </c>
      <c r="BA76">
        <v>10</v>
      </c>
      <c r="BB76" t="s">
        <v>3898</v>
      </c>
      <c r="BC76">
        <v>3</v>
      </c>
      <c r="BD76">
        <v>5</v>
      </c>
      <c r="BE76" t="s">
        <v>3899</v>
      </c>
      <c r="BF76">
        <v>90</v>
      </c>
      <c r="BG76">
        <v>14</v>
      </c>
      <c r="BH76" t="s">
        <v>3947</v>
      </c>
      <c r="BI76" t="s">
        <v>4186</v>
      </c>
      <c r="BJ76">
        <v>1</v>
      </c>
      <c r="BK76" t="s">
        <v>3902</v>
      </c>
    </row>
    <row r="77" spans="1:63" x14ac:dyDescent="0.25">
      <c r="A77">
        <v>1035</v>
      </c>
      <c r="B77" t="str">
        <f>"20200124143017004030"</f>
        <v>20200124143017004030</v>
      </c>
      <c r="C77">
        <v>1</v>
      </c>
      <c r="D77">
        <v>1</v>
      </c>
      <c r="E77" t="s">
        <v>3886</v>
      </c>
      <c r="F77">
        <v>2</v>
      </c>
      <c r="G77">
        <v>0</v>
      </c>
      <c r="H77" t="s">
        <v>66</v>
      </c>
      <c r="I77">
        <v>0</v>
      </c>
      <c r="J77" t="s">
        <v>66</v>
      </c>
      <c r="K77">
        <v>0</v>
      </c>
      <c r="L77" t="s">
        <v>66</v>
      </c>
      <c r="M77" t="s">
        <v>56</v>
      </c>
      <c r="N77">
        <v>0</v>
      </c>
      <c r="O77" t="s">
        <v>66</v>
      </c>
      <c r="P77" t="s">
        <v>56</v>
      </c>
      <c r="Q77">
        <v>0</v>
      </c>
      <c r="R77" t="s">
        <v>66</v>
      </c>
      <c r="S77" t="s">
        <v>56</v>
      </c>
      <c r="T77">
        <v>1</v>
      </c>
      <c r="U77" t="s">
        <v>1627</v>
      </c>
      <c r="V77" t="s">
        <v>56</v>
      </c>
      <c r="W77">
        <v>0</v>
      </c>
      <c r="X77" t="s">
        <v>66</v>
      </c>
      <c r="Y77" t="s">
        <v>56</v>
      </c>
      <c r="Z77">
        <v>0</v>
      </c>
      <c r="AA77" t="s">
        <v>66</v>
      </c>
      <c r="AB77" t="s">
        <v>56</v>
      </c>
      <c r="AC77">
        <v>1</v>
      </c>
      <c r="AD77" t="s">
        <v>1627</v>
      </c>
      <c r="AE77" t="s">
        <v>3887</v>
      </c>
      <c r="AF77">
        <v>0</v>
      </c>
      <c r="AG77" t="s">
        <v>66</v>
      </c>
      <c r="AH77" t="s">
        <v>56</v>
      </c>
      <c r="AI77">
        <v>1</v>
      </c>
      <c r="AJ77" t="s">
        <v>1627</v>
      </c>
      <c r="AK77" t="s">
        <v>56</v>
      </c>
      <c r="AL77" t="s">
        <v>56</v>
      </c>
      <c r="AM77" t="s">
        <v>56</v>
      </c>
      <c r="AN77" t="s">
        <v>56</v>
      </c>
      <c r="AO77" t="s">
        <v>4068</v>
      </c>
      <c r="AP77" t="s">
        <v>4069</v>
      </c>
      <c r="AQ77" t="s">
        <v>4070</v>
      </c>
      <c r="AR77" t="s">
        <v>4071</v>
      </c>
      <c r="AS77" t="s">
        <v>4072</v>
      </c>
      <c r="AT77" t="s">
        <v>4187</v>
      </c>
      <c r="AU77" t="s">
        <v>4026</v>
      </c>
      <c r="AV77" t="s">
        <v>4027</v>
      </c>
      <c r="AW77" t="s">
        <v>4028</v>
      </c>
      <c r="AX77">
        <v>24</v>
      </c>
      <c r="AY77">
        <v>2</v>
      </c>
      <c r="AZ77" t="s">
        <v>3897</v>
      </c>
      <c r="BA77">
        <v>10</v>
      </c>
      <c r="BB77" t="s">
        <v>3898</v>
      </c>
      <c r="BC77">
        <v>1</v>
      </c>
      <c r="BD77">
        <v>5</v>
      </c>
      <c r="BE77" t="s">
        <v>3899</v>
      </c>
      <c r="BF77">
        <v>1</v>
      </c>
      <c r="BG77">
        <v>74</v>
      </c>
      <c r="BH77" t="s">
        <v>3923</v>
      </c>
      <c r="BI77" t="s">
        <v>4188</v>
      </c>
      <c r="BJ77">
        <v>1</v>
      </c>
      <c r="BK77" t="s">
        <v>3902</v>
      </c>
    </row>
    <row r="78" spans="1:63" x14ac:dyDescent="0.25">
      <c r="A78">
        <v>1036</v>
      </c>
      <c r="B78" t="str">
        <f>"20200124174017004228"</f>
        <v>20200124174017004228</v>
      </c>
      <c r="C78">
        <v>1</v>
      </c>
      <c r="D78">
        <v>1</v>
      </c>
      <c r="E78" t="s">
        <v>3886</v>
      </c>
      <c r="F78">
        <v>1</v>
      </c>
      <c r="G78">
        <v>0</v>
      </c>
      <c r="H78" t="s">
        <v>66</v>
      </c>
      <c r="I78">
        <v>0</v>
      </c>
      <c r="J78" t="s">
        <v>66</v>
      </c>
      <c r="K78">
        <v>1</v>
      </c>
      <c r="L78" t="s">
        <v>1627</v>
      </c>
      <c r="M78" t="s">
        <v>4189</v>
      </c>
      <c r="N78">
        <v>1</v>
      </c>
      <c r="O78" t="s">
        <v>1627</v>
      </c>
      <c r="P78" t="s">
        <v>4190</v>
      </c>
      <c r="Q78">
        <v>0</v>
      </c>
      <c r="R78" t="s">
        <v>66</v>
      </c>
      <c r="S78" t="s">
        <v>56</v>
      </c>
      <c r="T78" t="s">
        <v>56</v>
      </c>
      <c r="U78" t="s">
        <v>56</v>
      </c>
      <c r="V78" t="s">
        <v>56</v>
      </c>
      <c r="W78">
        <v>0</v>
      </c>
      <c r="X78" t="s">
        <v>66</v>
      </c>
      <c r="Y78" t="s">
        <v>56</v>
      </c>
      <c r="Z78">
        <v>0</v>
      </c>
      <c r="AA78" t="s">
        <v>66</v>
      </c>
      <c r="AB78" t="s">
        <v>56</v>
      </c>
      <c r="AC78">
        <v>0</v>
      </c>
      <c r="AD78" t="s">
        <v>66</v>
      </c>
      <c r="AE78" t="s">
        <v>56</v>
      </c>
      <c r="AF78">
        <v>0</v>
      </c>
      <c r="AG78" t="s">
        <v>66</v>
      </c>
      <c r="AH78" t="s">
        <v>56</v>
      </c>
      <c r="AI78">
        <v>1</v>
      </c>
      <c r="AJ78" t="s">
        <v>1627</v>
      </c>
      <c r="AK78" t="s">
        <v>56</v>
      </c>
      <c r="AL78" t="s">
        <v>56</v>
      </c>
      <c r="AM78" t="s">
        <v>56</v>
      </c>
      <c r="AN78" t="s">
        <v>56</v>
      </c>
      <c r="AO78" t="s">
        <v>4191</v>
      </c>
      <c r="AP78" t="s">
        <v>3889</v>
      </c>
      <c r="AQ78" t="s">
        <v>3890</v>
      </c>
      <c r="AR78" t="s">
        <v>3941</v>
      </c>
      <c r="AS78" t="s">
        <v>3942</v>
      </c>
      <c r="AT78" t="s">
        <v>4192</v>
      </c>
      <c r="AU78" t="s">
        <v>3894</v>
      </c>
      <c r="AV78" t="s">
        <v>3895</v>
      </c>
      <c r="AW78" t="s">
        <v>3896</v>
      </c>
      <c r="AX78">
        <v>12</v>
      </c>
      <c r="AY78">
        <v>2</v>
      </c>
      <c r="AZ78" t="s">
        <v>3897</v>
      </c>
      <c r="BA78">
        <v>10</v>
      </c>
      <c r="BB78" t="s">
        <v>3898</v>
      </c>
      <c r="BC78">
        <v>1</v>
      </c>
      <c r="BD78">
        <v>5</v>
      </c>
      <c r="BE78" t="s">
        <v>3899</v>
      </c>
      <c r="BF78">
        <v>1</v>
      </c>
      <c r="BG78">
        <v>13</v>
      </c>
      <c r="BH78" t="s">
        <v>3900</v>
      </c>
      <c r="BI78" t="s">
        <v>4193</v>
      </c>
      <c r="BJ78">
        <v>1</v>
      </c>
      <c r="BK78" t="s">
        <v>3902</v>
      </c>
    </row>
    <row r="79" spans="1:63" x14ac:dyDescent="0.25">
      <c r="A79">
        <v>1037</v>
      </c>
      <c r="B79" t="str">
        <f>"20200124170017004508"</f>
        <v>20200124170017004508</v>
      </c>
      <c r="C79">
        <v>1</v>
      </c>
      <c r="D79">
        <v>1</v>
      </c>
      <c r="E79" t="s">
        <v>3886</v>
      </c>
      <c r="F79">
        <v>2</v>
      </c>
      <c r="G79">
        <v>0</v>
      </c>
      <c r="H79" t="s">
        <v>66</v>
      </c>
      <c r="I79">
        <v>0</v>
      </c>
      <c r="J79" t="s">
        <v>66</v>
      </c>
      <c r="K79">
        <v>1</v>
      </c>
      <c r="L79" t="s">
        <v>1627</v>
      </c>
      <c r="M79" t="s">
        <v>4194</v>
      </c>
      <c r="N79">
        <v>1</v>
      </c>
      <c r="O79" t="s">
        <v>1627</v>
      </c>
      <c r="P79" t="s">
        <v>4195</v>
      </c>
      <c r="Q79">
        <v>0</v>
      </c>
      <c r="R79" t="s">
        <v>66</v>
      </c>
      <c r="S79" t="s">
        <v>56</v>
      </c>
      <c r="T79" t="s">
        <v>56</v>
      </c>
      <c r="U79" t="s">
        <v>56</v>
      </c>
      <c r="V79" t="s">
        <v>56</v>
      </c>
      <c r="W79">
        <v>0</v>
      </c>
      <c r="X79" t="s">
        <v>66</v>
      </c>
      <c r="Y79" t="s">
        <v>56</v>
      </c>
      <c r="Z79">
        <v>0</v>
      </c>
      <c r="AA79" t="s">
        <v>66</v>
      </c>
      <c r="AB79" t="s">
        <v>56</v>
      </c>
      <c r="AC79">
        <v>0</v>
      </c>
      <c r="AD79" t="s">
        <v>66</v>
      </c>
      <c r="AE79" t="s">
        <v>56</v>
      </c>
      <c r="AF79">
        <v>0</v>
      </c>
      <c r="AG79" t="s">
        <v>66</v>
      </c>
      <c r="AH79" t="s">
        <v>56</v>
      </c>
      <c r="AI79">
        <v>1</v>
      </c>
      <c r="AJ79" t="s">
        <v>1627</v>
      </c>
      <c r="AK79" t="s">
        <v>56</v>
      </c>
      <c r="AL79" t="s">
        <v>56</v>
      </c>
      <c r="AM79" t="s">
        <v>56</v>
      </c>
      <c r="AN79" t="s">
        <v>56</v>
      </c>
      <c r="AO79" t="s">
        <v>3992</v>
      </c>
      <c r="AP79" t="s">
        <v>3889</v>
      </c>
      <c r="AQ79" t="s">
        <v>3890</v>
      </c>
      <c r="AR79" t="s">
        <v>3926</v>
      </c>
      <c r="AS79" t="s">
        <v>3927</v>
      </c>
      <c r="AT79" t="s">
        <v>4196</v>
      </c>
      <c r="AU79" t="s">
        <v>3894</v>
      </c>
      <c r="AV79" t="s">
        <v>3895</v>
      </c>
      <c r="AW79" t="s">
        <v>3896</v>
      </c>
      <c r="AX79">
        <v>12</v>
      </c>
      <c r="AY79">
        <v>2</v>
      </c>
      <c r="AZ79" t="s">
        <v>3897</v>
      </c>
      <c r="BA79">
        <v>10</v>
      </c>
      <c r="BB79" t="s">
        <v>3898</v>
      </c>
      <c r="BC79">
        <v>4</v>
      </c>
      <c r="BD79">
        <v>5</v>
      </c>
      <c r="BE79" t="s">
        <v>3899</v>
      </c>
      <c r="BF79">
        <v>4</v>
      </c>
      <c r="BG79">
        <v>13</v>
      </c>
      <c r="BH79" t="s">
        <v>3900</v>
      </c>
      <c r="BI79" t="s">
        <v>4197</v>
      </c>
      <c r="BJ79">
        <v>1</v>
      </c>
      <c r="BK79" t="s">
        <v>3902</v>
      </c>
    </row>
    <row r="80" spans="1:63" x14ac:dyDescent="0.25">
      <c r="A80">
        <v>1038</v>
      </c>
      <c r="B80" t="str">
        <f>"20200124128017004990"</f>
        <v>20200124128017004990</v>
      </c>
      <c r="C80">
        <v>1</v>
      </c>
      <c r="D80">
        <v>1</v>
      </c>
      <c r="E80" t="s">
        <v>3886</v>
      </c>
      <c r="F80">
        <v>2</v>
      </c>
      <c r="G80">
        <v>0</v>
      </c>
      <c r="H80" t="s">
        <v>66</v>
      </c>
      <c r="I80">
        <v>0</v>
      </c>
      <c r="J80" t="s">
        <v>66</v>
      </c>
      <c r="K80">
        <v>0</v>
      </c>
      <c r="L80" t="s">
        <v>66</v>
      </c>
      <c r="M80" t="s">
        <v>56</v>
      </c>
      <c r="N80">
        <v>0</v>
      </c>
      <c r="O80" t="s">
        <v>66</v>
      </c>
      <c r="P80" t="s">
        <v>56</v>
      </c>
      <c r="Q80">
        <v>0</v>
      </c>
      <c r="R80" t="s">
        <v>66</v>
      </c>
      <c r="S80" t="s">
        <v>56</v>
      </c>
      <c r="T80">
        <v>1</v>
      </c>
      <c r="U80" t="s">
        <v>1627</v>
      </c>
      <c r="V80" t="s">
        <v>56</v>
      </c>
      <c r="W80">
        <v>0</v>
      </c>
      <c r="X80" t="s">
        <v>66</v>
      </c>
      <c r="Y80" t="s">
        <v>56</v>
      </c>
      <c r="Z80">
        <v>0</v>
      </c>
      <c r="AA80" t="s">
        <v>66</v>
      </c>
      <c r="AB80" t="s">
        <v>56</v>
      </c>
      <c r="AC80">
        <v>1</v>
      </c>
      <c r="AD80" t="s">
        <v>1627</v>
      </c>
      <c r="AE80" t="s">
        <v>3887</v>
      </c>
      <c r="AF80">
        <v>0</v>
      </c>
      <c r="AG80" t="s">
        <v>66</v>
      </c>
      <c r="AH80" t="s">
        <v>56</v>
      </c>
      <c r="AI80">
        <v>1</v>
      </c>
      <c r="AJ80" t="s">
        <v>1627</v>
      </c>
      <c r="AK80" t="s">
        <v>56</v>
      </c>
      <c r="AL80" t="s">
        <v>56</v>
      </c>
      <c r="AM80" t="s">
        <v>56</v>
      </c>
      <c r="AN80" t="s">
        <v>56</v>
      </c>
      <c r="AO80" t="s">
        <v>3888</v>
      </c>
      <c r="AP80" t="s">
        <v>3889</v>
      </c>
      <c r="AQ80" t="s">
        <v>3890</v>
      </c>
      <c r="AR80" t="s">
        <v>3891</v>
      </c>
      <c r="AS80" t="s">
        <v>3892</v>
      </c>
      <c r="AT80" t="s">
        <v>3893</v>
      </c>
      <c r="AU80" t="s">
        <v>3894</v>
      </c>
      <c r="AV80" t="s">
        <v>3895</v>
      </c>
      <c r="AW80" t="s">
        <v>3896</v>
      </c>
      <c r="AX80">
        <v>6</v>
      </c>
      <c r="AY80">
        <v>2</v>
      </c>
      <c r="AZ80" t="s">
        <v>3897</v>
      </c>
      <c r="BA80">
        <v>10</v>
      </c>
      <c r="BB80" t="s">
        <v>3898</v>
      </c>
      <c r="BC80">
        <v>2</v>
      </c>
      <c r="BD80">
        <v>5</v>
      </c>
      <c r="BE80" t="s">
        <v>3899</v>
      </c>
      <c r="BF80">
        <v>2</v>
      </c>
      <c r="BG80">
        <v>13</v>
      </c>
      <c r="BH80" t="s">
        <v>3900</v>
      </c>
      <c r="BI80" t="s">
        <v>4198</v>
      </c>
      <c r="BJ80">
        <v>1</v>
      </c>
      <c r="BK80" t="s">
        <v>3902</v>
      </c>
    </row>
    <row r="81" spans="1:63" x14ac:dyDescent="0.25">
      <c r="A81">
        <v>1039</v>
      </c>
      <c r="B81" t="str">
        <f>"20200124189017005017"</f>
        <v>20200124189017005017</v>
      </c>
      <c r="C81">
        <v>1</v>
      </c>
      <c r="D81">
        <v>1</v>
      </c>
      <c r="E81" t="s">
        <v>3886</v>
      </c>
      <c r="F81">
        <v>2</v>
      </c>
      <c r="G81">
        <v>0</v>
      </c>
      <c r="H81" t="s">
        <v>66</v>
      </c>
      <c r="I81">
        <v>0</v>
      </c>
      <c r="J81" t="s">
        <v>66</v>
      </c>
      <c r="K81">
        <v>1</v>
      </c>
      <c r="L81" t="s">
        <v>1627</v>
      </c>
      <c r="M81" t="s">
        <v>4199</v>
      </c>
      <c r="N81">
        <v>1</v>
      </c>
      <c r="O81" t="s">
        <v>1627</v>
      </c>
      <c r="P81" t="s">
        <v>4200</v>
      </c>
      <c r="Q81">
        <v>0</v>
      </c>
      <c r="R81" t="s">
        <v>66</v>
      </c>
      <c r="S81" t="s">
        <v>56</v>
      </c>
      <c r="T81" t="s">
        <v>56</v>
      </c>
      <c r="U81" t="s">
        <v>56</v>
      </c>
      <c r="V81" t="s">
        <v>56</v>
      </c>
      <c r="W81">
        <v>0</v>
      </c>
      <c r="X81" t="s">
        <v>66</v>
      </c>
      <c r="Y81" t="s">
        <v>56</v>
      </c>
      <c r="Z81">
        <v>0</v>
      </c>
      <c r="AA81" t="s">
        <v>66</v>
      </c>
      <c r="AB81" t="s">
        <v>56</v>
      </c>
      <c r="AC81">
        <v>0</v>
      </c>
      <c r="AD81" t="s">
        <v>66</v>
      </c>
      <c r="AE81" t="s">
        <v>56</v>
      </c>
      <c r="AF81">
        <v>0</v>
      </c>
      <c r="AG81" t="s">
        <v>66</v>
      </c>
      <c r="AH81" t="s">
        <v>56</v>
      </c>
      <c r="AI81">
        <v>1</v>
      </c>
      <c r="AJ81" t="s">
        <v>1627</v>
      </c>
      <c r="AK81" t="s">
        <v>56</v>
      </c>
      <c r="AL81" t="s">
        <v>56</v>
      </c>
      <c r="AM81" t="s">
        <v>56</v>
      </c>
      <c r="AN81" t="s">
        <v>56</v>
      </c>
      <c r="AO81" t="s">
        <v>4201</v>
      </c>
      <c r="AP81" t="s">
        <v>3962</v>
      </c>
      <c r="AQ81" t="s">
        <v>3963</v>
      </c>
      <c r="AR81" t="s">
        <v>3941</v>
      </c>
      <c r="AS81" t="s">
        <v>3942</v>
      </c>
      <c r="AT81" t="s">
        <v>4202</v>
      </c>
      <c r="AU81" t="s">
        <v>3944</v>
      </c>
      <c r="AV81" t="s">
        <v>3945</v>
      </c>
      <c r="AW81" t="s">
        <v>3946</v>
      </c>
      <c r="AX81">
        <v>12</v>
      </c>
      <c r="AY81">
        <v>2</v>
      </c>
      <c r="AZ81" t="s">
        <v>3897</v>
      </c>
      <c r="BA81">
        <v>10</v>
      </c>
      <c r="BB81" t="s">
        <v>3898</v>
      </c>
      <c r="BC81">
        <v>3</v>
      </c>
      <c r="BD81">
        <v>5</v>
      </c>
      <c r="BE81" t="s">
        <v>3899</v>
      </c>
      <c r="BF81">
        <v>180</v>
      </c>
      <c r="BG81">
        <v>66</v>
      </c>
      <c r="BH81" t="s">
        <v>3965</v>
      </c>
      <c r="BI81" t="s">
        <v>4203</v>
      </c>
      <c r="BJ81">
        <v>1</v>
      </c>
      <c r="BK81" t="s">
        <v>3902</v>
      </c>
    </row>
    <row r="82" spans="1:63" x14ac:dyDescent="0.25">
      <c r="A82">
        <v>1040</v>
      </c>
      <c r="B82" t="str">
        <f>"20200124193017005078"</f>
        <v>20200124193017005078</v>
      </c>
      <c r="C82">
        <v>1</v>
      </c>
      <c r="D82">
        <v>1</v>
      </c>
      <c r="E82" t="s">
        <v>3886</v>
      </c>
      <c r="F82">
        <v>1</v>
      </c>
      <c r="G82">
        <v>0</v>
      </c>
      <c r="H82" t="s">
        <v>66</v>
      </c>
      <c r="I82">
        <v>0</v>
      </c>
      <c r="J82" t="s">
        <v>66</v>
      </c>
      <c r="K82">
        <v>1</v>
      </c>
      <c r="L82" t="s">
        <v>1627</v>
      </c>
      <c r="M82" t="s">
        <v>4204</v>
      </c>
      <c r="N82">
        <v>1</v>
      </c>
      <c r="O82" t="s">
        <v>1627</v>
      </c>
      <c r="P82" t="s">
        <v>4205</v>
      </c>
      <c r="Q82">
        <v>0</v>
      </c>
      <c r="R82" t="s">
        <v>66</v>
      </c>
      <c r="S82" t="s">
        <v>56</v>
      </c>
      <c r="T82" t="s">
        <v>56</v>
      </c>
      <c r="U82" t="s">
        <v>56</v>
      </c>
      <c r="V82" t="s">
        <v>56</v>
      </c>
      <c r="W82">
        <v>0</v>
      </c>
      <c r="X82" t="s">
        <v>66</v>
      </c>
      <c r="Y82" t="s">
        <v>56</v>
      </c>
      <c r="Z82">
        <v>0</v>
      </c>
      <c r="AA82" t="s">
        <v>66</v>
      </c>
      <c r="AB82" t="s">
        <v>56</v>
      </c>
      <c r="AC82">
        <v>0</v>
      </c>
      <c r="AD82" t="s">
        <v>66</v>
      </c>
      <c r="AE82" t="s">
        <v>56</v>
      </c>
      <c r="AF82">
        <v>0</v>
      </c>
      <c r="AG82" t="s">
        <v>66</v>
      </c>
      <c r="AH82" t="s">
        <v>56</v>
      </c>
      <c r="AI82">
        <v>1</v>
      </c>
      <c r="AJ82" t="s">
        <v>1627</v>
      </c>
      <c r="AK82" t="s">
        <v>56</v>
      </c>
      <c r="AL82" t="s">
        <v>56</v>
      </c>
      <c r="AM82" t="s">
        <v>56</v>
      </c>
      <c r="AN82" t="s">
        <v>56</v>
      </c>
      <c r="AO82" t="s">
        <v>4206</v>
      </c>
      <c r="AP82" t="s">
        <v>4069</v>
      </c>
      <c r="AQ82" t="s">
        <v>4070</v>
      </c>
      <c r="AR82" t="s">
        <v>4071</v>
      </c>
      <c r="AS82" t="s">
        <v>4072</v>
      </c>
      <c r="AT82" t="s">
        <v>4207</v>
      </c>
      <c r="AU82" t="s">
        <v>3944</v>
      </c>
      <c r="AV82" t="s">
        <v>3945</v>
      </c>
      <c r="AW82" t="s">
        <v>3946</v>
      </c>
      <c r="AX82">
        <v>12</v>
      </c>
      <c r="AY82">
        <v>3</v>
      </c>
      <c r="AZ82" t="s">
        <v>3911</v>
      </c>
      <c r="BA82">
        <v>10</v>
      </c>
      <c r="BB82" t="s">
        <v>3898</v>
      </c>
      <c r="BC82">
        <v>3</v>
      </c>
      <c r="BD82">
        <v>5</v>
      </c>
      <c r="BE82" t="s">
        <v>3899</v>
      </c>
      <c r="BF82">
        <v>6</v>
      </c>
      <c r="BG82">
        <v>73</v>
      </c>
      <c r="BH82" t="s">
        <v>3999</v>
      </c>
      <c r="BI82" t="s">
        <v>4208</v>
      </c>
      <c r="BJ82">
        <v>1</v>
      </c>
      <c r="BK82" t="s">
        <v>3902</v>
      </c>
    </row>
    <row r="83" spans="1:63" x14ac:dyDescent="0.25">
      <c r="A83">
        <v>1041</v>
      </c>
      <c r="B83" t="str">
        <f>"20200124132017005122"</f>
        <v>20200124132017005122</v>
      </c>
      <c r="C83">
        <v>1</v>
      </c>
      <c r="D83">
        <v>1</v>
      </c>
      <c r="E83" t="s">
        <v>3886</v>
      </c>
      <c r="F83">
        <v>1</v>
      </c>
      <c r="G83">
        <v>0</v>
      </c>
      <c r="H83" t="s">
        <v>66</v>
      </c>
      <c r="I83">
        <v>0</v>
      </c>
      <c r="J83" t="s">
        <v>66</v>
      </c>
      <c r="K83">
        <v>1</v>
      </c>
      <c r="L83" t="s">
        <v>1627</v>
      </c>
      <c r="M83" t="s">
        <v>4209</v>
      </c>
      <c r="N83">
        <v>1</v>
      </c>
      <c r="O83" t="s">
        <v>1627</v>
      </c>
      <c r="P83" t="s">
        <v>4210</v>
      </c>
      <c r="Q83">
        <v>0</v>
      </c>
      <c r="R83" t="s">
        <v>66</v>
      </c>
      <c r="S83" t="s">
        <v>56</v>
      </c>
      <c r="T83" t="s">
        <v>56</v>
      </c>
      <c r="U83" t="s">
        <v>56</v>
      </c>
      <c r="V83" t="s">
        <v>56</v>
      </c>
      <c r="W83">
        <v>0</v>
      </c>
      <c r="X83" t="s">
        <v>66</v>
      </c>
      <c r="Y83" t="s">
        <v>56</v>
      </c>
      <c r="Z83">
        <v>0</v>
      </c>
      <c r="AA83" t="s">
        <v>66</v>
      </c>
      <c r="AB83" t="s">
        <v>56</v>
      </c>
      <c r="AC83">
        <v>0</v>
      </c>
      <c r="AD83" t="s">
        <v>66</v>
      </c>
      <c r="AE83" t="s">
        <v>56</v>
      </c>
      <c r="AF83">
        <v>0</v>
      </c>
      <c r="AG83" t="s">
        <v>66</v>
      </c>
      <c r="AH83" t="s">
        <v>56</v>
      </c>
      <c r="AI83">
        <v>1</v>
      </c>
      <c r="AJ83" t="s">
        <v>1627</v>
      </c>
      <c r="AK83" t="s">
        <v>56</v>
      </c>
      <c r="AL83" t="s">
        <v>56</v>
      </c>
      <c r="AM83" t="s">
        <v>56</v>
      </c>
      <c r="AN83" t="s">
        <v>56</v>
      </c>
      <c r="AO83" t="s">
        <v>4211</v>
      </c>
      <c r="AP83" t="s">
        <v>3934</v>
      </c>
      <c r="AQ83" t="s">
        <v>3935</v>
      </c>
      <c r="AR83" t="s">
        <v>4146</v>
      </c>
      <c r="AS83" t="s">
        <v>4147</v>
      </c>
      <c r="AT83" t="s">
        <v>4212</v>
      </c>
      <c r="AU83" t="s">
        <v>4213</v>
      </c>
      <c r="AV83" t="s">
        <v>4214</v>
      </c>
      <c r="AW83" t="s">
        <v>4215</v>
      </c>
      <c r="AX83">
        <v>1</v>
      </c>
      <c r="AY83">
        <v>6</v>
      </c>
      <c r="AZ83" t="s">
        <v>4216</v>
      </c>
      <c r="BA83">
        <v>1</v>
      </c>
      <c r="BB83" t="s">
        <v>4149</v>
      </c>
      <c r="BC83">
        <v>1</v>
      </c>
      <c r="BD83">
        <v>6</v>
      </c>
      <c r="BE83" t="s">
        <v>4216</v>
      </c>
      <c r="BF83">
        <v>1</v>
      </c>
      <c r="BG83" t="s">
        <v>3912</v>
      </c>
      <c r="BH83" t="s">
        <v>3913</v>
      </c>
      <c r="BI83" t="s">
        <v>4217</v>
      </c>
      <c r="BJ83">
        <v>1</v>
      </c>
      <c r="BK83" t="s">
        <v>3902</v>
      </c>
    </row>
    <row r="84" spans="1:63" x14ac:dyDescent="0.25">
      <c r="A84">
        <v>1042</v>
      </c>
      <c r="B84" t="str">
        <f>"20200124117017005181"</f>
        <v>20200124117017005181</v>
      </c>
      <c r="C84">
        <v>1</v>
      </c>
      <c r="D84">
        <v>1</v>
      </c>
      <c r="E84" t="s">
        <v>3886</v>
      </c>
      <c r="F84">
        <v>1</v>
      </c>
      <c r="G84">
        <v>0</v>
      </c>
      <c r="H84" t="s">
        <v>66</v>
      </c>
      <c r="I84">
        <v>0</v>
      </c>
      <c r="J84" t="s">
        <v>66</v>
      </c>
      <c r="K84">
        <v>1</v>
      </c>
      <c r="L84" t="s">
        <v>1627</v>
      </c>
      <c r="M84" t="s">
        <v>4218</v>
      </c>
      <c r="N84">
        <v>1</v>
      </c>
      <c r="O84" t="s">
        <v>1627</v>
      </c>
      <c r="P84" t="s">
        <v>4219</v>
      </c>
      <c r="Q84">
        <v>0</v>
      </c>
      <c r="R84" t="s">
        <v>66</v>
      </c>
      <c r="S84" t="s">
        <v>56</v>
      </c>
      <c r="T84" t="s">
        <v>56</v>
      </c>
      <c r="U84" t="s">
        <v>56</v>
      </c>
      <c r="V84" t="s">
        <v>56</v>
      </c>
      <c r="W84">
        <v>0</v>
      </c>
      <c r="X84" t="s">
        <v>66</v>
      </c>
      <c r="Y84" t="s">
        <v>56</v>
      </c>
      <c r="Z84">
        <v>0</v>
      </c>
      <c r="AA84" t="s">
        <v>66</v>
      </c>
      <c r="AB84" t="s">
        <v>56</v>
      </c>
      <c r="AC84">
        <v>0</v>
      </c>
      <c r="AD84" t="s">
        <v>66</v>
      </c>
      <c r="AE84" t="s">
        <v>56</v>
      </c>
      <c r="AF84">
        <v>0</v>
      </c>
      <c r="AG84" t="s">
        <v>66</v>
      </c>
      <c r="AH84" t="s">
        <v>56</v>
      </c>
      <c r="AI84">
        <v>1</v>
      </c>
      <c r="AJ84" t="s">
        <v>1627</v>
      </c>
      <c r="AK84" t="s">
        <v>56</v>
      </c>
      <c r="AL84" t="s">
        <v>56</v>
      </c>
      <c r="AM84" t="s">
        <v>56</v>
      </c>
      <c r="AN84" t="s">
        <v>56</v>
      </c>
      <c r="AO84" t="s">
        <v>4220</v>
      </c>
      <c r="AP84" t="s">
        <v>3889</v>
      </c>
      <c r="AQ84" t="s">
        <v>3890</v>
      </c>
      <c r="AR84" t="s">
        <v>3904</v>
      </c>
      <c r="AS84" t="s">
        <v>3905</v>
      </c>
      <c r="AT84" t="s">
        <v>4221</v>
      </c>
      <c r="AU84" t="s">
        <v>4026</v>
      </c>
      <c r="AV84" t="s">
        <v>4027</v>
      </c>
      <c r="AW84" t="s">
        <v>4028</v>
      </c>
      <c r="AX84">
        <v>1</v>
      </c>
      <c r="AY84">
        <v>2</v>
      </c>
      <c r="AZ84" t="s">
        <v>3897</v>
      </c>
      <c r="BA84">
        <v>5</v>
      </c>
      <c r="BB84" t="s">
        <v>3910</v>
      </c>
      <c r="BC84">
        <v>3</v>
      </c>
      <c r="BD84">
        <v>3</v>
      </c>
      <c r="BE84" t="s">
        <v>3911</v>
      </c>
      <c r="BF84">
        <v>20</v>
      </c>
      <c r="BG84" t="s">
        <v>3912</v>
      </c>
      <c r="BH84" t="s">
        <v>3913</v>
      </c>
      <c r="BI84" t="s">
        <v>4222</v>
      </c>
      <c r="BJ84">
        <v>1</v>
      </c>
      <c r="BK84" t="s">
        <v>3902</v>
      </c>
    </row>
    <row r="85" spans="1:63" x14ac:dyDescent="0.25">
      <c r="A85">
        <v>1043</v>
      </c>
      <c r="B85" t="str">
        <f>"20200124199017005963"</f>
        <v>20200124199017005963</v>
      </c>
      <c r="C85">
        <v>1</v>
      </c>
      <c r="D85">
        <v>1</v>
      </c>
      <c r="E85" t="s">
        <v>3886</v>
      </c>
      <c r="F85">
        <v>2</v>
      </c>
      <c r="G85">
        <v>0</v>
      </c>
      <c r="H85" t="s">
        <v>66</v>
      </c>
      <c r="I85">
        <v>0</v>
      </c>
      <c r="J85" t="s">
        <v>66</v>
      </c>
      <c r="K85">
        <v>1</v>
      </c>
      <c r="L85" t="s">
        <v>1627</v>
      </c>
      <c r="M85" t="s">
        <v>4223</v>
      </c>
      <c r="N85">
        <v>1</v>
      </c>
      <c r="O85" t="s">
        <v>1627</v>
      </c>
      <c r="P85" t="s">
        <v>4224</v>
      </c>
      <c r="Q85">
        <v>0</v>
      </c>
      <c r="R85" t="s">
        <v>66</v>
      </c>
      <c r="S85" t="s">
        <v>56</v>
      </c>
      <c r="T85" t="s">
        <v>56</v>
      </c>
      <c r="U85" t="s">
        <v>56</v>
      </c>
      <c r="V85" t="s">
        <v>56</v>
      </c>
      <c r="W85">
        <v>0</v>
      </c>
      <c r="X85" t="s">
        <v>66</v>
      </c>
      <c r="Y85" t="s">
        <v>56</v>
      </c>
      <c r="Z85">
        <v>0</v>
      </c>
      <c r="AA85" t="s">
        <v>66</v>
      </c>
      <c r="AB85" t="s">
        <v>56</v>
      </c>
      <c r="AC85">
        <v>0</v>
      </c>
      <c r="AD85" t="s">
        <v>66</v>
      </c>
      <c r="AE85" t="s">
        <v>56</v>
      </c>
      <c r="AF85">
        <v>0</v>
      </c>
      <c r="AG85" t="s">
        <v>66</v>
      </c>
      <c r="AH85" t="s">
        <v>56</v>
      </c>
      <c r="AI85">
        <v>1</v>
      </c>
      <c r="AJ85" t="s">
        <v>1627</v>
      </c>
      <c r="AK85" t="s">
        <v>56</v>
      </c>
      <c r="AL85" t="s">
        <v>56</v>
      </c>
      <c r="AM85" t="s">
        <v>56</v>
      </c>
      <c r="AN85" t="s">
        <v>56</v>
      </c>
      <c r="AO85" t="s">
        <v>4225</v>
      </c>
      <c r="AP85" t="s">
        <v>4077</v>
      </c>
      <c r="AQ85" t="s">
        <v>4078</v>
      </c>
      <c r="AR85" t="s">
        <v>3941</v>
      </c>
      <c r="AS85" t="s">
        <v>3942</v>
      </c>
      <c r="AT85" t="s">
        <v>4226</v>
      </c>
      <c r="AU85" t="s">
        <v>3944</v>
      </c>
      <c r="AV85" t="s">
        <v>3945</v>
      </c>
      <c r="AW85" t="s">
        <v>3946</v>
      </c>
      <c r="AX85">
        <v>24</v>
      </c>
      <c r="AY85">
        <v>2</v>
      </c>
      <c r="AZ85" t="s">
        <v>3897</v>
      </c>
      <c r="BA85">
        <v>10</v>
      </c>
      <c r="BB85" t="s">
        <v>3898</v>
      </c>
      <c r="BC85">
        <v>10</v>
      </c>
      <c r="BD85">
        <v>3</v>
      </c>
      <c r="BE85" t="s">
        <v>3911</v>
      </c>
      <c r="BF85">
        <v>10</v>
      </c>
      <c r="BG85">
        <v>66</v>
      </c>
      <c r="BH85" t="s">
        <v>3965</v>
      </c>
      <c r="BI85" t="s">
        <v>4227</v>
      </c>
      <c r="BJ85">
        <v>1</v>
      </c>
      <c r="BK85" t="s">
        <v>3902</v>
      </c>
    </row>
    <row r="86" spans="1:63" x14ac:dyDescent="0.25">
      <c r="A86">
        <v>1044</v>
      </c>
      <c r="B86" t="str">
        <f>"20200124199017005963"</f>
        <v>20200124199017005963</v>
      </c>
      <c r="C86">
        <v>2</v>
      </c>
      <c r="D86">
        <v>1</v>
      </c>
      <c r="E86" t="s">
        <v>3886</v>
      </c>
      <c r="F86">
        <v>2</v>
      </c>
      <c r="G86">
        <v>0</v>
      </c>
      <c r="H86" t="s">
        <v>66</v>
      </c>
      <c r="I86">
        <v>0</v>
      </c>
      <c r="J86" t="s">
        <v>66</v>
      </c>
      <c r="K86">
        <v>1</v>
      </c>
      <c r="L86" t="s">
        <v>1627</v>
      </c>
      <c r="M86" t="s">
        <v>4223</v>
      </c>
      <c r="N86">
        <v>1</v>
      </c>
      <c r="O86" t="s">
        <v>1627</v>
      </c>
      <c r="P86" t="s">
        <v>4228</v>
      </c>
      <c r="Q86">
        <v>0</v>
      </c>
      <c r="R86" t="s">
        <v>66</v>
      </c>
      <c r="S86" t="s">
        <v>56</v>
      </c>
      <c r="T86" t="s">
        <v>56</v>
      </c>
      <c r="U86" t="s">
        <v>56</v>
      </c>
      <c r="V86" t="s">
        <v>56</v>
      </c>
      <c r="W86">
        <v>0</v>
      </c>
      <c r="X86" t="s">
        <v>66</v>
      </c>
      <c r="Y86" t="s">
        <v>56</v>
      </c>
      <c r="Z86">
        <v>0</v>
      </c>
      <c r="AA86" t="s">
        <v>66</v>
      </c>
      <c r="AB86" t="s">
        <v>56</v>
      </c>
      <c r="AC86">
        <v>0</v>
      </c>
      <c r="AD86" t="s">
        <v>66</v>
      </c>
      <c r="AE86" t="s">
        <v>56</v>
      </c>
      <c r="AF86">
        <v>0</v>
      </c>
      <c r="AG86" t="s">
        <v>66</v>
      </c>
      <c r="AH86" t="s">
        <v>56</v>
      </c>
      <c r="AI86">
        <v>1</v>
      </c>
      <c r="AJ86" t="s">
        <v>1627</v>
      </c>
      <c r="AK86" t="s">
        <v>56</v>
      </c>
      <c r="AL86" t="s">
        <v>56</v>
      </c>
      <c r="AM86" t="s">
        <v>56</v>
      </c>
      <c r="AN86" t="s">
        <v>56</v>
      </c>
      <c r="AO86" t="s">
        <v>4229</v>
      </c>
      <c r="AP86" t="s">
        <v>4077</v>
      </c>
      <c r="AQ86" t="s">
        <v>4078</v>
      </c>
      <c r="AR86" t="s">
        <v>3941</v>
      </c>
      <c r="AS86" t="s">
        <v>3942</v>
      </c>
      <c r="AT86" t="s">
        <v>4230</v>
      </c>
      <c r="AU86" t="s">
        <v>3944</v>
      </c>
      <c r="AV86" t="s">
        <v>3945</v>
      </c>
      <c r="AW86" t="s">
        <v>3946</v>
      </c>
      <c r="AX86">
        <v>24</v>
      </c>
      <c r="AY86">
        <v>2</v>
      </c>
      <c r="AZ86" t="s">
        <v>3897</v>
      </c>
      <c r="BA86">
        <v>10</v>
      </c>
      <c r="BB86" t="s">
        <v>3898</v>
      </c>
      <c r="BC86">
        <v>10</v>
      </c>
      <c r="BD86">
        <v>3</v>
      </c>
      <c r="BE86" t="s">
        <v>3911</v>
      </c>
      <c r="BF86">
        <v>10</v>
      </c>
      <c r="BG86">
        <v>66</v>
      </c>
      <c r="BH86" t="s">
        <v>3965</v>
      </c>
      <c r="BI86" t="s">
        <v>4227</v>
      </c>
      <c r="BJ86">
        <v>1</v>
      </c>
      <c r="BK86" t="s">
        <v>3902</v>
      </c>
    </row>
    <row r="87" spans="1:63" x14ac:dyDescent="0.25">
      <c r="A87">
        <v>1045</v>
      </c>
      <c r="B87" t="str">
        <f>"20200124199017005963"</f>
        <v>20200124199017005963</v>
      </c>
      <c r="C87">
        <v>3</v>
      </c>
      <c r="D87">
        <v>1</v>
      </c>
      <c r="E87" t="s">
        <v>3886</v>
      </c>
      <c r="F87">
        <v>2</v>
      </c>
      <c r="G87">
        <v>0</v>
      </c>
      <c r="H87" t="s">
        <v>66</v>
      </c>
      <c r="I87">
        <v>0</v>
      </c>
      <c r="J87" t="s">
        <v>66</v>
      </c>
      <c r="K87">
        <v>1</v>
      </c>
      <c r="L87" t="s">
        <v>1627</v>
      </c>
      <c r="M87" t="s">
        <v>4223</v>
      </c>
      <c r="N87">
        <v>1</v>
      </c>
      <c r="O87" t="s">
        <v>1627</v>
      </c>
      <c r="P87" t="s">
        <v>4228</v>
      </c>
      <c r="Q87">
        <v>0</v>
      </c>
      <c r="R87" t="s">
        <v>66</v>
      </c>
      <c r="S87" t="s">
        <v>56</v>
      </c>
      <c r="T87" t="s">
        <v>56</v>
      </c>
      <c r="U87" t="s">
        <v>56</v>
      </c>
      <c r="V87" t="s">
        <v>56</v>
      </c>
      <c r="W87">
        <v>0</v>
      </c>
      <c r="X87" t="s">
        <v>66</v>
      </c>
      <c r="Y87" t="s">
        <v>56</v>
      </c>
      <c r="Z87">
        <v>0</v>
      </c>
      <c r="AA87" t="s">
        <v>66</v>
      </c>
      <c r="AB87" t="s">
        <v>56</v>
      </c>
      <c r="AC87">
        <v>0</v>
      </c>
      <c r="AD87" t="s">
        <v>66</v>
      </c>
      <c r="AE87" t="s">
        <v>56</v>
      </c>
      <c r="AF87">
        <v>0</v>
      </c>
      <c r="AG87" t="s">
        <v>66</v>
      </c>
      <c r="AH87" t="s">
        <v>56</v>
      </c>
      <c r="AI87">
        <v>1</v>
      </c>
      <c r="AJ87" t="s">
        <v>1627</v>
      </c>
      <c r="AK87" t="s">
        <v>56</v>
      </c>
      <c r="AL87" t="s">
        <v>56</v>
      </c>
      <c r="AM87" t="s">
        <v>56</v>
      </c>
      <c r="AN87" t="s">
        <v>56</v>
      </c>
      <c r="AO87" t="s">
        <v>4231</v>
      </c>
      <c r="AP87" t="s">
        <v>4077</v>
      </c>
      <c r="AQ87" t="s">
        <v>4078</v>
      </c>
      <c r="AR87" t="s">
        <v>3941</v>
      </c>
      <c r="AS87" t="s">
        <v>3942</v>
      </c>
      <c r="AT87" t="s">
        <v>4232</v>
      </c>
      <c r="AU87" t="s">
        <v>3944</v>
      </c>
      <c r="AV87" t="s">
        <v>3945</v>
      </c>
      <c r="AW87" t="s">
        <v>3946</v>
      </c>
      <c r="AX87">
        <v>24</v>
      </c>
      <c r="AY87">
        <v>2</v>
      </c>
      <c r="AZ87" t="s">
        <v>3897</v>
      </c>
      <c r="BA87">
        <v>10</v>
      </c>
      <c r="BB87" t="s">
        <v>3898</v>
      </c>
      <c r="BC87">
        <v>3</v>
      </c>
      <c r="BD87">
        <v>5</v>
      </c>
      <c r="BE87" t="s">
        <v>3899</v>
      </c>
      <c r="BF87">
        <v>90</v>
      </c>
      <c r="BG87">
        <v>66</v>
      </c>
      <c r="BH87" t="s">
        <v>3965</v>
      </c>
      <c r="BI87" t="s">
        <v>4233</v>
      </c>
      <c r="BJ87">
        <v>1</v>
      </c>
      <c r="BK87" t="s">
        <v>3902</v>
      </c>
    </row>
    <row r="88" spans="1:63" x14ac:dyDescent="0.25">
      <c r="A88">
        <v>1101</v>
      </c>
      <c r="B88" t="str">
        <f>"20200125170017025766"</f>
        <v>20200125170017025766</v>
      </c>
      <c r="C88">
        <v>1</v>
      </c>
      <c r="D88">
        <v>1</v>
      </c>
      <c r="E88" t="s">
        <v>3886</v>
      </c>
      <c r="F88">
        <v>2</v>
      </c>
      <c r="G88">
        <v>0</v>
      </c>
      <c r="H88" t="s">
        <v>66</v>
      </c>
      <c r="I88">
        <v>0</v>
      </c>
      <c r="J88" t="s">
        <v>66</v>
      </c>
      <c r="K88">
        <v>0</v>
      </c>
      <c r="L88" t="s">
        <v>66</v>
      </c>
      <c r="M88" t="s">
        <v>56</v>
      </c>
      <c r="N88">
        <v>0</v>
      </c>
      <c r="O88" t="s">
        <v>66</v>
      </c>
      <c r="P88" t="s">
        <v>56</v>
      </c>
      <c r="Q88">
        <v>0</v>
      </c>
      <c r="R88" t="s">
        <v>66</v>
      </c>
      <c r="S88" t="s">
        <v>56</v>
      </c>
      <c r="T88">
        <v>1</v>
      </c>
      <c r="U88" t="s">
        <v>1627</v>
      </c>
      <c r="V88" t="s">
        <v>56</v>
      </c>
      <c r="W88">
        <v>0</v>
      </c>
      <c r="X88" t="s">
        <v>66</v>
      </c>
      <c r="Y88" t="s">
        <v>56</v>
      </c>
      <c r="Z88">
        <v>0</v>
      </c>
      <c r="AA88" t="s">
        <v>66</v>
      </c>
      <c r="AB88" t="s">
        <v>56</v>
      </c>
      <c r="AC88">
        <v>1</v>
      </c>
      <c r="AD88" t="s">
        <v>1627</v>
      </c>
      <c r="AE88" t="s">
        <v>3887</v>
      </c>
      <c r="AF88">
        <v>0</v>
      </c>
      <c r="AG88" t="s">
        <v>66</v>
      </c>
      <c r="AH88" t="s">
        <v>56</v>
      </c>
      <c r="AI88">
        <v>1</v>
      </c>
      <c r="AJ88" t="s">
        <v>1627</v>
      </c>
      <c r="AK88" t="s">
        <v>56</v>
      </c>
      <c r="AL88" t="s">
        <v>56</v>
      </c>
      <c r="AM88" t="s">
        <v>56</v>
      </c>
      <c r="AN88" t="s">
        <v>56</v>
      </c>
      <c r="AO88" t="s">
        <v>3938</v>
      </c>
      <c r="AP88" t="s">
        <v>3939</v>
      </c>
      <c r="AQ88" t="s">
        <v>3940</v>
      </c>
      <c r="AR88" t="s">
        <v>3941</v>
      </c>
      <c r="AS88" t="s">
        <v>3942</v>
      </c>
      <c r="AT88" t="s">
        <v>4234</v>
      </c>
      <c r="AU88" t="s">
        <v>3944</v>
      </c>
      <c r="AV88" t="s">
        <v>3945</v>
      </c>
      <c r="AW88" t="s">
        <v>3946</v>
      </c>
      <c r="AX88">
        <v>12</v>
      </c>
      <c r="AY88">
        <v>2</v>
      </c>
      <c r="AZ88" t="s">
        <v>3897</v>
      </c>
      <c r="BA88">
        <v>10</v>
      </c>
      <c r="BB88" t="s">
        <v>3898</v>
      </c>
      <c r="BC88">
        <v>120</v>
      </c>
      <c r="BD88">
        <v>3</v>
      </c>
      <c r="BE88" t="s">
        <v>3911</v>
      </c>
      <c r="BF88">
        <v>240</v>
      </c>
      <c r="BG88">
        <v>14</v>
      </c>
      <c r="BH88" t="s">
        <v>3947</v>
      </c>
      <c r="BI88" t="s">
        <v>4235</v>
      </c>
      <c r="BJ88">
        <v>1</v>
      </c>
      <c r="BK88" t="s">
        <v>3902</v>
      </c>
    </row>
    <row r="89" spans="1:63" x14ac:dyDescent="0.25">
      <c r="A89">
        <v>1102</v>
      </c>
      <c r="B89" t="str">
        <f>"20200125126017026387"</f>
        <v>20200125126017026387</v>
      </c>
      <c r="C89">
        <v>1</v>
      </c>
      <c r="D89">
        <v>1</v>
      </c>
      <c r="E89" t="s">
        <v>3886</v>
      </c>
      <c r="F89">
        <v>2</v>
      </c>
      <c r="G89">
        <v>0</v>
      </c>
      <c r="H89" t="s">
        <v>66</v>
      </c>
      <c r="I89">
        <v>0</v>
      </c>
      <c r="J89" t="s">
        <v>66</v>
      </c>
      <c r="K89">
        <v>1</v>
      </c>
      <c r="L89" t="s">
        <v>1627</v>
      </c>
      <c r="M89" t="s">
        <v>4236</v>
      </c>
      <c r="N89">
        <v>1</v>
      </c>
      <c r="O89" t="s">
        <v>1627</v>
      </c>
      <c r="P89" t="s">
        <v>4237</v>
      </c>
      <c r="Q89">
        <v>0</v>
      </c>
      <c r="R89" t="s">
        <v>66</v>
      </c>
      <c r="S89" t="s">
        <v>56</v>
      </c>
      <c r="T89" t="s">
        <v>56</v>
      </c>
      <c r="U89" t="s">
        <v>56</v>
      </c>
      <c r="V89" t="s">
        <v>56</v>
      </c>
      <c r="W89">
        <v>0</v>
      </c>
      <c r="X89" t="s">
        <v>66</v>
      </c>
      <c r="Y89" t="s">
        <v>56</v>
      </c>
      <c r="Z89">
        <v>0</v>
      </c>
      <c r="AA89" t="s">
        <v>66</v>
      </c>
      <c r="AB89" t="s">
        <v>56</v>
      </c>
      <c r="AC89">
        <v>0</v>
      </c>
      <c r="AD89" t="s">
        <v>66</v>
      </c>
      <c r="AE89" t="s">
        <v>56</v>
      </c>
      <c r="AF89">
        <v>0</v>
      </c>
      <c r="AG89" t="s">
        <v>66</v>
      </c>
      <c r="AH89" t="s">
        <v>56</v>
      </c>
      <c r="AI89">
        <v>1</v>
      </c>
      <c r="AJ89" t="s">
        <v>1627</v>
      </c>
      <c r="AK89" t="s">
        <v>56</v>
      </c>
      <c r="AL89" t="s">
        <v>56</v>
      </c>
      <c r="AM89" t="s">
        <v>56</v>
      </c>
      <c r="AN89" t="s">
        <v>56</v>
      </c>
      <c r="AO89" t="s">
        <v>4238</v>
      </c>
      <c r="AP89" t="s">
        <v>3962</v>
      </c>
      <c r="AQ89" t="s">
        <v>3963</v>
      </c>
      <c r="AR89" t="s">
        <v>3941</v>
      </c>
      <c r="AS89" t="s">
        <v>3942</v>
      </c>
      <c r="AT89" t="s">
        <v>4239</v>
      </c>
      <c r="AU89">
        <v>9000</v>
      </c>
      <c r="AV89" t="s">
        <v>3956</v>
      </c>
      <c r="AW89" t="s">
        <v>3956</v>
      </c>
      <c r="AX89">
        <v>12</v>
      </c>
      <c r="AY89">
        <v>2</v>
      </c>
      <c r="AZ89" t="s">
        <v>3897</v>
      </c>
      <c r="BA89">
        <v>10</v>
      </c>
      <c r="BB89" t="s">
        <v>3898</v>
      </c>
      <c r="BC89">
        <v>180</v>
      </c>
      <c r="BD89">
        <v>3</v>
      </c>
      <c r="BE89" t="s">
        <v>3911</v>
      </c>
      <c r="BF89">
        <v>360</v>
      </c>
      <c r="BG89">
        <v>66</v>
      </c>
      <c r="BH89" t="s">
        <v>3965</v>
      </c>
      <c r="BI89" t="s">
        <v>4240</v>
      </c>
      <c r="BJ89">
        <v>1</v>
      </c>
      <c r="BK89" t="s">
        <v>3902</v>
      </c>
    </row>
    <row r="90" spans="1:63" x14ac:dyDescent="0.25">
      <c r="A90">
        <v>1103</v>
      </c>
      <c r="B90" t="str">
        <f>"20200125140017026450"</f>
        <v>20200125140017026450</v>
      </c>
      <c r="C90">
        <v>1</v>
      </c>
      <c r="D90">
        <v>1</v>
      </c>
      <c r="E90" t="s">
        <v>3886</v>
      </c>
      <c r="F90">
        <v>2</v>
      </c>
      <c r="G90">
        <v>0</v>
      </c>
      <c r="H90" t="s">
        <v>66</v>
      </c>
      <c r="I90">
        <v>0</v>
      </c>
      <c r="J90" t="s">
        <v>66</v>
      </c>
      <c r="K90">
        <v>1</v>
      </c>
      <c r="L90" t="s">
        <v>1627</v>
      </c>
      <c r="M90" t="s">
        <v>4241</v>
      </c>
      <c r="N90">
        <v>0</v>
      </c>
      <c r="O90" t="s">
        <v>66</v>
      </c>
      <c r="P90" t="s">
        <v>56</v>
      </c>
      <c r="Q90">
        <v>1</v>
      </c>
      <c r="R90" t="s">
        <v>1627</v>
      </c>
      <c r="S90" t="s">
        <v>4242</v>
      </c>
      <c r="T90" t="s">
        <v>56</v>
      </c>
      <c r="U90" t="s">
        <v>56</v>
      </c>
      <c r="V90" t="s">
        <v>56</v>
      </c>
      <c r="W90">
        <v>0</v>
      </c>
      <c r="X90" t="s">
        <v>66</v>
      </c>
      <c r="Y90" t="s">
        <v>56</v>
      </c>
      <c r="Z90">
        <v>0</v>
      </c>
      <c r="AA90" t="s">
        <v>66</v>
      </c>
      <c r="AB90" t="s">
        <v>56</v>
      </c>
      <c r="AC90">
        <v>0</v>
      </c>
      <c r="AD90" t="s">
        <v>66</v>
      </c>
      <c r="AE90" t="s">
        <v>56</v>
      </c>
      <c r="AF90">
        <v>0</v>
      </c>
      <c r="AG90" t="s">
        <v>66</v>
      </c>
      <c r="AH90" t="s">
        <v>56</v>
      </c>
      <c r="AI90">
        <v>1</v>
      </c>
      <c r="AJ90" t="s">
        <v>1627</v>
      </c>
      <c r="AK90" t="s">
        <v>56</v>
      </c>
      <c r="AL90" t="s">
        <v>56</v>
      </c>
      <c r="AM90" t="s">
        <v>56</v>
      </c>
      <c r="AN90" t="s">
        <v>56</v>
      </c>
      <c r="AO90" t="s">
        <v>4243</v>
      </c>
      <c r="AP90" t="s">
        <v>3889</v>
      </c>
      <c r="AQ90" t="s">
        <v>3890</v>
      </c>
      <c r="AR90">
        <v>503</v>
      </c>
      <c r="AS90" t="s">
        <v>4060</v>
      </c>
      <c r="AT90" t="s">
        <v>4244</v>
      </c>
      <c r="AU90">
        <v>9000</v>
      </c>
      <c r="AV90" t="s">
        <v>3956</v>
      </c>
      <c r="AW90" t="s">
        <v>3956</v>
      </c>
      <c r="AX90">
        <v>12</v>
      </c>
      <c r="AY90">
        <v>2</v>
      </c>
      <c r="AZ90" t="s">
        <v>3897</v>
      </c>
      <c r="BA90">
        <v>10</v>
      </c>
      <c r="BB90" t="s">
        <v>3898</v>
      </c>
      <c r="BC90">
        <v>3</v>
      </c>
      <c r="BD90">
        <v>5</v>
      </c>
      <c r="BE90" t="s">
        <v>3899</v>
      </c>
      <c r="BF90">
        <v>3</v>
      </c>
      <c r="BG90">
        <v>58</v>
      </c>
      <c r="BH90" t="s">
        <v>4245</v>
      </c>
      <c r="BI90" t="s">
        <v>4246</v>
      </c>
      <c r="BJ90">
        <v>1</v>
      </c>
      <c r="BK90" t="s">
        <v>3902</v>
      </c>
    </row>
    <row r="91" spans="1:63" x14ac:dyDescent="0.25">
      <c r="A91">
        <v>1104</v>
      </c>
      <c r="B91" t="str">
        <f>"20200125176017026542"</f>
        <v>20200125176017026542</v>
      </c>
      <c r="C91">
        <v>1</v>
      </c>
      <c r="D91">
        <v>1</v>
      </c>
      <c r="E91" t="s">
        <v>3886</v>
      </c>
      <c r="F91">
        <v>1</v>
      </c>
      <c r="G91">
        <v>0</v>
      </c>
      <c r="H91" t="s">
        <v>66</v>
      </c>
      <c r="I91">
        <v>0</v>
      </c>
      <c r="J91" t="s">
        <v>66</v>
      </c>
      <c r="K91">
        <v>0</v>
      </c>
      <c r="L91" t="s">
        <v>66</v>
      </c>
      <c r="M91" t="s">
        <v>56</v>
      </c>
      <c r="N91">
        <v>0</v>
      </c>
      <c r="O91" t="s">
        <v>66</v>
      </c>
      <c r="P91" t="s">
        <v>56</v>
      </c>
      <c r="Q91">
        <v>0</v>
      </c>
      <c r="R91" t="s">
        <v>66</v>
      </c>
      <c r="S91" t="s">
        <v>56</v>
      </c>
      <c r="T91">
        <v>1</v>
      </c>
      <c r="U91" t="s">
        <v>1627</v>
      </c>
      <c r="V91" t="s">
        <v>56</v>
      </c>
      <c r="W91">
        <v>0</v>
      </c>
      <c r="X91" t="s">
        <v>66</v>
      </c>
      <c r="Y91" t="s">
        <v>56</v>
      </c>
      <c r="Z91">
        <v>0</v>
      </c>
      <c r="AA91" t="s">
        <v>66</v>
      </c>
      <c r="AB91" t="s">
        <v>56</v>
      </c>
      <c r="AC91">
        <v>1</v>
      </c>
      <c r="AD91" t="s">
        <v>1627</v>
      </c>
      <c r="AE91" t="s">
        <v>3887</v>
      </c>
      <c r="AF91">
        <v>0</v>
      </c>
      <c r="AG91" t="s">
        <v>66</v>
      </c>
      <c r="AH91" t="s">
        <v>56</v>
      </c>
      <c r="AI91">
        <v>1</v>
      </c>
      <c r="AJ91" t="s">
        <v>1627</v>
      </c>
      <c r="AK91" t="s">
        <v>56</v>
      </c>
      <c r="AL91" t="s">
        <v>56</v>
      </c>
      <c r="AM91" t="s">
        <v>56</v>
      </c>
      <c r="AN91" t="s">
        <v>56</v>
      </c>
      <c r="AO91" t="s">
        <v>4139</v>
      </c>
      <c r="AP91" t="s">
        <v>3889</v>
      </c>
      <c r="AQ91" t="s">
        <v>3890</v>
      </c>
      <c r="AR91" t="s">
        <v>3891</v>
      </c>
      <c r="AS91" t="s">
        <v>3892</v>
      </c>
      <c r="AT91" t="s">
        <v>4247</v>
      </c>
      <c r="AU91" t="s">
        <v>3894</v>
      </c>
      <c r="AV91" t="s">
        <v>3895</v>
      </c>
      <c r="AW91" t="s">
        <v>3896</v>
      </c>
      <c r="AX91">
        <v>12</v>
      </c>
      <c r="AY91">
        <v>2</v>
      </c>
      <c r="AZ91" t="s">
        <v>3897</v>
      </c>
      <c r="BA91">
        <v>10</v>
      </c>
      <c r="BB91" t="s">
        <v>3898</v>
      </c>
      <c r="BC91">
        <v>3</v>
      </c>
      <c r="BD91">
        <v>5</v>
      </c>
      <c r="BE91" t="s">
        <v>3899</v>
      </c>
      <c r="BF91">
        <v>4</v>
      </c>
      <c r="BG91">
        <v>13</v>
      </c>
      <c r="BH91" t="s">
        <v>3900</v>
      </c>
      <c r="BI91" t="s">
        <v>4248</v>
      </c>
      <c r="BJ91">
        <v>1</v>
      </c>
      <c r="BK91" t="s">
        <v>3902</v>
      </c>
    </row>
    <row r="92" spans="1:63" x14ac:dyDescent="0.25">
      <c r="A92">
        <v>1105</v>
      </c>
      <c r="B92" t="str">
        <f>"20200125137017026772"</f>
        <v>20200125137017026772</v>
      </c>
      <c r="C92">
        <v>1</v>
      </c>
      <c r="D92">
        <v>1</v>
      </c>
      <c r="E92" t="s">
        <v>3886</v>
      </c>
      <c r="F92">
        <v>1</v>
      </c>
      <c r="G92">
        <v>0</v>
      </c>
      <c r="H92" t="s">
        <v>66</v>
      </c>
      <c r="I92">
        <v>0</v>
      </c>
      <c r="J92" t="s">
        <v>66</v>
      </c>
      <c r="K92">
        <v>1</v>
      </c>
      <c r="L92" t="s">
        <v>1627</v>
      </c>
      <c r="M92" t="s">
        <v>4112</v>
      </c>
      <c r="N92">
        <v>0</v>
      </c>
      <c r="O92" t="s">
        <v>66</v>
      </c>
      <c r="P92" t="s">
        <v>56</v>
      </c>
      <c r="Q92">
        <v>1</v>
      </c>
      <c r="R92" t="s">
        <v>1627</v>
      </c>
      <c r="S92" t="s">
        <v>4249</v>
      </c>
      <c r="T92" t="s">
        <v>56</v>
      </c>
      <c r="U92" t="s">
        <v>56</v>
      </c>
      <c r="V92" t="s">
        <v>56</v>
      </c>
      <c r="W92">
        <v>0</v>
      </c>
      <c r="X92" t="s">
        <v>66</v>
      </c>
      <c r="Y92" t="s">
        <v>56</v>
      </c>
      <c r="Z92">
        <v>0</v>
      </c>
      <c r="AA92" t="s">
        <v>66</v>
      </c>
      <c r="AB92" t="s">
        <v>56</v>
      </c>
      <c r="AC92">
        <v>0</v>
      </c>
      <c r="AD92" t="s">
        <v>66</v>
      </c>
      <c r="AE92" t="s">
        <v>56</v>
      </c>
      <c r="AF92">
        <v>0</v>
      </c>
      <c r="AG92" t="s">
        <v>66</v>
      </c>
      <c r="AH92" t="s">
        <v>56</v>
      </c>
      <c r="AI92">
        <v>1</v>
      </c>
      <c r="AJ92" t="s">
        <v>1627</v>
      </c>
      <c r="AK92" t="s">
        <v>56</v>
      </c>
      <c r="AL92" t="s">
        <v>56</v>
      </c>
      <c r="AM92" t="s">
        <v>56</v>
      </c>
      <c r="AN92" t="s">
        <v>56</v>
      </c>
      <c r="AO92" t="s">
        <v>3985</v>
      </c>
      <c r="AP92" t="s">
        <v>3962</v>
      </c>
      <c r="AQ92" t="s">
        <v>3963</v>
      </c>
      <c r="AR92" t="s">
        <v>3941</v>
      </c>
      <c r="AS92" t="s">
        <v>3942</v>
      </c>
      <c r="AT92" t="s">
        <v>4250</v>
      </c>
      <c r="AU92" t="s">
        <v>3944</v>
      </c>
      <c r="AV92" t="s">
        <v>3945</v>
      </c>
      <c r="AW92" t="s">
        <v>3946</v>
      </c>
      <c r="AX92">
        <v>24</v>
      </c>
      <c r="AY92">
        <v>2</v>
      </c>
      <c r="AZ92" t="s">
        <v>3897</v>
      </c>
      <c r="BA92">
        <v>1</v>
      </c>
      <c r="BB92" t="s">
        <v>4149</v>
      </c>
      <c r="BC92">
        <v>1</v>
      </c>
      <c r="BD92">
        <v>6</v>
      </c>
      <c r="BE92" t="s">
        <v>4216</v>
      </c>
      <c r="BF92">
        <v>360</v>
      </c>
      <c r="BG92">
        <v>66</v>
      </c>
      <c r="BH92" t="s">
        <v>3965</v>
      </c>
      <c r="BI92" t="s">
        <v>4251</v>
      </c>
      <c r="BJ92">
        <v>1</v>
      </c>
      <c r="BK92" t="s">
        <v>3902</v>
      </c>
    </row>
    <row r="93" spans="1:63" x14ac:dyDescent="0.25">
      <c r="A93">
        <v>1106</v>
      </c>
      <c r="B93" t="str">
        <f>"20200125188017026974"</f>
        <v>20200125188017026974</v>
      </c>
      <c r="C93">
        <v>1</v>
      </c>
      <c r="D93">
        <v>1</v>
      </c>
      <c r="E93" t="s">
        <v>3886</v>
      </c>
      <c r="F93">
        <v>1</v>
      </c>
      <c r="G93">
        <v>0</v>
      </c>
      <c r="H93" t="s">
        <v>66</v>
      </c>
      <c r="I93">
        <v>0</v>
      </c>
      <c r="J93" t="s">
        <v>66</v>
      </c>
      <c r="K93">
        <v>1</v>
      </c>
      <c r="L93" t="s">
        <v>1627</v>
      </c>
      <c r="M93" t="s">
        <v>3976</v>
      </c>
      <c r="N93">
        <v>0</v>
      </c>
      <c r="O93" t="s">
        <v>66</v>
      </c>
      <c r="P93" t="s">
        <v>56</v>
      </c>
      <c r="Q93">
        <v>1</v>
      </c>
      <c r="R93" t="s">
        <v>1627</v>
      </c>
      <c r="S93" t="s">
        <v>4252</v>
      </c>
      <c r="T93" t="s">
        <v>56</v>
      </c>
      <c r="U93" t="s">
        <v>56</v>
      </c>
      <c r="V93" t="s">
        <v>56</v>
      </c>
      <c r="W93">
        <v>0</v>
      </c>
      <c r="X93" t="s">
        <v>66</v>
      </c>
      <c r="Y93" t="s">
        <v>56</v>
      </c>
      <c r="Z93">
        <v>0</v>
      </c>
      <c r="AA93" t="s">
        <v>66</v>
      </c>
      <c r="AB93" t="s">
        <v>56</v>
      </c>
      <c r="AC93">
        <v>0</v>
      </c>
      <c r="AD93" t="s">
        <v>66</v>
      </c>
      <c r="AE93" t="s">
        <v>56</v>
      </c>
      <c r="AF93">
        <v>0</v>
      </c>
      <c r="AG93" t="s">
        <v>66</v>
      </c>
      <c r="AH93" t="s">
        <v>56</v>
      </c>
      <c r="AI93">
        <v>1</v>
      </c>
      <c r="AJ93" t="s">
        <v>1627</v>
      </c>
      <c r="AK93" t="s">
        <v>56</v>
      </c>
      <c r="AL93" t="s">
        <v>56</v>
      </c>
      <c r="AM93" t="s">
        <v>56</v>
      </c>
      <c r="AN93" t="s">
        <v>56</v>
      </c>
      <c r="AO93" t="s">
        <v>4253</v>
      </c>
      <c r="AP93" t="s">
        <v>4077</v>
      </c>
      <c r="AQ93" t="s">
        <v>4078</v>
      </c>
      <c r="AR93" t="s">
        <v>3941</v>
      </c>
      <c r="AS93" t="s">
        <v>3942</v>
      </c>
      <c r="AT93" t="s">
        <v>4254</v>
      </c>
      <c r="AU93" t="s">
        <v>3944</v>
      </c>
      <c r="AV93" t="s">
        <v>3945</v>
      </c>
      <c r="AW93" t="s">
        <v>3946</v>
      </c>
      <c r="AX93">
        <v>12</v>
      </c>
      <c r="AY93">
        <v>2</v>
      </c>
      <c r="AZ93" t="s">
        <v>3897</v>
      </c>
      <c r="BA93">
        <v>1</v>
      </c>
      <c r="BB93" t="s">
        <v>4149</v>
      </c>
      <c r="BC93">
        <v>6</v>
      </c>
      <c r="BD93">
        <v>5</v>
      </c>
      <c r="BE93" t="s">
        <v>3899</v>
      </c>
      <c r="BF93">
        <v>360</v>
      </c>
      <c r="BG93">
        <v>66</v>
      </c>
      <c r="BH93" t="s">
        <v>3965</v>
      </c>
      <c r="BI93" t="s">
        <v>4255</v>
      </c>
      <c r="BJ93">
        <v>1</v>
      </c>
      <c r="BK93" t="s">
        <v>3902</v>
      </c>
    </row>
    <row r="94" spans="1:63" x14ac:dyDescent="0.25">
      <c r="A94">
        <v>1107</v>
      </c>
      <c r="B94" t="str">
        <f>"20200125154017027008"</f>
        <v>20200125154017027008</v>
      </c>
      <c r="C94">
        <v>1</v>
      </c>
      <c r="D94">
        <v>1</v>
      </c>
      <c r="E94" t="s">
        <v>3886</v>
      </c>
      <c r="F94">
        <v>1</v>
      </c>
      <c r="G94">
        <v>0</v>
      </c>
      <c r="H94" t="s">
        <v>66</v>
      </c>
      <c r="I94">
        <v>0</v>
      </c>
      <c r="J94" t="s">
        <v>66</v>
      </c>
      <c r="K94">
        <v>1</v>
      </c>
      <c r="L94" t="s">
        <v>1627</v>
      </c>
      <c r="M94" t="s">
        <v>4256</v>
      </c>
      <c r="N94">
        <v>1</v>
      </c>
      <c r="O94" t="s">
        <v>1627</v>
      </c>
      <c r="P94" t="s">
        <v>4257</v>
      </c>
      <c r="Q94">
        <v>0</v>
      </c>
      <c r="R94" t="s">
        <v>66</v>
      </c>
      <c r="S94" t="s">
        <v>56</v>
      </c>
      <c r="T94" t="s">
        <v>56</v>
      </c>
      <c r="U94" t="s">
        <v>56</v>
      </c>
      <c r="V94" t="s">
        <v>56</v>
      </c>
      <c r="W94">
        <v>0</v>
      </c>
      <c r="X94" t="s">
        <v>66</v>
      </c>
      <c r="Y94" t="s">
        <v>56</v>
      </c>
      <c r="Z94">
        <v>0</v>
      </c>
      <c r="AA94" t="s">
        <v>66</v>
      </c>
      <c r="AB94" t="s">
        <v>56</v>
      </c>
      <c r="AC94">
        <v>0</v>
      </c>
      <c r="AD94" t="s">
        <v>66</v>
      </c>
      <c r="AE94" t="s">
        <v>56</v>
      </c>
      <c r="AF94">
        <v>0</v>
      </c>
      <c r="AG94" t="s">
        <v>66</v>
      </c>
      <c r="AH94" t="s">
        <v>56</v>
      </c>
      <c r="AI94">
        <v>1</v>
      </c>
      <c r="AJ94" t="s">
        <v>1627</v>
      </c>
      <c r="AK94" t="s">
        <v>56</v>
      </c>
      <c r="AL94" t="s">
        <v>56</v>
      </c>
      <c r="AM94" t="s">
        <v>56</v>
      </c>
      <c r="AN94" t="s">
        <v>56</v>
      </c>
      <c r="AO94" t="s">
        <v>4258</v>
      </c>
      <c r="AP94" t="s">
        <v>4069</v>
      </c>
      <c r="AQ94" t="s">
        <v>4070</v>
      </c>
      <c r="AR94" t="s">
        <v>4071</v>
      </c>
      <c r="AS94" t="s">
        <v>4072</v>
      </c>
      <c r="AT94" t="s">
        <v>4259</v>
      </c>
      <c r="AU94">
        <v>9000</v>
      </c>
      <c r="AV94" t="s">
        <v>3956</v>
      </c>
      <c r="AW94" t="s">
        <v>3956</v>
      </c>
      <c r="AX94">
        <v>24</v>
      </c>
      <c r="AY94">
        <v>2</v>
      </c>
      <c r="AZ94" t="s">
        <v>3897</v>
      </c>
      <c r="BA94">
        <v>10</v>
      </c>
      <c r="BB94" t="s">
        <v>3898</v>
      </c>
      <c r="BC94">
        <v>30</v>
      </c>
      <c r="BD94">
        <v>3</v>
      </c>
      <c r="BE94" t="s">
        <v>3911</v>
      </c>
      <c r="BF94">
        <v>1</v>
      </c>
      <c r="BG94">
        <v>73</v>
      </c>
      <c r="BH94" t="s">
        <v>3999</v>
      </c>
      <c r="BI94" t="s">
        <v>4260</v>
      </c>
      <c r="BJ94">
        <v>1</v>
      </c>
      <c r="BK94" t="s">
        <v>3902</v>
      </c>
    </row>
    <row r="95" spans="1:63" x14ac:dyDescent="0.25">
      <c r="A95">
        <v>1108</v>
      </c>
      <c r="B95" t="str">
        <f>"20200125154017027008"</f>
        <v>20200125154017027008</v>
      </c>
      <c r="C95">
        <v>2</v>
      </c>
      <c r="D95">
        <v>1</v>
      </c>
      <c r="E95" t="s">
        <v>3886</v>
      </c>
      <c r="F95">
        <v>1</v>
      </c>
      <c r="G95">
        <v>0</v>
      </c>
      <c r="H95" t="s">
        <v>66</v>
      </c>
      <c r="I95">
        <v>0</v>
      </c>
      <c r="J95" t="s">
        <v>66</v>
      </c>
      <c r="K95">
        <v>1</v>
      </c>
      <c r="L95" t="s">
        <v>1627</v>
      </c>
      <c r="M95" t="s">
        <v>4256</v>
      </c>
      <c r="N95">
        <v>1</v>
      </c>
      <c r="O95" t="s">
        <v>1627</v>
      </c>
      <c r="P95" t="s">
        <v>4257</v>
      </c>
      <c r="Q95">
        <v>0</v>
      </c>
      <c r="R95" t="s">
        <v>66</v>
      </c>
      <c r="S95" t="s">
        <v>56</v>
      </c>
      <c r="T95" t="s">
        <v>56</v>
      </c>
      <c r="U95" t="s">
        <v>56</v>
      </c>
      <c r="V95" t="s">
        <v>56</v>
      </c>
      <c r="W95">
        <v>0</v>
      </c>
      <c r="X95" t="s">
        <v>66</v>
      </c>
      <c r="Y95" t="s">
        <v>56</v>
      </c>
      <c r="Z95">
        <v>0</v>
      </c>
      <c r="AA95" t="s">
        <v>66</v>
      </c>
      <c r="AB95" t="s">
        <v>56</v>
      </c>
      <c r="AC95">
        <v>0</v>
      </c>
      <c r="AD95" t="s">
        <v>66</v>
      </c>
      <c r="AE95" t="s">
        <v>56</v>
      </c>
      <c r="AF95">
        <v>0</v>
      </c>
      <c r="AG95" t="s">
        <v>66</v>
      </c>
      <c r="AH95" t="s">
        <v>56</v>
      </c>
      <c r="AI95">
        <v>1</v>
      </c>
      <c r="AJ95" t="s">
        <v>1627</v>
      </c>
      <c r="AK95" t="s">
        <v>56</v>
      </c>
      <c r="AL95" t="s">
        <v>56</v>
      </c>
      <c r="AM95" t="s">
        <v>56</v>
      </c>
      <c r="AN95" t="s">
        <v>56</v>
      </c>
      <c r="AO95" t="s">
        <v>4261</v>
      </c>
      <c r="AP95" t="s">
        <v>3996</v>
      </c>
      <c r="AQ95" t="s">
        <v>3997</v>
      </c>
      <c r="AR95" t="s">
        <v>4071</v>
      </c>
      <c r="AS95" t="s">
        <v>4072</v>
      </c>
      <c r="AT95" t="s">
        <v>4262</v>
      </c>
      <c r="AU95">
        <v>9000</v>
      </c>
      <c r="AV95" t="s">
        <v>3956</v>
      </c>
      <c r="AW95" t="s">
        <v>3956</v>
      </c>
      <c r="AX95">
        <v>24</v>
      </c>
      <c r="AY95">
        <v>2</v>
      </c>
      <c r="AZ95" t="s">
        <v>3897</v>
      </c>
      <c r="BA95">
        <v>10</v>
      </c>
      <c r="BB95" t="s">
        <v>3898</v>
      </c>
      <c r="BC95">
        <v>30</v>
      </c>
      <c r="BD95">
        <v>3</v>
      </c>
      <c r="BE95" t="s">
        <v>3911</v>
      </c>
      <c r="BF95">
        <v>1</v>
      </c>
      <c r="BG95">
        <v>73</v>
      </c>
      <c r="BH95" t="s">
        <v>3999</v>
      </c>
      <c r="BI95" t="s">
        <v>4263</v>
      </c>
      <c r="BJ95">
        <v>1</v>
      </c>
      <c r="BK95" t="s">
        <v>3902</v>
      </c>
    </row>
    <row r="96" spans="1:63" x14ac:dyDescent="0.25">
      <c r="A96">
        <v>1109</v>
      </c>
      <c r="B96" t="str">
        <f>"20200125193017027856"</f>
        <v>20200125193017027856</v>
      </c>
      <c r="C96">
        <v>1</v>
      </c>
      <c r="D96">
        <v>1</v>
      </c>
      <c r="E96" t="s">
        <v>3886</v>
      </c>
      <c r="F96">
        <v>2</v>
      </c>
      <c r="G96">
        <v>0</v>
      </c>
      <c r="H96" t="s">
        <v>66</v>
      </c>
      <c r="I96">
        <v>0</v>
      </c>
      <c r="J96" t="s">
        <v>66</v>
      </c>
      <c r="K96">
        <v>0</v>
      </c>
      <c r="L96" t="s">
        <v>66</v>
      </c>
      <c r="M96" t="s">
        <v>56</v>
      </c>
      <c r="N96">
        <v>0</v>
      </c>
      <c r="O96" t="s">
        <v>66</v>
      </c>
      <c r="P96" t="s">
        <v>56</v>
      </c>
      <c r="Q96">
        <v>0</v>
      </c>
      <c r="R96" t="s">
        <v>66</v>
      </c>
      <c r="S96" t="s">
        <v>56</v>
      </c>
      <c r="T96">
        <v>1</v>
      </c>
      <c r="U96" t="s">
        <v>1627</v>
      </c>
      <c r="V96" t="s">
        <v>56</v>
      </c>
      <c r="W96">
        <v>0</v>
      </c>
      <c r="X96" t="s">
        <v>66</v>
      </c>
      <c r="Y96" t="s">
        <v>56</v>
      </c>
      <c r="Z96">
        <v>0</v>
      </c>
      <c r="AA96" t="s">
        <v>66</v>
      </c>
      <c r="AB96" t="s">
        <v>56</v>
      </c>
      <c r="AC96">
        <v>1</v>
      </c>
      <c r="AD96" t="s">
        <v>1627</v>
      </c>
      <c r="AE96" t="s">
        <v>3887</v>
      </c>
      <c r="AF96">
        <v>0</v>
      </c>
      <c r="AG96" t="s">
        <v>66</v>
      </c>
      <c r="AH96" t="s">
        <v>56</v>
      </c>
      <c r="AI96">
        <v>1</v>
      </c>
      <c r="AJ96" t="s">
        <v>1627</v>
      </c>
      <c r="AK96" t="s">
        <v>56</v>
      </c>
      <c r="AL96" t="s">
        <v>56</v>
      </c>
      <c r="AM96" t="s">
        <v>56</v>
      </c>
      <c r="AN96" t="s">
        <v>56</v>
      </c>
      <c r="AO96" t="s">
        <v>3888</v>
      </c>
      <c r="AP96" t="s">
        <v>3889</v>
      </c>
      <c r="AQ96" t="s">
        <v>3890</v>
      </c>
      <c r="AR96" t="s">
        <v>3891</v>
      </c>
      <c r="AS96" t="s">
        <v>3892</v>
      </c>
      <c r="AT96" t="s">
        <v>3893</v>
      </c>
      <c r="AU96" t="s">
        <v>3894</v>
      </c>
      <c r="AV96" t="s">
        <v>3895</v>
      </c>
      <c r="AW96" t="s">
        <v>3896</v>
      </c>
      <c r="AX96">
        <v>6</v>
      </c>
      <c r="AY96">
        <v>2</v>
      </c>
      <c r="AZ96" t="s">
        <v>3897</v>
      </c>
      <c r="BA96">
        <v>10</v>
      </c>
      <c r="BB96" t="s">
        <v>3898</v>
      </c>
      <c r="BC96">
        <v>4</v>
      </c>
      <c r="BD96">
        <v>5</v>
      </c>
      <c r="BE96" t="s">
        <v>3899</v>
      </c>
      <c r="BF96">
        <v>4</v>
      </c>
      <c r="BG96">
        <v>13</v>
      </c>
      <c r="BH96" t="s">
        <v>3900</v>
      </c>
      <c r="BI96" t="s">
        <v>4264</v>
      </c>
      <c r="BJ96">
        <v>1</v>
      </c>
      <c r="BK96" t="s">
        <v>3902</v>
      </c>
    </row>
    <row r="97" spans="1:63" x14ac:dyDescent="0.25">
      <c r="A97">
        <v>1110</v>
      </c>
      <c r="B97" t="str">
        <f>"20200125124017028254"</f>
        <v>20200125124017028254</v>
      </c>
      <c r="C97">
        <v>1</v>
      </c>
      <c r="D97">
        <v>1</v>
      </c>
      <c r="E97" t="s">
        <v>3886</v>
      </c>
      <c r="F97">
        <v>2</v>
      </c>
      <c r="G97">
        <v>0</v>
      </c>
      <c r="H97" t="s">
        <v>66</v>
      </c>
      <c r="I97">
        <v>0</v>
      </c>
      <c r="J97" t="s">
        <v>66</v>
      </c>
      <c r="K97">
        <v>0</v>
      </c>
      <c r="L97" t="s">
        <v>66</v>
      </c>
      <c r="M97" t="s">
        <v>56</v>
      </c>
      <c r="N97">
        <v>0</v>
      </c>
      <c r="O97" t="s">
        <v>66</v>
      </c>
      <c r="P97" t="s">
        <v>56</v>
      </c>
      <c r="Q97">
        <v>0</v>
      </c>
      <c r="R97" t="s">
        <v>66</v>
      </c>
      <c r="S97" t="s">
        <v>56</v>
      </c>
      <c r="T97">
        <v>1</v>
      </c>
      <c r="U97" t="s">
        <v>1627</v>
      </c>
      <c r="V97" t="s">
        <v>56</v>
      </c>
      <c r="W97">
        <v>0</v>
      </c>
      <c r="X97" t="s">
        <v>66</v>
      </c>
      <c r="Y97" t="s">
        <v>56</v>
      </c>
      <c r="Z97">
        <v>0</v>
      </c>
      <c r="AA97" t="s">
        <v>66</v>
      </c>
      <c r="AB97" t="s">
        <v>56</v>
      </c>
      <c r="AC97">
        <v>1</v>
      </c>
      <c r="AD97" t="s">
        <v>1627</v>
      </c>
      <c r="AE97" t="s">
        <v>3887</v>
      </c>
      <c r="AF97">
        <v>0</v>
      </c>
      <c r="AG97" t="s">
        <v>66</v>
      </c>
      <c r="AH97" t="s">
        <v>56</v>
      </c>
      <c r="AI97">
        <v>1</v>
      </c>
      <c r="AJ97" t="s">
        <v>1627</v>
      </c>
      <c r="AK97">
        <v>0</v>
      </c>
      <c r="AL97" t="s">
        <v>66</v>
      </c>
      <c r="AM97" t="s">
        <v>56</v>
      </c>
      <c r="AN97" t="s">
        <v>56</v>
      </c>
      <c r="AO97" t="s">
        <v>4265</v>
      </c>
      <c r="AP97" t="s">
        <v>3889</v>
      </c>
      <c r="AQ97" t="s">
        <v>3890</v>
      </c>
      <c r="AR97" t="s">
        <v>2324</v>
      </c>
      <c r="AS97" t="s">
        <v>4266</v>
      </c>
      <c r="AT97" t="s">
        <v>4267</v>
      </c>
      <c r="AU97" t="s">
        <v>3944</v>
      </c>
      <c r="AV97" t="s">
        <v>3945</v>
      </c>
      <c r="AW97" t="s">
        <v>3946</v>
      </c>
      <c r="AX97">
        <v>14</v>
      </c>
      <c r="AY97">
        <v>3</v>
      </c>
      <c r="AZ97" t="s">
        <v>3911</v>
      </c>
      <c r="BA97">
        <v>10</v>
      </c>
      <c r="BB97" t="s">
        <v>3898</v>
      </c>
      <c r="BC97">
        <v>180</v>
      </c>
      <c r="BD97">
        <v>3</v>
      </c>
      <c r="BE97" t="s">
        <v>3911</v>
      </c>
      <c r="BF97">
        <v>12</v>
      </c>
      <c r="BG97">
        <v>79</v>
      </c>
      <c r="BH97" t="s">
        <v>56</v>
      </c>
      <c r="BI97" t="s">
        <v>4268</v>
      </c>
      <c r="BJ97">
        <v>1</v>
      </c>
      <c r="BK97" t="s">
        <v>3902</v>
      </c>
    </row>
    <row r="98" spans="1:63" x14ac:dyDescent="0.25">
      <c r="A98">
        <v>1111</v>
      </c>
      <c r="B98" t="str">
        <f>"20200125188017028976"</f>
        <v>20200125188017028976</v>
      </c>
      <c r="C98">
        <v>1</v>
      </c>
      <c r="D98">
        <v>1</v>
      </c>
      <c r="E98" t="s">
        <v>3886</v>
      </c>
      <c r="F98">
        <v>2</v>
      </c>
      <c r="G98">
        <v>0</v>
      </c>
      <c r="H98" t="s">
        <v>66</v>
      </c>
      <c r="I98">
        <v>0</v>
      </c>
      <c r="J98" t="s">
        <v>66</v>
      </c>
      <c r="K98">
        <v>0</v>
      </c>
      <c r="L98" t="s">
        <v>66</v>
      </c>
      <c r="M98" t="s">
        <v>56</v>
      </c>
      <c r="N98">
        <v>0</v>
      </c>
      <c r="O98" t="s">
        <v>66</v>
      </c>
      <c r="P98" t="s">
        <v>56</v>
      </c>
      <c r="Q98">
        <v>0</v>
      </c>
      <c r="R98" t="s">
        <v>66</v>
      </c>
      <c r="S98" t="s">
        <v>56</v>
      </c>
      <c r="T98">
        <v>1</v>
      </c>
      <c r="U98" t="s">
        <v>1627</v>
      </c>
      <c r="V98" t="s">
        <v>56</v>
      </c>
      <c r="W98">
        <v>0</v>
      </c>
      <c r="X98" t="s">
        <v>66</v>
      </c>
      <c r="Y98" t="s">
        <v>56</v>
      </c>
      <c r="Z98">
        <v>0</v>
      </c>
      <c r="AA98" t="s">
        <v>66</v>
      </c>
      <c r="AB98" t="s">
        <v>56</v>
      </c>
      <c r="AC98">
        <v>1</v>
      </c>
      <c r="AD98" t="s">
        <v>1627</v>
      </c>
      <c r="AE98" t="s">
        <v>3887</v>
      </c>
      <c r="AF98">
        <v>0</v>
      </c>
      <c r="AG98" t="s">
        <v>66</v>
      </c>
      <c r="AH98" t="s">
        <v>56</v>
      </c>
      <c r="AI98">
        <v>1</v>
      </c>
      <c r="AJ98" t="s">
        <v>1627</v>
      </c>
      <c r="AK98" t="s">
        <v>56</v>
      </c>
      <c r="AL98" t="s">
        <v>56</v>
      </c>
      <c r="AM98" t="s">
        <v>56</v>
      </c>
      <c r="AN98" t="s">
        <v>56</v>
      </c>
      <c r="AO98" t="s">
        <v>4269</v>
      </c>
      <c r="AP98" t="s">
        <v>3971</v>
      </c>
      <c r="AQ98" t="s">
        <v>3972</v>
      </c>
      <c r="AR98" t="s">
        <v>4146</v>
      </c>
      <c r="AS98" t="s">
        <v>4147</v>
      </c>
      <c r="AT98" t="s">
        <v>4270</v>
      </c>
      <c r="AU98" t="s">
        <v>4026</v>
      </c>
      <c r="AV98" t="s">
        <v>4027</v>
      </c>
      <c r="AW98" t="s">
        <v>4028</v>
      </c>
      <c r="AX98">
        <v>1</v>
      </c>
      <c r="AY98">
        <v>3</v>
      </c>
      <c r="AZ98" t="s">
        <v>3911</v>
      </c>
      <c r="BA98">
        <v>10</v>
      </c>
      <c r="BB98" t="s">
        <v>3898</v>
      </c>
      <c r="BC98">
        <v>1</v>
      </c>
      <c r="BD98">
        <v>2</v>
      </c>
      <c r="BE98" t="s">
        <v>3897</v>
      </c>
      <c r="BF98">
        <v>1</v>
      </c>
      <c r="BG98" t="s">
        <v>3912</v>
      </c>
      <c r="BH98" t="s">
        <v>3913</v>
      </c>
      <c r="BI98" t="s">
        <v>4271</v>
      </c>
      <c r="BJ98">
        <v>1</v>
      </c>
      <c r="BK98" t="s">
        <v>3902</v>
      </c>
    </row>
    <row r="99" spans="1:63" x14ac:dyDescent="0.25">
      <c r="A99">
        <v>1112</v>
      </c>
      <c r="B99" t="str">
        <f>"20200125187017029448"</f>
        <v>20200125187017029448</v>
      </c>
      <c r="C99">
        <v>1</v>
      </c>
      <c r="D99">
        <v>1</v>
      </c>
      <c r="E99" t="s">
        <v>3886</v>
      </c>
      <c r="F99">
        <v>2</v>
      </c>
      <c r="G99">
        <v>0</v>
      </c>
      <c r="H99" t="s">
        <v>66</v>
      </c>
      <c r="I99">
        <v>0</v>
      </c>
      <c r="J99" t="s">
        <v>66</v>
      </c>
      <c r="K99">
        <v>0</v>
      </c>
      <c r="L99" t="s">
        <v>66</v>
      </c>
      <c r="M99" t="s">
        <v>56</v>
      </c>
      <c r="N99">
        <v>0</v>
      </c>
      <c r="O99" t="s">
        <v>66</v>
      </c>
      <c r="P99" t="s">
        <v>56</v>
      </c>
      <c r="Q99">
        <v>0</v>
      </c>
      <c r="R99" t="s">
        <v>66</v>
      </c>
      <c r="S99" t="s">
        <v>56</v>
      </c>
      <c r="T99">
        <v>1</v>
      </c>
      <c r="U99" t="s">
        <v>1627</v>
      </c>
      <c r="V99" t="s">
        <v>56</v>
      </c>
      <c r="W99">
        <v>0</v>
      </c>
      <c r="X99" t="s">
        <v>66</v>
      </c>
      <c r="Y99" t="s">
        <v>56</v>
      </c>
      <c r="Z99">
        <v>0</v>
      </c>
      <c r="AA99" t="s">
        <v>66</v>
      </c>
      <c r="AB99" t="s">
        <v>56</v>
      </c>
      <c r="AC99">
        <v>1</v>
      </c>
      <c r="AD99" t="s">
        <v>1627</v>
      </c>
      <c r="AE99" t="s">
        <v>3887</v>
      </c>
      <c r="AF99">
        <v>0</v>
      </c>
      <c r="AG99" t="s">
        <v>66</v>
      </c>
      <c r="AH99" t="s">
        <v>56</v>
      </c>
      <c r="AI99">
        <v>1</v>
      </c>
      <c r="AJ99" t="s">
        <v>1627</v>
      </c>
      <c r="AK99" t="s">
        <v>56</v>
      </c>
      <c r="AL99" t="s">
        <v>56</v>
      </c>
      <c r="AM99" t="s">
        <v>56</v>
      </c>
      <c r="AN99" t="s">
        <v>56</v>
      </c>
      <c r="AO99" t="s">
        <v>4272</v>
      </c>
      <c r="AP99" t="s">
        <v>3889</v>
      </c>
      <c r="AQ99" t="s">
        <v>3890</v>
      </c>
      <c r="AR99" t="s">
        <v>3891</v>
      </c>
      <c r="AS99" t="s">
        <v>3892</v>
      </c>
      <c r="AT99" t="s">
        <v>4273</v>
      </c>
      <c r="AU99" t="s">
        <v>3894</v>
      </c>
      <c r="AV99" t="s">
        <v>3895</v>
      </c>
      <c r="AW99" t="s">
        <v>3896</v>
      </c>
      <c r="AX99">
        <v>12</v>
      </c>
      <c r="AY99">
        <v>2</v>
      </c>
      <c r="AZ99" t="s">
        <v>3897</v>
      </c>
      <c r="BA99">
        <v>10</v>
      </c>
      <c r="BB99" t="s">
        <v>3898</v>
      </c>
      <c r="BC99">
        <v>3</v>
      </c>
      <c r="BD99">
        <v>5</v>
      </c>
      <c r="BE99" t="s">
        <v>3899</v>
      </c>
      <c r="BF99">
        <v>4</v>
      </c>
      <c r="BG99">
        <v>13</v>
      </c>
      <c r="BH99" t="s">
        <v>3900</v>
      </c>
      <c r="BI99" t="s">
        <v>4274</v>
      </c>
      <c r="BJ99">
        <v>1</v>
      </c>
      <c r="BK99" t="s">
        <v>3902</v>
      </c>
    </row>
    <row r="100" spans="1:63" x14ac:dyDescent="0.25">
      <c r="A100">
        <v>1113</v>
      </c>
      <c r="B100" t="str">
        <f>"20200125187017029448"</f>
        <v>20200125187017029448</v>
      </c>
      <c r="C100">
        <v>2</v>
      </c>
      <c r="D100">
        <v>1</v>
      </c>
      <c r="E100" t="s">
        <v>3886</v>
      </c>
      <c r="F100">
        <v>2</v>
      </c>
      <c r="G100">
        <v>0</v>
      </c>
      <c r="H100" t="s">
        <v>66</v>
      </c>
      <c r="I100">
        <v>0</v>
      </c>
      <c r="J100" t="s">
        <v>66</v>
      </c>
      <c r="K100">
        <v>0</v>
      </c>
      <c r="L100" t="s">
        <v>66</v>
      </c>
      <c r="M100" t="s">
        <v>56</v>
      </c>
      <c r="N100">
        <v>0</v>
      </c>
      <c r="O100" t="s">
        <v>66</v>
      </c>
      <c r="P100" t="s">
        <v>56</v>
      </c>
      <c r="Q100">
        <v>0</v>
      </c>
      <c r="R100" t="s">
        <v>66</v>
      </c>
      <c r="S100" t="s">
        <v>56</v>
      </c>
      <c r="T100">
        <v>1</v>
      </c>
      <c r="U100" t="s">
        <v>1627</v>
      </c>
      <c r="V100" t="s">
        <v>56</v>
      </c>
      <c r="W100">
        <v>0</v>
      </c>
      <c r="X100" t="s">
        <v>66</v>
      </c>
      <c r="Y100" t="s">
        <v>56</v>
      </c>
      <c r="Z100">
        <v>0</v>
      </c>
      <c r="AA100" t="s">
        <v>66</v>
      </c>
      <c r="AB100" t="s">
        <v>56</v>
      </c>
      <c r="AC100">
        <v>1</v>
      </c>
      <c r="AD100" t="s">
        <v>1627</v>
      </c>
      <c r="AE100" t="s">
        <v>3887</v>
      </c>
      <c r="AF100">
        <v>0</v>
      </c>
      <c r="AG100" t="s">
        <v>66</v>
      </c>
      <c r="AH100" t="s">
        <v>56</v>
      </c>
      <c r="AI100">
        <v>1</v>
      </c>
      <c r="AJ100" t="s">
        <v>1627</v>
      </c>
      <c r="AK100" t="s">
        <v>56</v>
      </c>
      <c r="AL100" t="s">
        <v>56</v>
      </c>
      <c r="AM100" t="s">
        <v>56</v>
      </c>
      <c r="AN100" t="s">
        <v>56</v>
      </c>
      <c r="AO100" t="s">
        <v>4275</v>
      </c>
      <c r="AP100" t="s">
        <v>3889</v>
      </c>
      <c r="AQ100" t="s">
        <v>3890</v>
      </c>
      <c r="AR100" t="s">
        <v>3926</v>
      </c>
      <c r="AS100" t="s">
        <v>3927</v>
      </c>
      <c r="AT100" t="s">
        <v>4276</v>
      </c>
      <c r="AU100" t="s">
        <v>3894</v>
      </c>
      <c r="AV100" t="s">
        <v>3895</v>
      </c>
      <c r="AW100" t="s">
        <v>3896</v>
      </c>
      <c r="AX100">
        <v>6</v>
      </c>
      <c r="AY100">
        <v>2</v>
      </c>
      <c r="AZ100" t="s">
        <v>3897</v>
      </c>
      <c r="BA100">
        <v>10</v>
      </c>
      <c r="BB100" t="s">
        <v>3898</v>
      </c>
      <c r="BC100">
        <v>3</v>
      </c>
      <c r="BD100">
        <v>5</v>
      </c>
      <c r="BE100" t="s">
        <v>3899</v>
      </c>
      <c r="BF100">
        <v>4</v>
      </c>
      <c r="BG100">
        <v>13</v>
      </c>
      <c r="BH100" t="s">
        <v>3900</v>
      </c>
      <c r="BI100" t="s">
        <v>4277</v>
      </c>
      <c r="BJ100">
        <v>1</v>
      </c>
      <c r="BK100" t="s">
        <v>3902</v>
      </c>
    </row>
    <row r="101" spans="1:63" x14ac:dyDescent="0.25">
      <c r="A101">
        <v>1114</v>
      </c>
      <c r="B101" t="str">
        <f>"20200125144017029649"</f>
        <v>20200125144017029649</v>
      </c>
      <c r="C101">
        <v>1</v>
      </c>
      <c r="D101">
        <v>1</v>
      </c>
      <c r="E101" t="s">
        <v>3886</v>
      </c>
      <c r="F101">
        <v>1</v>
      </c>
      <c r="G101">
        <v>0</v>
      </c>
      <c r="H101" t="s">
        <v>66</v>
      </c>
      <c r="I101">
        <v>0</v>
      </c>
      <c r="J101" t="s">
        <v>66</v>
      </c>
      <c r="K101">
        <v>1</v>
      </c>
      <c r="L101" t="s">
        <v>1627</v>
      </c>
      <c r="M101" t="s">
        <v>4189</v>
      </c>
      <c r="N101">
        <v>1</v>
      </c>
      <c r="O101" t="s">
        <v>1627</v>
      </c>
      <c r="P101" t="s">
        <v>4278</v>
      </c>
      <c r="Q101">
        <v>0</v>
      </c>
      <c r="R101" t="s">
        <v>66</v>
      </c>
      <c r="S101" t="s">
        <v>56</v>
      </c>
      <c r="T101" t="s">
        <v>56</v>
      </c>
      <c r="U101" t="s">
        <v>56</v>
      </c>
      <c r="V101" t="s">
        <v>56</v>
      </c>
      <c r="W101">
        <v>0</v>
      </c>
      <c r="X101" t="s">
        <v>66</v>
      </c>
      <c r="Y101" t="s">
        <v>56</v>
      </c>
      <c r="Z101">
        <v>0</v>
      </c>
      <c r="AA101" t="s">
        <v>66</v>
      </c>
      <c r="AB101" t="s">
        <v>56</v>
      </c>
      <c r="AC101">
        <v>0</v>
      </c>
      <c r="AD101" t="s">
        <v>66</v>
      </c>
      <c r="AE101" t="s">
        <v>56</v>
      </c>
      <c r="AF101">
        <v>0</v>
      </c>
      <c r="AG101" t="s">
        <v>66</v>
      </c>
      <c r="AH101" t="s">
        <v>56</v>
      </c>
      <c r="AI101">
        <v>1</v>
      </c>
      <c r="AJ101" t="s">
        <v>1627</v>
      </c>
      <c r="AK101" t="s">
        <v>56</v>
      </c>
      <c r="AL101" t="s">
        <v>56</v>
      </c>
      <c r="AM101" t="s">
        <v>56</v>
      </c>
      <c r="AN101" t="s">
        <v>56</v>
      </c>
      <c r="AO101" t="s">
        <v>4279</v>
      </c>
      <c r="AP101" t="s">
        <v>3889</v>
      </c>
      <c r="AQ101" t="s">
        <v>3890</v>
      </c>
      <c r="AR101" t="s">
        <v>3941</v>
      </c>
      <c r="AS101" t="s">
        <v>3942</v>
      </c>
      <c r="AT101" t="s">
        <v>4280</v>
      </c>
      <c r="AU101" t="s">
        <v>3894</v>
      </c>
      <c r="AV101" t="s">
        <v>3895</v>
      </c>
      <c r="AW101" t="s">
        <v>3896</v>
      </c>
      <c r="AX101">
        <v>12</v>
      </c>
      <c r="AY101">
        <v>2</v>
      </c>
      <c r="AZ101" t="s">
        <v>3897</v>
      </c>
      <c r="BA101">
        <v>10</v>
      </c>
      <c r="BB101" t="s">
        <v>3898</v>
      </c>
      <c r="BC101">
        <v>1</v>
      </c>
      <c r="BD101">
        <v>5</v>
      </c>
      <c r="BE101" t="s">
        <v>3899</v>
      </c>
      <c r="BF101">
        <v>1</v>
      </c>
      <c r="BG101">
        <v>13</v>
      </c>
      <c r="BH101" t="s">
        <v>3900</v>
      </c>
      <c r="BI101" t="s">
        <v>4281</v>
      </c>
      <c r="BJ101">
        <v>1</v>
      </c>
      <c r="BK101" t="s">
        <v>3902</v>
      </c>
    </row>
    <row r="102" spans="1:63" x14ac:dyDescent="0.25">
      <c r="A102">
        <v>1115</v>
      </c>
      <c r="B102" t="str">
        <f>"20200125196017029929"</f>
        <v>20200125196017029929</v>
      </c>
      <c r="C102">
        <v>1</v>
      </c>
      <c r="D102">
        <v>1</v>
      </c>
      <c r="E102" t="s">
        <v>3886</v>
      </c>
      <c r="F102">
        <v>2</v>
      </c>
      <c r="G102">
        <v>0</v>
      </c>
      <c r="H102" t="s">
        <v>66</v>
      </c>
      <c r="I102">
        <v>0</v>
      </c>
      <c r="J102" t="s">
        <v>66</v>
      </c>
      <c r="K102">
        <v>0</v>
      </c>
      <c r="L102" t="s">
        <v>66</v>
      </c>
      <c r="M102" t="s">
        <v>56</v>
      </c>
      <c r="N102">
        <v>0</v>
      </c>
      <c r="O102" t="s">
        <v>66</v>
      </c>
      <c r="P102" t="s">
        <v>56</v>
      </c>
      <c r="Q102">
        <v>0</v>
      </c>
      <c r="R102" t="s">
        <v>66</v>
      </c>
      <c r="S102" t="s">
        <v>56</v>
      </c>
      <c r="T102">
        <v>1</v>
      </c>
      <c r="U102" t="s">
        <v>1627</v>
      </c>
      <c r="V102" t="s">
        <v>56</v>
      </c>
      <c r="W102">
        <v>0</v>
      </c>
      <c r="X102" t="s">
        <v>66</v>
      </c>
      <c r="Y102" t="s">
        <v>56</v>
      </c>
      <c r="Z102">
        <v>0</v>
      </c>
      <c r="AA102" t="s">
        <v>66</v>
      </c>
      <c r="AB102" t="s">
        <v>56</v>
      </c>
      <c r="AC102">
        <v>1</v>
      </c>
      <c r="AD102" t="s">
        <v>1627</v>
      </c>
      <c r="AE102" t="s">
        <v>3887</v>
      </c>
      <c r="AF102">
        <v>0</v>
      </c>
      <c r="AG102" t="s">
        <v>66</v>
      </c>
      <c r="AH102" t="s">
        <v>56</v>
      </c>
      <c r="AI102">
        <v>1</v>
      </c>
      <c r="AJ102" t="s">
        <v>1627</v>
      </c>
      <c r="AK102" t="s">
        <v>56</v>
      </c>
      <c r="AL102" t="s">
        <v>56</v>
      </c>
      <c r="AM102" t="s">
        <v>56</v>
      </c>
      <c r="AN102" t="s">
        <v>56</v>
      </c>
      <c r="AO102" t="s">
        <v>4282</v>
      </c>
      <c r="AP102" t="s">
        <v>4283</v>
      </c>
      <c r="AQ102" t="s">
        <v>4284</v>
      </c>
      <c r="AR102" t="s">
        <v>3891</v>
      </c>
      <c r="AS102" t="s">
        <v>3892</v>
      </c>
      <c r="AT102" t="s">
        <v>3893</v>
      </c>
      <c r="AU102" t="s">
        <v>3894</v>
      </c>
      <c r="AV102" t="s">
        <v>3895</v>
      </c>
      <c r="AW102" t="s">
        <v>3896</v>
      </c>
      <c r="AX102">
        <v>6</v>
      </c>
      <c r="AY102">
        <v>2</v>
      </c>
      <c r="AZ102" t="s">
        <v>3897</v>
      </c>
      <c r="BA102">
        <v>10</v>
      </c>
      <c r="BB102" t="s">
        <v>3898</v>
      </c>
      <c r="BC102">
        <v>3</v>
      </c>
      <c r="BD102">
        <v>5</v>
      </c>
      <c r="BE102" t="s">
        <v>3899</v>
      </c>
      <c r="BF102">
        <v>5</v>
      </c>
      <c r="BG102">
        <v>13</v>
      </c>
      <c r="BH102" t="s">
        <v>3900</v>
      </c>
      <c r="BI102" t="s">
        <v>4285</v>
      </c>
      <c r="BJ102">
        <v>1</v>
      </c>
      <c r="BK102" t="s">
        <v>3902</v>
      </c>
    </row>
    <row r="103" spans="1:63" x14ac:dyDescent="0.25">
      <c r="A103">
        <v>1116</v>
      </c>
      <c r="B103" t="str">
        <f>"20200125196017029929"</f>
        <v>20200125196017029929</v>
      </c>
      <c r="C103">
        <v>2</v>
      </c>
      <c r="D103">
        <v>1</v>
      </c>
      <c r="E103" t="s">
        <v>3886</v>
      </c>
      <c r="F103">
        <v>2</v>
      </c>
      <c r="G103">
        <v>0</v>
      </c>
      <c r="H103" t="s">
        <v>66</v>
      </c>
      <c r="I103">
        <v>0</v>
      </c>
      <c r="J103" t="s">
        <v>66</v>
      </c>
      <c r="K103">
        <v>0</v>
      </c>
      <c r="L103" t="s">
        <v>66</v>
      </c>
      <c r="M103" t="s">
        <v>56</v>
      </c>
      <c r="N103">
        <v>0</v>
      </c>
      <c r="O103" t="s">
        <v>66</v>
      </c>
      <c r="P103" t="s">
        <v>56</v>
      </c>
      <c r="Q103">
        <v>0</v>
      </c>
      <c r="R103" t="s">
        <v>66</v>
      </c>
      <c r="S103" t="s">
        <v>56</v>
      </c>
      <c r="T103">
        <v>1</v>
      </c>
      <c r="U103" t="s">
        <v>1627</v>
      </c>
      <c r="V103" t="s">
        <v>56</v>
      </c>
      <c r="W103">
        <v>0</v>
      </c>
      <c r="X103" t="s">
        <v>66</v>
      </c>
      <c r="Y103" t="s">
        <v>56</v>
      </c>
      <c r="Z103">
        <v>0</v>
      </c>
      <c r="AA103" t="s">
        <v>66</v>
      </c>
      <c r="AB103" t="s">
        <v>56</v>
      </c>
      <c r="AC103">
        <v>1</v>
      </c>
      <c r="AD103" t="s">
        <v>1627</v>
      </c>
      <c r="AE103" t="s">
        <v>3887</v>
      </c>
      <c r="AF103">
        <v>0</v>
      </c>
      <c r="AG103" t="s">
        <v>66</v>
      </c>
      <c r="AH103" t="s">
        <v>56</v>
      </c>
      <c r="AI103">
        <v>1</v>
      </c>
      <c r="AJ103" t="s">
        <v>1627</v>
      </c>
      <c r="AK103" t="s">
        <v>56</v>
      </c>
      <c r="AL103" t="s">
        <v>56</v>
      </c>
      <c r="AM103" t="s">
        <v>56</v>
      </c>
      <c r="AN103" t="s">
        <v>56</v>
      </c>
      <c r="AO103" t="s">
        <v>4286</v>
      </c>
      <c r="AP103" t="s">
        <v>3889</v>
      </c>
      <c r="AQ103" t="s">
        <v>3890</v>
      </c>
      <c r="AR103" t="s">
        <v>3926</v>
      </c>
      <c r="AS103" t="s">
        <v>3927</v>
      </c>
      <c r="AT103" t="s">
        <v>4273</v>
      </c>
      <c r="AU103" t="s">
        <v>3894</v>
      </c>
      <c r="AV103" t="s">
        <v>3895</v>
      </c>
      <c r="AW103" t="s">
        <v>3896</v>
      </c>
      <c r="AX103">
        <v>12</v>
      </c>
      <c r="AY103">
        <v>2</v>
      </c>
      <c r="AZ103" t="s">
        <v>3897</v>
      </c>
      <c r="BA103">
        <v>10</v>
      </c>
      <c r="BB103" t="s">
        <v>3898</v>
      </c>
      <c r="BC103">
        <v>3</v>
      </c>
      <c r="BD103">
        <v>5</v>
      </c>
      <c r="BE103" t="s">
        <v>3899</v>
      </c>
      <c r="BF103">
        <v>4</v>
      </c>
      <c r="BG103">
        <v>13</v>
      </c>
      <c r="BH103" t="s">
        <v>3900</v>
      </c>
      <c r="BI103" t="s">
        <v>4287</v>
      </c>
      <c r="BJ103">
        <v>1</v>
      </c>
      <c r="BK103" t="s">
        <v>3902</v>
      </c>
    </row>
    <row r="104" spans="1:63" x14ac:dyDescent="0.25">
      <c r="A104">
        <v>1117</v>
      </c>
      <c r="B104" t="str">
        <f>"20200125166017031840"</f>
        <v>20200125166017031840</v>
      </c>
      <c r="C104">
        <v>1</v>
      </c>
      <c r="D104">
        <v>1</v>
      </c>
      <c r="E104" t="s">
        <v>3886</v>
      </c>
      <c r="F104">
        <v>2</v>
      </c>
      <c r="G104">
        <v>0</v>
      </c>
      <c r="H104" t="s">
        <v>66</v>
      </c>
      <c r="I104">
        <v>0</v>
      </c>
      <c r="J104" t="s">
        <v>66</v>
      </c>
      <c r="K104">
        <v>0</v>
      </c>
      <c r="L104" t="s">
        <v>66</v>
      </c>
      <c r="M104" t="s">
        <v>56</v>
      </c>
      <c r="N104">
        <v>0</v>
      </c>
      <c r="O104" t="s">
        <v>66</v>
      </c>
      <c r="P104" t="s">
        <v>56</v>
      </c>
      <c r="Q104">
        <v>0</v>
      </c>
      <c r="R104" t="s">
        <v>66</v>
      </c>
      <c r="S104" t="s">
        <v>56</v>
      </c>
      <c r="T104">
        <v>1</v>
      </c>
      <c r="U104" t="s">
        <v>1627</v>
      </c>
      <c r="V104" t="s">
        <v>56</v>
      </c>
      <c r="W104">
        <v>0</v>
      </c>
      <c r="X104" t="s">
        <v>66</v>
      </c>
      <c r="Y104" t="s">
        <v>56</v>
      </c>
      <c r="Z104">
        <v>0</v>
      </c>
      <c r="AA104" t="s">
        <v>66</v>
      </c>
      <c r="AB104" t="s">
        <v>56</v>
      </c>
      <c r="AC104">
        <v>1</v>
      </c>
      <c r="AD104" t="s">
        <v>1627</v>
      </c>
      <c r="AE104" t="s">
        <v>3887</v>
      </c>
      <c r="AF104">
        <v>0</v>
      </c>
      <c r="AG104" t="s">
        <v>66</v>
      </c>
      <c r="AH104" t="s">
        <v>56</v>
      </c>
      <c r="AI104">
        <v>1</v>
      </c>
      <c r="AJ104" t="s">
        <v>1627</v>
      </c>
      <c r="AK104" t="s">
        <v>56</v>
      </c>
      <c r="AL104" t="s">
        <v>56</v>
      </c>
      <c r="AM104" t="s">
        <v>56</v>
      </c>
      <c r="AN104" t="s">
        <v>56</v>
      </c>
      <c r="AO104" t="s">
        <v>4275</v>
      </c>
      <c r="AP104" t="s">
        <v>3889</v>
      </c>
      <c r="AQ104" t="s">
        <v>3890</v>
      </c>
      <c r="AR104" t="s">
        <v>3926</v>
      </c>
      <c r="AS104" t="s">
        <v>3927</v>
      </c>
      <c r="AT104" t="s">
        <v>4288</v>
      </c>
      <c r="AU104" t="s">
        <v>3894</v>
      </c>
      <c r="AV104" t="s">
        <v>3895</v>
      </c>
      <c r="AW104" t="s">
        <v>3896</v>
      </c>
      <c r="AX104">
        <v>8</v>
      </c>
      <c r="AY104">
        <v>2</v>
      </c>
      <c r="AZ104" t="s">
        <v>3897</v>
      </c>
      <c r="BA104">
        <v>10</v>
      </c>
      <c r="BB104" t="s">
        <v>3898</v>
      </c>
      <c r="BC104">
        <v>3</v>
      </c>
      <c r="BD104">
        <v>5</v>
      </c>
      <c r="BE104" t="s">
        <v>3899</v>
      </c>
      <c r="BF104">
        <v>3</v>
      </c>
      <c r="BG104">
        <v>13</v>
      </c>
      <c r="BH104" t="s">
        <v>3900</v>
      </c>
      <c r="BI104" t="s">
        <v>4289</v>
      </c>
      <c r="BJ104">
        <v>1</v>
      </c>
      <c r="BK104" t="s">
        <v>3902</v>
      </c>
    </row>
    <row r="105" spans="1:63" x14ac:dyDescent="0.25">
      <c r="A105">
        <v>1118</v>
      </c>
      <c r="B105" t="str">
        <f>"20200125143017032321"</f>
        <v>20200125143017032321</v>
      </c>
      <c r="C105">
        <v>1</v>
      </c>
      <c r="D105">
        <v>1</v>
      </c>
      <c r="E105" t="s">
        <v>3886</v>
      </c>
      <c r="F105">
        <v>2</v>
      </c>
      <c r="G105">
        <v>0</v>
      </c>
      <c r="H105" t="s">
        <v>66</v>
      </c>
      <c r="I105">
        <v>0</v>
      </c>
      <c r="J105" t="s">
        <v>66</v>
      </c>
      <c r="K105">
        <v>1</v>
      </c>
      <c r="L105" t="s">
        <v>1627</v>
      </c>
      <c r="M105" t="s">
        <v>4063</v>
      </c>
      <c r="N105">
        <v>1</v>
      </c>
      <c r="O105" t="s">
        <v>1627</v>
      </c>
      <c r="P105" t="s">
        <v>4290</v>
      </c>
      <c r="Q105">
        <v>0</v>
      </c>
      <c r="R105" t="s">
        <v>66</v>
      </c>
      <c r="S105" t="s">
        <v>56</v>
      </c>
      <c r="T105" t="s">
        <v>56</v>
      </c>
      <c r="U105" t="s">
        <v>56</v>
      </c>
      <c r="V105" t="s">
        <v>56</v>
      </c>
      <c r="W105">
        <v>0</v>
      </c>
      <c r="X105" t="s">
        <v>66</v>
      </c>
      <c r="Y105" t="s">
        <v>56</v>
      </c>
      <c r="Z105">
        <v>0</v>
      </c>
      <c r="AA105" t="s">
        <v>66</v>
      </c>
      <c r="AB105" t="s">
        <v>56</v>
      </c>
      <c r="AC105">
        <v>0</v>
      </c>
      <c r="AD105" t="s">
        <v>66</v>
      </c>
      <c r="AE105" t="s">
        <v>56</v>
      </c>
      <c r="AF105">
        <v>0</v>
      </c>
      <c r="AG105" t="s">
        <v>66</v>
      </c>
      <c r="AH105" t="s">
        <v>56</v>
      </c>
      <c r="AI105">
        <v>1</v>
      </c>
      <c r="AJ105" t="s">
        <v>1627</v>
      </c>
      <c r="AK105" t="s">
        <v>56</v>
      </c>
      <c r="AL105" t="s">
        <v>56</v>
      </c>
      <c r="AM105" t="s">
        <v>56</v>
      </c>
      <c r="AN105" t="s">
        <v>56</v>
      </c>
      <c r="AO105" t="s">
        <v>4092</v>
      </c>
      <c r="AP105" t="s">
        <v>3962</v>
      </c>
      <c r="AQ105" t="s">
        <v>3963</v>
      </c>
      <c r="AR105" t="s">
        <v>3941</v>
      </c>
      <c r="AS105" t="s">
        <v>3942</v>
      </c>
      <c r="AT105" t="s">
        <v>4291</v>
      </c>
      <c r="AU105" t="s">
        <v>3944</v>
      </c>
      <c r="AV105" t="s">
        <v>3945</v>
      </c>
      <c r="AW105" t="s">
        <v>3946</v>
      </c>
      <c r="AX105">
        <v>24</v>
      </c>
      <c r="AY105">
        <v>2</v>
      </c>
      <c r="AZ105" t="s">
        <v>3897</v>
      </c>
      <c r="BA105">
        <v>10</v>
      </c>
      <c r="BB105" t="s">
        <v>3898</v>
      </c>
      <c r="BC105">
        <v>3</v>
      </c>
      <c r="BD105">
        <v>5</v>
      </c>
      <c r="BE105" t="s">
        <v>3899</v>
      </c>
      <c r="BF105">
        <v>90</v>
      </c>
      <c r="BG105">
        <v>66</v>
      </c>
      <c r="BH105" t="s">
        <v>3965</v>
      </c>
      <c r="BI105" t="s">
        <v>4292</v>
      </c>
      <c r="BJ105">
        <v>1</v>
      </c>
      <c r="BK105" t="s">
        <v>3902</v>
      </c>
    </row>
    <row r="106" spans="1:63" x14ac:dyDescent="0.25">
      <c r="A106">
        <v>1119</v>
      </c>
      <c r="B106" t="str">
        <f>"20200125157017033088"</f>
        <v>20200125157017033088</v>
      </c>
      <c r="C106">
        <v>1</v>
      </c>
      <c r="D106">
        <v>1</v>
      </c>
      <c r="E106" t="s">
        <v>3886</v>
      </c>
      <c r="F106">
        <v>1</v>
      </c>
      <c r="G106">
        <v>0</v>
      </c>
      <c r="H106" t="s">
        <v>66</v>
      </c>
      <c r="I106">
        <v>0</v>
      </c>
      <c r="J106" t="s">
        <v>66</v>
      </c>
      <c r="K106">
        <v>1</v>
      </c>
      <c r="L106" t="s">
        <v>1627</v>
      </c>
      <c r="M106" t="s">
        <v>4063</v>
      </c>
      <c r="N106">
        <v>1</v>
      </c>
      <c r="O106" t="s">
        <v>1627</v>
      </c>
      <c r="P106" t="s">
        <v>4293</v>
      </c>
      <c r="Q106">
        <v>0</v>
      </c>
      <c r="R106" t="s">
        <v>66</v>
      </c>
      <c r="S106" t="s">
        <v>56</v>
      </c>
      <c r="T106" t="s">
        <v>56</v>
      </c>
      <c r="U106" t="s">
        <v>56</v>
      </c>
      <c r="V106" t="s">
        <v>56</v>
      </c>
      <c r="W106">
        <v>0</v>
      </c>
      <c r="X106" t="s">
        <v>66</v>
      </c>
      <c r="Y106" t="s">
        <v>56</v>
      </c>
      <c r="Z106">
        <v>0</v>
      </c>
      <c r="AA106" t="s">
        <v>66</v>
      </c>
      <c r="AB106" t="s">
        <v>56</v>
      </c>
      <c r="AC106">
        <v>0</v>
      </c>
      <c r="AD106" t="s">
        <v>66</v>
      </c>
      <c r="AE106" t="s">
        <v>56</v>
      </c>
      <c r="AF106">
        <v>0</v>
      </c>
      <c r="AG106" t="s">
        <v>66</v>
      </c>
      <c r="AH106" t="s">
        <v>56</v>
      </c>
      <c r="AI106">
        <v>1</v>
      </c>
      <c r="AJ106" t="s">
        <v>1627</v>
      </c>
      <c r="AK106" t="s">
        <v>56</v>
      </c>
      <c r="AL106" t="s">
        <v>56</v>
      </c>
      <c r="AM106" t="s">
        <v>56</v>
      </c>
      <c r="AN106" t="s">
        <v>56</v>
      </c>
      <c r="AO106" t="s">
        <v>4294</v>
      </c>
      <c r="AP106" t="s">
        <v>3962</v>
      </c>
      <c r="AQ106" t="s">
        <v>3963</v>
      </c>
      <c r="AR106" t="s">
        <v>3941</v>
      </c>
      <c r="AS106" t="s">
        <v>3942</v>
      </c>
      <c r="AT106" t="s">
        <v>4295</v>
      </c>
      <c r="AU106" t="s">
        <v>3944</v>
      </c>
      <c r="AV106" t="s">
        <v>3945</v>
      </c>
      <c r="AW106" t="s">
        <v>3946</v>
      </c>
      <c r="AX106">
        <v>24</v>
      </c>
      <c r="AY106">
        <v>2</v>
      </c>
      <c r="AZ106" t="s">
        <v>3897</v>
      </c>
      <c r="BA106">
        <v>10</v>
      </c>
      <c r="BB106" t="s">
        <v>3898</v>
      </c>
      <c r="BC106">
        <v>60</v>
      </c>
      <c r="BD106">
        <v>3</v>
      </c>
      <c r="BE106" t="s">
        <v>3911</v>
      </c>
      <c r="BF106">
        <v>60</v>
      </c>
      <c r="BG106">
        <v>66</v>
      </c>
      <c r="BH106" t="s">
        <v>3965</v>
      </c>
      <c r="BI106" t="s">
        <v>4296</v>
      </c>
      <c r="BJ106">
        <v>1</v>
      </c>
      <c r="BK106" t="s">
        <v>3902</v>
      </c>
    </row>
    <row r="107" spans="1:63" x14ac:dyDescent="0.25">
      <c r="A107">
        <v>1120</v>
      </c>
      <c r="B107" t="str">
        <f>"20200125152017033466"</f>
        <v>20200125152017033466</v>
      </c>
      <c r="C107">
        <v>1</v>
      </c>
      <c r="D107">
        <v>1</v>
      </c>
      <c r="E107" t="s">
        <v>3886</v>
      </c>
      <c r="F107">
        <v>1</v>
      </c>
      <c r="G107">
        <v>0</v>
      </c>
      <c r="H107" t="s">
        <v>66</v>
      </c>
      <c r="I107">
        <v>0</v>
      </c>
      <c r="J107" t="s">
        <v>66</v>
      </c>
      <c r="K107">
        <v>1</v>
      </c>
      <c r="L107" t="s">
        <v>1627</v>
      </c>
      <c r="M107" t="s">
        <v>4297</v>
      </c>
      <c r="N107">
        <v>0</v>
      </c>
      <c r="O107" t="s">
        <v>66</v>
      </c>
      <c r="P107" t="s">
        <v>56</v>
      </c>
      <c r="Q107">
        <v>1</v>
      </c>
      <c r="R107" t="s">
        <v>1627</v>
      </c>
      <c r="S107" t="s">
        <v>66</v>
      </c>
      <c r="T107" t="s">
        <v>56</v>
      </c>
      <c r="U107" t="s">
        <v>56</v>
      </c>
      <c r="V107" t="s">
        <v>56</v>
      </c>
      <c r="W107">
        <v>0</v>
      </c>
      <c r="X107" t="s">
        <v>66</v>
      </c>
      <c r="Y107" t="s">
        <v>56</v>
      </c>
      <c r="Z107">
        <v>0</v>
      </c>
      <c r="AA107" t="s">
        <v>66</v>
      </c>
      <c r="AB107" t="s">
        <v>56</v>
      </c>
      <c r="AC107">
        <v>0</v>
      </c>
      <c r="AD107" t="s">
        <v>66</v>
      </c>
      <c r="AE107" t="s">
        <v>56</v>
      </c>
      <c r="AF107">
        <v>0</v>
      </c>
      <c r="AG107" t="s">
        <v>66</v>
      </c>
      <c r="AH107" t="s">
        <v>56</v>
      </c>
      <c r="AI107">
        <v>1</v>
      </c>
      <c r="AJ107" t="s">
        <v>1627</v>
      </c>
      <c r="AK107" t="s">
        <v>56</v>
      </c>
      <c r="AL107" t="s">
        <v>56</v>
      </c>
      <c r="AM107" t="s">
        <v>56</v>
      </c>
      <c r="AN107" t="s">
        <v>56</v>
      </c>
      <c r="AO107" t="s">
        <v>4015</v>
      </c>
      <c r="AP107" t="s">
        <v>3971</v>
      </c>
      <c r="AQ107" t="s">
        <v>3972</v>
      </c>
      <c r="AR107" t="s">
        <v>3904</v>
      </c>
      <c r="AS107" t="s">
        <v>3905</v>
      </c>
      <c r="AT107" t="s">
        <v>4298</v>
      </c>
      <c r="AU107" t="s">
        <v>3929</v>
      </c>
      <c r="AV107" t="s">
        <v>3930</v>
      </c>
      <c r="AW107" t="s">
        <v>3931</v>
      </c>
      <c r="AX107">
        <v>1</v>
      </c>
      <c r="AY107">
        <v>3</v>
      </c>
      <c r="AZ107" t="s">
        <v>3911</v>
      </c>
      <c r="BA107">
        <v>10</v>
      </c>
      <c r="BB107" t="s">
        <v>3898</v>
      </c>
      <c r="BC107">
        <v>7</v>
      </c>
      <c r="BD107">
        <v>3</v>
      </c>
      <c r="BE107" t="s">
        <v>3911</v>
      </c>
      <c r="BF107">
        <v>7</v>
      </c>
      <c r="BG107" t="s">
        <v>3912</v>
      </c>
      <c r="BH107" t="s">
        <v>3913</v>
      </c>
      <c r="BI107" t="s">
        <v>4299</v>
      </c>
      <c r="BJ107">
        <v>1</v>
      </c>
      <c r="BK107" t="s">
        <v>3902</v>
      </c>
    </row>
    <row r="108" spans="1:63" x14ac:dyDescent="0.25">
      <c r="A108">
        <v>1121</v>
      </c>
      <c r="B108" t="str">
        <f>"20200125166017033673"</f>
        <v>20200125166017033673</v>
      </c>
      <c r="C108">
        <v>1</v>
      </c>
      <c r="D108">
        <v>1</v>
      </c>
      <c r="E108" t="s">
        <v>3886</v>
      </c>
      <c r="F108">
        <v>1</v>
      </c>
      <c r="G108">
        <v>0</v>
      </c>
      <c r="H108" t="s">
        <v>66</v>
      </c>
      <c r="I108">
        <v>0</v>
      </c>
      <c r="J108" t="s">
        <v>66</v>
      </c>
      <c r="K108">
        <v>0</v>
      </c>
      <c r="L108" t="s">
        <v>66</v>
      </c>
      <c r="M108" t="s">
        <v>56</v>
      </c>
      <c r="N108">
        <v>0</v>
      </c>
      <c r="O108" t="s">
        <v>66</v>
      </c>
      <c r="P108" t="s">
        <v>56</v>
      </c>
      <c r="Q108">
        <v>0</v>
      </c>
      <c r="R108" t="s">
        <v>66</v>
      </c>
      <c r="S108" t="s">
        <v>56</v>
      </c>
      <c r="T108">
        <v>1</v>
      </c>
      <c r="U108" t="s">
        <v>1627</v>
      </c>
      <c r="V108" t="s">
        <v>56</v>
      </c>
      <c r="W108">
        <v>0</v>
      </c>
      <c r="X108" t="s">
        <v>66</v>
      </c>
      <c r="Y108" t="s">
        <v>56</v>
      </c>
      <c r="Z108">
        <v>0</v>
      </c>
      <c r="AA108" t="s">
        <v>66</v>
      </c>
      <c r="AB108" t="s">
        <v>56</v>
      </c>
      <c r="AC108">
        <v>1</v>
      </c>
      <c r="AD108" t="s">
        <v>1627</v>
      </c>
      <c r="AE108" t="s">
        <v>3887</v>
      </c>
      <c r="AF108">
        <v>0</v>
      </c>
      <c r="AG108" t="s">
        <v>66</v>
      </c>
      <c r="AH108" t="s">
        <v>56</v>
      </c>
      <c r="AI108">
        <v>1</v>
      </c>
      <c r="AJ108" t="s">
        <v>1627</v>
      </c>
      <c r="AK108" t="s">
        <v>56</v>
      </c>
      <c r="AL108" t="s">
        <v>56</v>
      </c>
      <c r="AM108" t="s">
        <v>56</v>
      </c>
      <c r="AN108" t="s">
        <v>56</v>
      </c>
      <c r="AO108" t="s">
        <v>4300</v>
      </c>
      <c r="AP108" t="s">
        <v>4069</v>
      </c>
      <c r="AQ108" t="s">
        <v>4070</v>
      </c>
      <c r="AR108" t="s">
        <v>4071</v>
      </c>
      <c r="AS108" t="s">
        <v>4072</v>
      </c>
      <c r="AT108" t="s">
        <v>4301</v>
      </c>
      <c r="AU108">
        <v>9000</v>
      </c>
      <c r="AV108" t="s">
        <v>3956</v>
      </c>
      <c r="AW108" t="s">
        <v>3956</v>
      </c>
      <c r="AX108">
        <v>12</v>
      </c>
      <c r="AY108">
        <v>2</v>
      </c>
      <c r="AZ108" t="s">
        <v>3897</v>
      </c>
      <c r="BA108">
        <v>10</v>
      </c>
      <c r="BB108" t="s">
        <v>3898</v>
      </c>
      <c r="BC108">
        <v>1</v>
      </c>
      <c r="BD108">
        <v>4</v>
      </c>
      <c r="BE108" t="s">
        <v>4302</v>
      </c>
      <c r="BF108">
        <v>1</v>
      </c>
      <c r="BG108">
        <v>73</v>
      </c>
      <c r="BH108" t="s">
        <v>3999</v>
      </c>
      <c r="BI108" t="s">
        <v>4303</v>
      </c>
      <c r="BJ108">
        <v>1</v>
      </c>
      <c r="BK108" t="s">
        <v>3902</v>
      </c>
    </row>
    <row r="109" spans="1:63" x14ac:dyDescent="0.25">
      <c r="A109">
        <v>1122</v>
      </c>
      <c r="B109" t="str">
        <f>"20200125127017033827"</f>
        <v>20200125127017033827</v>
      </c>
      <c r="C109">
        <v>1</v>
      </c>
      <c r="D109">
        <v>1</v>
      </c>
      <c r="E109" t="s">
        <v>3886</v>
      </c>
      <c r="F109">
        <v>1</v>
      </c>
      <c r="G109">
        <v>0</v>
      </c>
      <c r="H109" t="s">
        <v>66</v>
      </c>
      <c r="I109">
        <v>0</v>
      </c>
      <c r="J109" t="s">
        <v>66</v>
      </c>
      <c r="K109">
        <v>1</v>
      </c>
      <c r="L109" t="s">
        <v>1627</v>
      </c>
      <c r="M109" t="s">
        <v>4304</v>
      </c>
      <c r="N109">
        <v>1</v>
      </c>
      <c r="O109" t="s">
        <v>1627</v>
      </c>
      <c r="P109" t="s">
        <v>4305</v>
      </c>
      <c r="Q109">
        <v>0</v>
      </c>
      <c r="R109" t="s">
        <v>66</v>
      </c>
      <c r="S109" t="s">
        <v>56</v>
      </c>
      <c r="T109" t="s">
        <v>56</v>
      </c>
      <c r="U109" t="s">
        <v>56</v>
      </c>
      <c r="V109" t="s">
        <v>56</v>
      </c>
      <c r="W109">
        <v>0</v>
      </c>
      <c r="X109" t="s">
        <v>66</v>
      </c>
      <c r="Y109" t="s">
        <v>56</v>
      </c>
      <c r="Z109">
        <v>0</v>
      </c>
      <c r="AA109" t="s">
        <v>66</v>
      </c>
      <c r="AB109" t="s">
        <v>56</v>
      </c>
      <c r="AC109">
        <v>0</v>
      </c>
      <c r="AD109" t="s">
        <v>66</v>
      </c>
      <c r="AE109" t="s">
        <v>56</v>
      </c>
      <c r="AF109">
        <v>0</v>
      </c>
      <c r="AG109" t="s">
        <v>66</v>
      </c>
      <c r="AH109" t="s">
        <v>56</v>
      </c>
      <c r="AI109">
        <v>1</v>
      </c>
      <c r="AJ109" t="s">
        <v>1627</v>
      </c>
      <c r="AK109" t="s">
        <v>56</v>
      </c>
      <c r="AL109" t="s">
        <v>56</v>
      </c>
      <c r="AM109" t="s">
        <v>56</v>
      </c>
      <c r="AN109" t="s">
        <v>56</v>
      </c>
      <c r="AO109" t="s">
        <v>4306</v>
      </c>
      <c r="AP109" t="s">
        <v>3889</v>
      </c>
      <c r="AQ109" t="s">
        <v>3890</v>
      </c>
      <c r="AR109" t="s">
        <v>3904</v>
      </c>
      <c r="AS109" t="s">
        <v>3905</v>
      </c>
      <c r="AT109" t="s">
        <v>4307</v>
      </c>
      <c r="AU109" t="s">
        <v>3944</v>
      </c>
      <c r="AV109" t="s">
        <v>3945</v>
      </c>
      <c r="AW109" t="s">
        <v>3946</v>
      </c>
      <c r="AX109">
        <v>1</v>
      </c>
      <c r="AY109">
        <v>7</v>
      </c>
      <c r="AZ109" t="s">
        <v>4308</v>
      </c>
      <c r="BA109">
        <v>3</v>
      </c>
      <c r="BB109" t="s">
        <v>4309</v>
      </c>
      <c r="BC109">
        <v>15</v>
      </c>
      <c r="BD109">
        <v>1</v>
      </c>
      <c r="BE109" t="s">
        <v>4099</v>
      </c>
      <c r="BF109">
        <v>3</v>
      </c>
      <c r="BG109" t="s">
        <v>3912</v>
      </c>
      <c r="BH109" t="s">
        <v>3913</v>
      </c>
      <c r="BI109" t="s">
        <v>4310</v>
      </c>
      <c r="BJ109">
        <v>1</v>
      </c>
      <c r="BK109" t="s">
        <v>3902</v>
      </c>
    </row>
    <row r="110" spans="1:63" x14ac:dyDescent="0.25">
      <c r="A110">
        <v>1123</v>
      </c>
      <c r="B110" t="str">
        <f>"20200125196017034039"</f>
        <v>20200125196017034039</v>
      </c>
      <c r="C110">
        <v>1</v>
      </c>
      <c r="D110">
        <v>1</v>
      </c>
      <c r="E110" t="s">
        <v>3886</v>
      </c>
      <c r="F110">
        <v>1</v>
      </c>
      <c r="G110">
        <v>0</v>
      </c>
      <c r="H110" t="s">
        <v>66</v>
      </c>
      <c r="I110">
        <v>0</v>
      </c>
      <c r="J110" t="s">
        <v>66</v>
      </c>
      <c r="K110">
        <v>1</v>
      </c>
      <c r="L110" t="s">
        <v>1627</v>
      </c>
      <c r="M110" t="s">
        <v>4030</v>
      </c>
      <c r="N110">
        <v>1</v>
      </c>
      <c r="O110" t="s">
        <v>1627</v>
      </c>
      <c r="P110" t="s">
        <v>4311</v>
      </c>
      <c r="Q110">
        <v>0</v>
      </c>
      <c r="R110" t="s">
        <v>66</v>
      </c>
      <c r="S110" t="s">
        <v>56</v>
      </c>
      <c r="T110" t="s">
        <v>56</v>
      </c>
      <c r="U110" t="s">
        <v>56</v>
      </c>
      <c r="V110" t="s">
        <v>56</v>
      </c>
      <c r="W110">
        <v>0</v>
      </c>
      <c r="X110" t="s">
        <v>66</v>
      </c>
      <c r="Y110" t="s">
        <v>56</v>
      </c>
      <c r="Z110">
        <v>0</v>
      </c>
      <c r="AA110" t="s">
        <v>66</v>
      </c>
      <c r="AB110" t="s">
        <v>56</v>
      </c>
      <c r="AC110">
        <v>0</v>
      </c>
      <c r="AD110" t="s">
        <v>66</v>
      </c>
      <c r="AE110" t="s">
        <v>56</v>
      </c>
      <c r="AF110">
        <v>0</v>
      </c>
      <c r="AG110" t="s">
        <v>66</v>
      </c>
      <c r="AH110" t="s">
        <v>56</v>
      </c>
      <c r="AI110">
        <v>1</v>
      </c>
      <c r="AJ110" t="s">
        <v>1627</v>
      </c>
      <c r="AK110" t="s">
        <v>56</v>
      </c>
      <c r="AL110" t="s">
        <v>56</v>
      </c>
      <c r="AM110" t="s">
        <v>56</v>
      </c>
      <c r="AN110" t="s">
        <v>56</v>
      </c>
      <c r="AO110" t="s">
        <v>4306</v>
      </c>
      <c r="AP110" t="s">
        <v>3889</v>
      </c>
      <c r="AQ110" t="s">
        <v>3890</v>
      </c>
      <c r="AR110" t="s">
        <v>3904</v>
      </c>
      <c r="AS110" t="s">
        <v>3905</v>
      </c>
      <c r="AT110" t="s">
        <v>4312</v>
      </c>
      <c r="AU110" t="s">
        <v>3944</v>
      </c>
      <c r="AV110" t="s">
        <v>3945</v>
      </c>
      <c r="AW110" t="s">
        <v>3946</v>
      </c>
      <c r="AX110">
        <v>1</v>
      </c>
      <c r="AY110">
        <v>2</v>
      </c>
      <c r="AZ110" t="s">
        <v>3897</v>
      </c>
      <c r="BA110">
        <v>3</v>
      </c>
      <c r="BB110" t="s">
        <v>4309</v>
      </c>
      <c r="BC110">
        <v>15</v>
      </c>
      <c r="BD110">
        <v>1</v>
      </c>
      <c r="BE110" t="s">
        <v>4099</v>
      </c>
      <c r="BF110">
        <v>1</v>
      </c>
      <c r="BG110" t="s">
        <v>3912</v>
      </c>
      <c r="BH110" t="s">
        <v>3913</v>
      </c>
      <c r="BI110" t="s">
        <v>4313</v>
      </c>
      <c r="BJ110">
        <v>1</v>
      </c>
      <c r="BK110" t="s">
        <v>3902</v>
      </c>
    </row>
    <row r="111" spans="1:63" x14ac:dyDescent="0.25">
      <c r="A111">
        <v>1759</v>
      </c>
      <c r="B111" t="str">
        <f>"20200126139017036461"</f>
        <v>20200126139017036461</v>
      </c>
      <c r="C111">
        <v>1</v>
      </c>
      <c r="D111">
        <v>1</v>
      </c>
      <c r="E111" t="s">
        <v>3886</v>
      </c>
      <c r="F111">
        <v>1</v>
      </c>
      <c r="G111">
        <v>0</v>
      </c>
      <c r="H111" t="s">
        <v>66</v>
      </c>
      <c r="I111">
        <v>0</v>
      </c>
      <c r="J111" t="s">
        <v>66</v>
      </c>
      <c r="K111">
        <v>1</v>
      </c>
      <c r="L111" t="s">
        <v>1627</v>
      </c>
      <c r="M111" t="s">
        <v>4218</v>
      </c>
      <c r="N111">
        <v>1</v>
      </c>
      <c r="O111" t="s">
        <v>1627</v>
      </c>
      <c r="P111" t="s">
        <v>4314</v>
      </c>
      <c r="Q111">
        <v>0</v>
      </c>
      <c r="R111" t="s">
        <v>66</v>
      </c>
      <c r="S111" t="s">
        <v>56</v>
      </c>
      <c r="T111" t="s">
        <v>56</v>
      </c>
      <c r="U111" t="s">
        <v>56</v>
      </c>
      <c r="V111" t="s">
        <v>56</v>
      </c>
      <c r="W111">
        <v>0</v>
      </c>
      <c r="X111" t="s">
        <v>66</v>
      </c>
      <c r="Y111" t="s">
        <v>56</v>
      </c>
      <c r="Z111">
        <v>0</v>
      </c>
      <c r="AA111" t="s">
        <v>66</v>
      </c>
      <c r="AB111" t="s">
        <v>56</v>
      </c>
      <c r="AC111">
        <v>0</v>
      </c>
      <c r="AD111" t="s">
        <v>66</v>
      </c>
      <c r="AE111" t="s">
        <v>56</v>
      </c>
      <c r="AF111">
        <v>0</v>
      </c>
      <c r="AG111" t="s">
        <v>66</v>
      </c>
      <c r="AH111" t="s">
        <v>56</v>
      </c>
      <c r="AI111">
        <v>1</v>
      </c>
      <c r="AJ111" t="s">
        <v>1627</v>
      </c>
      <c r="AK111" t="s">
        <v>56</v>
      </c>
      <c r="AL111" t="s">
        <v>56</v>
      </c>
      <c r="AM111" t="s">
        <v>56</v>
      </c>
      <c r="AN111" t="s">
        <v>56</v>
      </c>
      <c r="AO111" t="s">
        <v>4220</v>
      </c>
      <c r="AP111" t="s">
        <v>3889</v>
      </c>
      <c r="AQ111" t="s">
        <v>3890</v>
      </c>
      <c r="AR111" t="s">
        <v>3904</v>
      </c>
      <c r="AS111" t="s">
        <v>3905</v>
      </c>
      <c r="AT111" t="s">
        <v>4315</v>
      </c>
      <c r="AU111" t="s">
        <v>4316</v>
      </c>
      <c r="AV111" t="s">
        <v>4317</v>
      </c>
      <c r="AW111" t="s">
        <v>4318</v>
      </c>
      <c r="AX111">
        <v>1</v>
      </c>
      <c r="AY111">
        <v>2</v>
      </c>
      <c r="AZ111" t="s">
        <v>3897</v>
      </c>
      <c r="BA111">
        <v>5</v>
      </c>
      <c r="BB111" t="s">
        <v>3910</v>
      </c>
      <c r="BC111">
        <v>5</v>
      </c>
      <c r="BD111">
        <v>3</v>
      </c>
      <c r="BE111" t="s">
        <v>3911</v>
      </c>
      <c r="BF111">
        <v>20</v>
      </c>
      <c r="BG111" t="s">
        <v>3912</v>
      </c>
      <c r="BH111" t="s">
        <v>3913</v>
      </c>
      <c r="BI111" t="s">
        <v>4319</v>
      </c>
      <c r="BJ111">
        <v>1</v>
      </c>
      <c r="BK111" t="s">
        <v>3902</v>
      </c>
    </row>
    <row r="112" spans="1:63" x14ac:dyDescent="0.25">
      <c r="A112">
        <v>1760</v>
      </c>
      <c r="B112" t="str">
        <f>"20200126145017037039"</f>
        <v>20200126145017037039</v>
      </c>
      <c r="C112">
        <v>1</v>
      </c>
      <c r="D112">
        <v>1</v>
      </c>
      <c r="E112" t="s">
        <v>3886</v>
      </c>
      <c r="F112">
        <v>1</v>
      </c>
      <c r="G112">
        <v>0</v>
      </c>
      <c r="H112" t="s">
        <v>66</v>
      </c>
      <c r="I112">
        <v>0</v>
      </c>
      <c r="J112" t="s">
        <v>66</v>
      </c>
      <c r="K112">
        <v>0</v>
      </c>
      <c r="L112" t="s">
        <v>66</v>
      </c>
      <c r="M112" t="s">
        <v>56</v>
      </c>
      <c r="N112">
        <v>0</v>
      </c>
      <c r="O112" t="s">
        <v>66</v>
      </c>
      <c r="P112" t="s">
        <v>56</v>
      </c>
      <c r="Q112">
        <v>0</v>
      </c>
      <c r="R112" t="s">
        <v>66</v>
      </c>
      <c r="S112" t="s">
        <v>56</v>
      </c>
      <c r="T112">
        <v>1</v>
      </c>
      <c r="U112" t="s">
        <v>1627</v>
      </c>
      <c r="V112" t="s">
        <v>56</v>
      </c>
      <c r="W112">
        <v>0</v>
      </c>
      <c r="X112" t="s">
        <v>66</v>
      </c>
      <c r="Y112" t="s">
        <v>56</v>
      </c>
      <c r="Z112">
        <v>0</v>
      </c>
      <c r="AA112" t="s">
        <v>66</v>
      </c>
      <c r="AB112" t="s">
        <v>56</v>
      </c>
      <c r="AC112">
        <v>1</v>
      </c>
      <c r="AD112" t="s">
        <v>1627</v>
      </c>
      <c r="AE112" t="s">
        <v>3887</v>
      </c>
      <c r="AF112">
        <v>0</v>
      </c>
      <c r="AG112" t="s">
        <v>66</v>
      </c>
      <c r="AH112" t="s">
        <v>56</v>
      </c>
      <c r="AI112">
        <v>1</v>
      </c>
      <c r="AJ112" t="s">
        <v>1627</v>
      </c>
      <c r="AK112" t="s">
        <v>56</v>
      </c>
      <c r="AL112" t="s">
        <v>56</v>
      </c>
      <c r="AM112" t="s">
        <v>56</v>
      </c>
      <c r="AN112" t="s">
        <v>56</v>
      </c>
      <c r="AO112" t="s">
        <v>4320</v>
      </c>
      <c r="AP112" t="s">
        <v>4069</v>
      </c>
      <c r="AQ112" t="s">
        <v>4070</v>
      </c>
      <c r="AR112" t="s">
        <v>4071</v>
      </c>
      <c r="AS112" t="s">
        <v>4072</v>
      </c>
      <c r="AT112" t="s">
        <v>4321</v>
      </c>
      <c r="AU112">
        <v>9000</v>
      </c>
      <c r="AV112" t="s">
        <v>3956</v>
      </c>
      <c r="AW112" t="s">
        <v>3956</v>
      </c>
      <c r="AX112">
        <v>12</v>
      </c>
      <c r="AY112">
        <v>2</v>
      </c>
      <c r="AZ112" t="s">
        <v>3897</v>
      </c>
      <c r="BA112">
        <v>10</v>
      </c>
      <c r="BB112" t="s">
        <v>3898</v>
      </c>
      <c r="BC112">
        <v>5</v>
      </c>
      <c r="BD112">
        <v>3</v>
      </c>
      <c r="BE112" t="s">
        <v>3911</v>
      </c>
      <c r="BF112">
        <v>1</v>
      </c>
      <c r="BG112">
        <v>73</v>
      </c>
      <c r="BH112" t="s">
        <v>3999</v>
      </c>
      <c r="BI112" t="s">
        <v>4322</v>
      </c>
      <c r="BJ112">
        <v>1</v>
      </c>
      <c r="BK112" t="s">
        <v>3902</v>
      </c>
    </row>
    <row r="113" spans="1:63" x14ac:dyDescent="0.25">
      <c r="A113">
        <v>1761</v>
      </c>
      <c r="B113" t="str">
        <f>"20200126180017037109"</f>
        <v>20200126180017037109</v>
      </c>
      <c r="C113">
        <v>1</v>
      </c>
      <c r="D113">
        <v>1</v>
      </c>
      <c r="E113" t="s">
        <v>3886</v>
      </c>
      <c r="F113">
        <v>1</v>
      </c>
      <c r="G113">
        <v>0</v>
      </c>
      <c r="H113" t="s">
        <v>66</v>
      </c>
      <c r="I113">
        <v>0</v>
      </c>
      <c r="J113" t="s">
        <v>66</v>
      </c>
      <c r="K113">
        <v>0</v>
      </c>
      <c r="L113" t="s">
        <v>66</v>
      </c>
      <c r="M113" t="s">
        <v>56</v>
      </c>
      <c r="N113">
        <v>0</v>
      </c>
      <c r="O113" t="s">
        <v>66</v>
      </c>
      <c r="P113" t="s">
        <v>56</v>
      </c>
      <c r="Q113">
        <v>0</v>
      </c>
      <c r="R113" t="s">
        <v>66</v>
      </c>
      <c r="S113" t="s">
        <v>56</v>
      </c>
      <c r="T113">
        <v>1</v>
      </c>
      <c r="U113" t="s">
        <v>1627</v>
      </c>
      <c r="V113" t="s">
        <v>4323</v>
      </c>
      <c r="W113">
        <v>1</v>
      </c>
      <c r="X113" t="s">
        <v>1627</v>
      </c>
      <c r="Y113" t="s">
        <v>4324</v>
      </c>
      <c r="Z113">
        <v>0</v>
      </c>
      <c r="AA113" t="s">
        <v>66</v>
      </c>
      <c r="AB113" t="s">
        <v>56</v>
      </c>
      <c r="AC113">
        <v>0</v>
      </c>
      <c r="AD113" t="s">
        <v>66</v>
      </c>
      <c r="AE113" t="s">
        <v>56</v>
      </c>
      <c r="AF113">
        <v>0</v>
      </c>
      <c r="AG113" t="s">
        <v>66</v>
      </c>
      <c r="AH113" t="s">
        <v>56</v>
      </c>
      <c r="AI113">
        <v>1</v>
      </c>
      <c r="AJ113" t="s">
        <v>1627</v>
      </c>
      <c r="AK113" t="s">
        <v>56</v>
      </c>
      <c r="AL113" t="s">
        <v>56</v>
      </c>
      <c r="AM113" t="s">
        <v>56</v>
      </c>
      <c r="AN113" t="s">
        <v>56</v>
      </c>
      <c r="AO113" t="s">
        <v>4015</v>
      </c>
      <c r="AP113" t="s">
        <v>3971</v>
      </c>
      <c r="AQ113" t="s">
        <v>3972</v>
      </c>
      <c r="AR113" t="s">
        <v>3904</v>
      </c>
      <c r="AS113" t="s">
        <v>3905</v>
      </c>
      <c r="AT113" t="s">
        <v>4325</v>
      </c>
      <c r="AU113" t="s">
        <v>3929</v>
      </c>
      <c r="AV113" t="s">
        <v>3930</v>
      </c>
      <c r="AW113" t="s">
        <v>3931</v>
      </c>
      <c r="AX113">
        <v>1</v>
      </c>
      <c r="AY113">
        <v>3</v>
      </c>
      <c r="AZ113" t="s">
        <v>3911</v>
      </c>
      <c r="BA113">
        <v>10</v>
      </c>
      <c r="BB113" t="s">
        <v>3898</v>
      </c>
      <c r="BC113">
        <v>10</v>
      </c>
      <c r="BD113">
        <v>3</v>
      </c>
      <c r="BE113" t="s">
        <v>3911</v>
      </c>
      <c r="BF113">
        <v>10</v>
      </c>
      <c r="BG113">
        <v>74</v>
      </c>
      <c r="BH113" t="s">
        <v>3923</v>
      </c>
      <c r="BI113" t="s">
        <v>4326</v>
      </c>
      <c r="BJ113">
        <v>1</v>
      </c>
      <c r="BK113" t="s">
        <v>3902</v>
      </c>
    </row>
    <row r="114" spans="1:63" x14ac:dyDescent="0.25">
      <c r="A114">
        <v>1762</v>
      </c>
      <c r="B114" t="str">
        <f>"20200126156017037255"</f>
        <v>20200126156017037255</v>
      </c>
      <c r="C114">
        <v>1</v>
      </c>
      <c r="D114">
        <v>1</v>
      </c>
      <c r="E114" t="s">
        <v>3886</v>
      </c>
      <c r="F114">
        <v>2</v>
      </c>
      <c r="G114">
        <v>0</v>
      </c>
      <c r="H114" t="s">
        <v>66</v>
      </c>
      <c r="I114">
        <v>0</v>
      </c>
      <c r="J114" t="s">
        <v>66</v>
      </c>
      <c r="K114">
        <v>0</v>
      </c>
      <c r="L114" t="s">
        <v>66</v>
      </c>
      <c r="M114" t="s">
        <v>56</v>
      </c>
      <c r="N114">
        <v>0</v>
      </c>
      <c r="O114" t="s">
        <v>66</v>
      </c>
      <c r="P114" t="s">
        <v>56</v>
      </c>
      <c r="Q114">
        <v>0</v>
      </c>
      <c r="R114" t="s">
        <v>66</v>
      </c>
      <c r="S114" t="s">
        <v>56</v>
      </c>
      <c r="T114">
        <v>1</v>
      </c>
      <c r="U114" t="s">
        <v>1627</v>
      </c>
      <c r="V114" t="s">
        <v>56</v>
      </c>
      <c r="W114">
        <v>0</v>
      </c>
      <c r="X114" t="s">
        <v>66</v>
      </c>
      <c r="Y114" t="s">
        <v>56</v>
      </c>
      <c r="Z114">
        <v>0</v>
      </c>
      <c r="AA114" t="s">
        <v>66</v>
      </c>
      <c r="AB114" t="s">
        <v>56</v>
      </c>
      <c r="AC114">
        <v>1</v>
      </c>
      <c r="AD114" t="s">
        <v>1627</v>
      </c>
      <c r="AE114" t="s">
        <v>3887</v>
      </c>
      <c r="AF114">
        <v>0</v>
      </c>
      <c r="AG114" t="s">
        <v>66</v>
      </c>
      <c r="AH114" t="s">
        <v>56</v>
      </c>
      <c r="AI114">
        <v>1</v>
      </c>
      <c r="AJ114" t="s">
        <v>1627</v>
      </c>
      <c r="AK114" t="s">
        <v>56</v>
      </c>
      <c r="AL114" t="s">
        <v>56</v>
      </c>
      <c r="AM114" t="s">
        <v>56</v>
      </c>
      <c r="AN114" t="s">
        <v>56</v>
      </c>
      <c r="AO114" t="s">
        <v>4101</v>
      </c>
      <c r="AP114" t="s">
        <v>3962</v>
      </c>
      <c r="AQ114" t="s">
        <v>3963</v>
      </c>
      <c r="AR114" t="s">
        <v>3941</v>
      </c>
      <c r="AS114" t="s">
        <v>3942</v>
      </c>
      <c r="AT114" t="s">
        <v>4327</v>
      </c>
      <c r="AU114" t="s">
        <v>3944</v>
      </c>
      <c r="AV114" t="s">
        <v>3945</v>
      </c>
      <c r="AW114" t="s">
        <v>3946</v>
      </c>
      <c r="AX114">
        <v>24</v>
      </c>
      <c r="AY114">
        <v>2</v>
      </c>
      <c r="AZ114" t="s">
        <v>3897</v>
      </c>
      <c r="BA114">
        <v>10</v>
      </c>
      <c r="BB114" t="s">
        <v>3898</v>
      </c>
      <c r="BC114">
        <v>3</v>
      </c>
      <c r="BD114">
        <v>5</v>
      </c>
      <c r="BE114" t="s">
        <v>3899</v>
      </c>
      <c r="BF114">
        <v>90</v>
      </c>
      <c r="BG114">
        <v>66</v>
      </c>
      <c r="BH114" t="s">
        <v>3965</v>
      </c>
      <c r="BI114" t="s">
        <v>4328</v>
      </c>
      <c r="BJ114">
        <v>1</v>
      </c>
      <c r="BK114" t="s">
        <v>3902</v>
      </c>
    </row>
    <row r="115" spans="1:63" x14ac:dyDescent="0.25">
      <c r="A115">
        <v>1763</v>
      </c>
      <c r="B115" t="str">
        <f>"20200126174017037330"</f>
        <v>20200126174017037330</v>
      </c>
      <c r="C115">
        <v>1</v>
      </c>
      <c r="D115">
        <v>1</v>
      </c>
      <c r="E115" t="s">
        <v>3886</v>
      </c>
      <c r="F115">
        <v>1</v>
      </c>
      <c r="G115">
        <v>0</v>
      </c>
      <c r="H115" t="s">
        <v>66</v>
      </c>
      <c r="I115">
        <v>0</v>
      </c>
      <c r="J115" t="s">
        <v>66</v>
      </c>
      <c r="K115">
        <v>0</v>
      </c>
      <c r="L115" t="s">
        <v>66</v>
      </c>
      <c r="M115" t="s">
        <v>56</v>
      </c>
      <c r="N115">
        <v>0</v>
      </c>
      <c r="O115" t="s">
        <v>66</v>
      </c>
      <c r="P115" t="s">
        <v>56</v>
      </c>
      <c r="Q115">
        <v>0</v>
      </c>
      <c r="R115" t="s">
        <v>66</v>
      </c>
      <c r="S115" t="s">
        <v>56</v>
      </c>
      <c r="T115">
        <v>1</v>
      </c>
      <c r="U115" t="s">
        <v>1627</v>
      </c>
      <c r="V115" t="s">
        <v>56</v>
      </c>
      <c r="W115">
        <v>0</v>
      </c>
      <c r="X115" t="s">
        <v>66</v>
      </c>
      <c r="Y115" t="s">
        <v>56</v>
      </c>
      <c r="Z115">
        <v>0</v>
      </c>
      <c r="AA115" t="s">
        <v>66</v>
      </c>
      <c r="AB115" t="s">
        <v>56</v>
      </c>
      <c r="AC115">
        <v>1</v>
      </c>
      <c r="AD115" t="s">
        <v>1627</v>
      </c>
      <c r="AE115" t="s">
        <v>3887</v>
      </c>
      <c r="AF115">
        <v>0</v>
      </c>
      <c r="AG115" t="s">
        <v>66</v>
      </c>
      <c r="AH115" t="s">
        <v>56</v>
      </c>
      <c r="AI115">
        <v>1</v>
      </c>
      <c r="AJ115" t="s">
        <v>1627</v>
      </c>
      <c r="AK115" t="s">
        <v>56</v>
      </c>
      <c r="AL115" t="s">
        <v>56</v>
      </c>
      <c r="AM115" t="s">
        <v>56</v>
      </c>
      <c r="AN115" t="s">
        <v>56</v>
      </c>
      <c r="AO115" t="s">
        <v>4329</v>
      </c>
      <c r="AP115" t="s">
        <v>4330</v>
      </c>
      <c r="AQ115" t="s">
        <v>4331</v>
      </c>
      <c r="AR115" t="s">
        <v>3941</v>
      </c>
      <c r="AS115" t="s">
        <v>3942</v>
      </c>
      <c r="AT115" t="s">
        <v>4332</v>
      </c>
      <c r="AU115" t="s">
        <v>3929</v>
      </c>
      <c r="AV115" t="s">
        <v>3930</v>
      </c>
      <c r="AW115" t="s">
        <v>3931</v>
      </c>
      <c r="AX115">
        <v>24</v>
      </c>
      <c r="AY115">
        <v>2</v>
      </c>
      <c r="AZ115" t="s">
        <v>3897</v>
      </c>
      <c r="BA115">
        <v>10</v>
      </c>
      <c r="BB115" t="s">
        <v>3898</v>
      </c>
      <c r="BC115">
        <v>1</v>
      </c>
      <c r="BD115">
        <v>3</v>
      </c>
      <c r="BE115" t="s">
        <v>3911</v>
      </c>
      <c r="BF115">
        <v>1</v>
      </c>
      <c r="BG115">
        <v>78</v>
      </c>
      <c r="BH115" t="s">
        <v>4333</v>
      </c>
      <c r="BI115" t="s">
        <v>4334</v>
      </c>
      <c r="BJ115">
        <v>1</v>
      </c>
      <c r="BK115" t="s">
        <v>3902</v>
      </c>
    </row>
    <row r="116" spans="1:63" x14ac:dyDescent="0.25">
      <c r="A116">
        <v>1764</v>
      </c>
      <c r="B116" t="str">
        <f>"20200126126017037335"</f>
        <v>20200126126017037335</v>
      </c>
      <c r="C116">
        <v>1</v>
      </c>
      <c r="D116">
        <v>1</v>
      </c>
      <c r="E116" t="s">
        <v>3886</v>
      </c>
      <c r="F116">
        <v>2</v>
      </c>
      <c r="G116">
        <v>0</v>
      </c>
      <c r="H116" t="s">
        <v>66</v>
      </c>
      <c r="I116">
        <v>0</v>
      </c>
      <c r="J116" t="s">
        <v>66</v>
      </c>
      <c r="K116">
        <v>0</v>
      </c>
      <c r="L116" t="s">
        <v>66</v>
      </c>
      <c r="M116" t="s">
        <v>56</v>
      </c>
      <c r="N116">
        <v>0</v>
      </c>
      <c r="O116" t="s">
        <v>66</v>
      </c>
      <c r="P116" t="s">
        <v>56</v>
      </c>
      <c r="Q116">
        <v>0</v>
      </c>
      <c r="R116" t="s">
        <v>66</v>
      </c>
      <c r="S116" t="s">
        <v>56</v>
      </c>
      <c r="T116">
        <v>1</v>
      </c>
      <c r="U116" t="s">
        <v>1627</v>
      </c>
      <c r="V116" t="s">
        <v>56</v>
      </c>
      <c r="W116">
        <v>0</v>
      </c>
      <c r="X116" t="s">
        <v>66</v>
      </c>
      <c r="Y116" t="s">
        <v>56</v>
      </c>
      <c r="Z116">
        <v>0</v>
      </c>
      <c r="AA116" t="s">
        <v>66</v>
      </c>
      <c r="AB116" t="s">
        <v>56</v>
      </c>
      <c r="AC116">
        <v>1</v>
      </c>
      <c r="AD116" t="s">
        <v>1627</v>
      </c>
      <c r="AE116" t="s">
        <v>3887</v>
      </c>
      <c r="AF116">
        <v>0</v>
      </c>
      <c r="AG116" t="s">
        <v>66</v>
      </c>
      <c r="AH116" t="s">
        <v>56</v>
      </c>
      <c r="AI116">
        <v>1</v>
      </c>
      <c r="AJ116" t="s">
        <v>1627</v>
      </c>
      <c r="AK116" t="s">
        <v>56</v>
      </c>
      <c r="AL116" t="s">
        <v>56</v>
      </c>
      <c r="AM116" t="s">
        <v>56</v>
      </c>
      <c r="AN116" t="s">
        <v>56</v>
      </c>
      <c r="AO116" t="s">
        <v>4335</v>
      </c>
      <c r="AP116" t="s">
        <v>3962</v>
      </c>
      <c r="AQ116" t="s">
        <v>3963</v>
      </c>
      <c r="AR116" t="s">
        <v>3941</v>
      </c>
      <c r="AS116" t="s">
        <v>3942</v>
      </c>
      <c r="AT116" t="s">
        <v>4336</v>
      </c>
      <c r="AU116">
        <v>9000</v>
      </c>
      <c r="AV116" t="s">
        <v>3956</v>
      </c>
      <c r="AW116" t="s">
        <v>3956</v>
      </c>
      <c r="AX116">
        <v>12</v>
      </c>
      <c r="AY116">
        <v>2</v>
      </c>
      <c r="AZ116" t="s">
        <v>3897</v>
      </c>
      <c r="BA116">
        <v>10</v>
      </c>
      <c r="BB116" t="s">
        <v>3898</v>
      </c>
      <c r="BC116">
        <v>3</v>
      </c>
      <c r="BD116">
        <v>5</v>
      </c>
      <c r="BE116" t="s">
        <v>3899</v>
      </c>
      <c r="BF116">
        <v>180</v>
      </c>
      <c r="BG116">
        <v>66</v>
      </c>
      <c r="BH116" t="s">
        <v>3965</v>
      </c>
      <c r="BI116" t="s">
        <v>4337</v>
      </c>
      <c r="BJ116">
        <v>1</v>
      </c>
      <c r="BK116" t="s">
        <v>3902</v>
      </c>
    </row>
    <row r="117" spans="1:63" x14ac:dyDescent="0.25">
      <c r="A117">
        <v>1765</v>
      </c>
      <c r="B117" t="str">
        <f>"20200126123017037953"</f>
        <v>20200126123017037953</v>
      </c>
      <c r="C117">
        <v>1</v>
      </c>
      <c r="D117">
        <v>1</v>
      </c>
      <c r="E117" t="s">
        <v>3886</v>
      </c>
      <c r="F117">
        <v>2</v>
      </c>
      <c r="G117">
        <v>0</v>
      </c>
      <c r="H117" t="s">
        <v>66</v>
      </c>
      <c r="I117">
        <v>0</v>
      </c>
      <c r="J117" t="s">
        <v>66</v>
      </c>
      <c r="K117">
        <v>1</v>
      </c>
      <c r="L117" t="s">
        <v>1627</v>
      </c>
      <c r="M117" t="s">
        <v>4236</v>
      </c>
      <c r="N117">
        <v>0</v>
      </c>
      <c r="O117" t="s">
        <v>66</v>
      </c>
      <c r="P117" t="s">
        <v>56</v>
      </c>
      <c r="Q117">
        <v>1</v>
      </c>
      <c r="R117" t="s">
        <v>1627</v>
      </c>
      <c r="S117" t="s">
        <v>4338</v>
      </c>
      <c r="T117" t="s">
        <v>56</v>
      </c>
      <c r="U117" t="s">
        <v>56</v>
      </c>
      <c r="V117" t="s">
        <v>56</v>
      </c>
      <c r="W117">
        <v>0</v>
      </c>
      <c r="X117" t="s">
        <v>66</v>
      </c>
      <c r="Y117" t="s">
        <v>56</v>
      </c>
      <c r="Z117">
        <v>0</v>
      </c>
      <c r="AA117" t="s">
        <v>66</v>
      </c>
      <c r="AB117" t="s">
        <v>56</v>
      </c>
      <c r="AC117">
        <v>0</v>
      </c>
      <c r="AD117" t="s">
        <v>66</v>
      </c>
      <c r="AE117" t="s">
        <v>56</v>
      </c>
      <c r="AF117">
        <v>0</v>
      </c>
      <c r="AG117" t="s">
        <v>66</v>
      </c>
      <c r="AH117" t="s">
        <v>56</v>
      </c>
      <c r="AI117">
        <v>1</v>
      </c>
      <c r="AJ117" t="s">
        <v>1627</v>
      </c>
      <c r="AK117" t="s">
        <v>56</v>
      </c>
      <c r="AL117" t="s">
        <v>56</v>
      </c>
      <c r="AM117" t="s">
        <v>56</v>
      </c>
      <c r="AN117" t="s">
        <v>56</v>
      </c>
      <c r="AO117" t="s">
        <v>4339</v>
      </c>
      <c r="AP117" t="s">
        <v>3962</v>
      </c>
      <c r="AQ117" t="s">
        <v>3963</v>
      </c>
      <c r="AR117" t="s">
        <v>3941</v>
      </c>
      <c r="AS117" t="s">
        <v>3942</v>
      </c>
      <c r="AT117" t="s">
        <v>4340</v>
      </c>
      <c r="AU117" t="s">
        <v>3944</v>
      </c>
      <c r="AV117" t="s">
        <v>3945</v>
      </c>
      <c r="AW117" t="s">
        <v>3946</v>
      </c>
      <c r="AX117">
        <v>12</v>
      </c>
      <c r="AY117">
        <v>2</v>
      </c>
      <c r="AZ117" t="s">
        <v>3897</v>
      </c>
      <c r="BA117">
        <v>10</v>
      </c>
      <c r="BB117" t="s">
        <v>3898</v>
      </c>
      <c r="BC117">
        <v>3</v>
      </c>
      <c r="BD117">
        <v>5</v>
      </c>
      <c r="BE117" t="s">
        <v>3899</v>
      </c>
      <c r="BF117">
        <v>180</v>
      </c>
      <c r="BG117">
        <v>66</v>
      </c>
      <c r="BH117" t="s">
        <v>3965</v>
      </c>
      <c r="BI117" t="s">
        <v>4341</v>
      </c>
      <c r="BJ117">
        <v>1</v>
      </c>
      <c r="BK117" t="s">
        <v>3902</v>
      </c>
    </row>
    <row r="118" spans="1:63" x14ac:dyDescent="0.25">
      <c r="A118">
        <v>1766</v>
      </c>
      <c r="B118" t="str">
        <f>"20200126151017037968"</f>
        <v>20200126151017037968</v>
      </c>
      <c r="C118">
        <v>1</v>
      </c>
      <c r="D118">
        <v>1</v>
      </c>
      <c r="E118" t="s">
        <v>3886</v>
      </c>
      <c r="F118">
        <v>2</v>
      </c>
      <c r="G118">
        <v>0</v>
      </c>
      <c r="H118" t="s">
        <v>66</v>
      </c>
      <c r="I118">
        <v>0</v>
      </c>
      <c r="J118" t="s">
        <v>66</v>
      </c>
      <c r="K118">
        <v>1</v>
      </c>
      <c r="L118" t="s">
        <v>1627</v>
      </c>
      <c r="M118" t="s">
        <v>4236</v>
      </c>
      <c r="N118">
        <v>1</v>
      </c>
      <c r="O118" t="s">
        <v>1627</v>
      </c>
      <c r="P118" t="s">
        <v>4342</v>
      </c>
      <c r="Q118">
        <v>0</v>
      </c>
      <c r="R118" t="s">
        <v>66</v>
      </c>
      <c r="S118" t="s">
        <v>56</v>
      </c>
      <c r="T118" t="s">
        <v>56</v>
      </c>
      <c r="U118" t="s">
        <v>56</v>
      </c>
      <c r="V118" t="s">
        <v>56</v>
      </c>
      <c r="W118">
        <v>0</v>
      </c>
      <c r="X118" t="s">
        <v>66</v>
      </c>
      <c r="Y118" t="s">
        <v>56</v>
      </c>
      <c r="Z118">
        <v>0</v>
      </c>
      <c r="AA118" t="s">
        <v>66</v>
      </c>
      <c r="AB118" t="s">
        <v>56</v>
      </c>
      <c r="AC118">
        <v>0</v>
      </c>
      <c r="AD118" t="s">
        <v>66</v>
      </c>
      <c r="AE118" t="s">
        <v>56</v>
      </c>
      <c r="AF118">
        <v>0</v>
      </c>
      <c r="AG118" t="s">
        <v>66</v>
      </c>
      <c r="AH118" t="s">
        <v>56</v>
      </c>
      <c r="AI118">
        <v>1</v>
      </c>
      <c r="AJ118" t="s">
        <v>1627</v>
      </c>
      <c r="AK118" t="s">
        <v>56</v>
      </c>
      <c r="AL118" t="s">
        <v>56</v>
      </c>
      <c r="AM118" t="s">
        <v>56</v>
      </c>
      <c r="AN118" t="s">
        <v>56</v>
      </c>
      <c r="AO118" t="s">
        <v>3978</v>
      </c>
      <c r="AP118" t="s">
        <v>3962</v>
      </c>
      <c r="AQ118" t="s">
        <v>3963</v>
      </c>
      <c r="AR118" t="s">
        <v>3941</v>
      </c>
      <c r="AS118" t="s">
        <v>3942</v>
      </c>
      <c r="AT118" t="s">
        <v>4343</v>
      </c>
      <c r="AU118" t="s">
        <v>3944</v>
      </c>
      <c r="AV118" t="s">
        <v>3945</v>
      </c>
      <c r="AW118" t="s">
        <v>3946</v>
      </c>
      <c r="AX118">
        <v>24</v>
      </c>
      <c r="AY118">
        <v>2</v>
      </c>
      <c r="AZ118" t="s">
        <v>3897</v>
      </c>
      <c r="BA118">
        <v>10</v>
      </c>
      <c r="BB118" t="s">
        <v>3898</v>
      </c>
      <c r="BC118">
        <v>3</v>
      </c>
      <c r="BD118">
        <v>5</v>
      </c>
      <c r="BE118" t="s">
        <v>3899</v>
      </c>
      <c r="BF118">
        <v>90</v>
      </c>
      <c r="BG118">
        <v>61</v>
      </c>
      <c r="BH118" t="s">
        <v>4344</v>
      </c>
      <c r="BI118" t="s">
        <v>4345</v>
      </c>
      <c r="BJ118">
        <v>1</v>
      </c>
      <c r="BK118" t="s">
        <v>3902</v>
      </c>
    </row>
    <row r="119" spans="1:63" x14ac:dyDescent="0.25">
      <c r="A119">
        <v>1767</v>
      </c>
      <c r="B119" t="str">
        <f>"20200126181017038014"</f>
        <v>20200126181017038014</v>
      </c>
      <c r="C119">
        <v>1</v>
      </c>
      <c r="D119">
        <v>1</v>
      </c>
      <c r="E119" t="s">
        <v>3886</v>
      </c>
      <c r="F119">
        <v>2</v>
      </c>
      <c r="G119">
        <v>0</v>
      </c>
      <c r="H119" t="s">
        <v>66</v>
      </c>
      <c r="I119">
        <v>0</v>
      </c>
      <c r="J119" t="s">
        <v>66</v>
      </c>
      <c r="K119">
        <v>1</v>
      </c>
      <c r="L119" t="s">
        <v>1627</v>
      </c>
      <c r="M119" t="s">
        <v>4236</v>
      </c>
      <c r="N119">
        <v>0</v>
      </c>
      <c r="O119" t="s">
        <v>66</v>
      </c>
      <c r="P119" t="s">
        <v>56</v>
      </c>
      <c r="Q119">
        <v>1</v>
      </c>
      <c r="R119" t="s">
        <v>1627</v>
      </c>
      <c r="S119" t="s">
        <v>4346</v>
      </c>
      <c r="T119" t="s">
        <v>56</v>
      </c>
      <c r="U119" t="s">
        <v>56</v>
      </c>
      <c r="V119" t="s">
        <v>56</v>
      </c>
      <c r="W119">
        <v>0</v>
      </c>
      <c r="X119" t="s">
        <v>66</v>
      </c>
      <c r="Y119" t="s">
        <v>56</v>
      </c>
      <c r="Z119">
        <v>0</v>
      </c>
      <c r="AA119" t="s">
        <v>66</v>
      </c>
      <c r="AB119" t="s">
        <v>56</v>
      </c>
      <c r="AC119">
        <v>0</v>
      </c>
      <c r="AD119" t="s">
        <v>66</v>
      </c>
      <c r="AE119" t="s">
        <v>56</v>
      </c>
      <c r="AF119">
        <v>0</v>
      </c>
      <c r="AG119" t="s">
        <v>66</v>
      </c>
      <c r="AH119" t="s">
        <v>56</v>
      </c>
      <c r="AI119">
        <v>1</v>
      </c>
      <c r="AJ119" t="s">
        <v>1627</v>
      </c>
      <c r="AK119" t="s">
        <v>56</v>
      </c>
      <c r="AL119" t="s">
        <v>56</v>
      </c>
      <c r="AM119" t="s">
        <v>56</v>
      </c>
      <c r="AN119" t="s">
        <v>56</v>
      </c>
      <c r="AO119" t="s">
        <v>3978</v>
      </c>
      <c r="AP119" t="s">
        <v>3962</v>
      </c>
      <c r="AQ119" t="s">
        <v>3963</v>
      </c>
      <c r="AR119" t="s">
        <v>3941</v>
      </c>
      <c r="AS119" t="s">
        <v>3942</v>
      </c>
      <c r="AT119" t="s">
        <v>4343</v>
      </c>
      <c r="AU119" t="s">
        <v>3944</v>
      </c>
      <c r="AV119" t="s">
        <v>3945</v>
      </c>
      <c r="AW119" t="s">
        <v>3946</v>
      </c>
      <c r="AX119">
        <v>12</v>
      </c>
      <c r="AY119">
        <v>2</v>
      </c>
      <c r="AZ119" t="s">
        <v>3897</v>
      </c>
      <c r="BA119">
        <v>10</v>
      </c>
      <c r="BB119" t="s">
        <v>3898</v>
      </c>
      <c r="BC119">
        <v>3</v>
      </c>
      <c r="BD119">
        <v>5</v>
      </c>
      <c r="BE119" t="s">
        <v>3899</v>
      </c>
      <c r="BF119">
        <v>180</v>
      </c>
      <c r="BG119">
        <v>66</v>
      </c>
      <c r="BH119" t="s">
        <v>3965</v>
      </c>
      <c r="BI119" t="s">
        <v>4345</v>
      </c>
      <c r="BJ119">
        <v>1</v>
      </c>
      <c r="BK119" t="s">
        <v>3902</v>
      </c>
    </row>
    <row r="120" spans="1:63" x14ac:dyDescent="0.25">
      <c r="A120">
        <v>1768</v>
      </c>
      <c r="B120" t="str">
        <f>"20200126140017038056"</f>
        <v>20200126140017038056</v>
      </c>
      <c r="C120">
        <v>1</v>
      </c>
      <c r="D120">
        <v>1</v>
      </c>
      <c r="E120" t="s">
        <v>3886</v>
      </c>
      <c r="F120">
        <v>2</v>
      </c>
      <c r="G120">
        <v>0</v>
      </c>
      <c r="H120" t="s">
        <v>66</v>
      </c>
      <c r="I120">
        <v>0</v>
      </c>
      <c r="J120" t="s">
        <v>66</v>
      </c>
      <c r="K120">
        <v>1</v>
      </c>
      <c r="L120" t="s">
        <v>1627</v>
      </c>
      <c r="M120" t="s">
        <v>4236</v>
      </c>
      <c r="N120">
        <v>1</v>
      </c>
      <c r="O120" t="s">
        <v>1627</v>
      </c>
      <c r="P120" t="s">
        <v>4347</v>
      </c>
      <c r="Q120">
        <v>0</v>
      </c>
      <c r="R120" t="s">
        <v>66</v>
      </c>
      <c r="S120" t="s">
        <v>56</v>
      </c>
      <c r="T120" t="s">
        <v>56</v>
      </c>
      <c r="U120" t="s">
        <v>56</v>
      </c>
      <c r="V120" t="s">
        <v>56</v>
      </c>
      <c r="W120">
        <v>0</v>
      </c>
      <c r="X120" t="s">
        <v>66</v>
      </c>
      <c r="Y120" t="s">
        <v>56</v>
      </c>
      <c r="Z120">
        <v>0</v>
      </c>
      <c r="AA120" t="s">
        <v>66</v>
      </c>
      <c r="AB120" t="s">
        <v>56</v>
      </c>
      <c r="AC120">
        <v>0</v>
      </c>
      <c r="AD120" t="s">
        <v>66</v>
      </c>
      <c r="AE120" t="s">
        <v>56</v>
      </c>
      <c r="AF120">
        <v>0</v>
      </c>
      <c r="AG120" t="s">
        <v>66</v>
      </c>
      <c r="AH120" t="s">
        <v>56</v>
      </c>
      <c r="AI120">
        <v>1</v>
      </c>
      <c r="AJ120" t="s">
        <v>1627</v>
      </c>
      <c r="AK120" t="s">
        <v>56</v>
      </c>
      <c r="AL120" t="s">
        <v>56</v>
      </c>
      <c r="AM120" t="s">
        <v>56</v>
      </c>
      <c r="AN120" t="s">
        <v>56</v>
      </c>
      <c r="AO120" t="s">
        <v>4339</v>
      </c>
      <c r="AP120" t="s">
        <v>3962</v>
      </c>
      <c r="AQ120" t="s">
        <v>3963</v>
      </c>
      <c r="AR120" t="s">
        <v>3941</v>
      </c>
      <c r="AS120" t="s">
        <v>3942</v>
      </c>
      <c r="AT120" t="s">
        <v>4343</v>
      </c>
      <c r="AU120" t="s">
        <v>3944</v>
      </c>
      <c r="AV120" t="s">
        <v>3945</v>
      </c>
      <c r="AW120" t="s">
        <v>3946</v>
      </c>
      <c r="AX120">
        <v>12</v>
      </c>
      <c r="AY120">
        <v>2</v>
      </c>
      <c r="AZ120" t="s">
        <v>3897</v>
      </c>
      <c r="BA120">
        <v>10</v>
      </c>
      <c r="BB120" t="s">
        <v>3898</v>
      </c>
      <c r="BC120">
        <v>3</v>
      </c>
      <c r="BD120">
        <v>5</v>
      </c>
      <c r="BE120" t="s">
        <v>3899</v>
      </c>
      <c r="BF120">
        <v>180</v>
      </c>
      <c r="BG120">
        <v>66</v>
      </c>
      <c r="BH120" t="s">
        <v>3965</v>
      </c>
      <c r="BI120" t="s">
        <v>4348</v>
      </c>
      <c r="BJ120">
        <v>1</v>
      </c>
      <c r="BK120" t="s">
        <v>3902</v>
      </c>
    </row>
    <row r="121" spans="1:63" x14ac:dyDescent="0.25">
      <c r="A121">
        <v>1769</v>
      </c>
      <c r="B121" t="str">
        <f>"20200126129017038122"</f>
        <v>20200126129017038122</v>
      </c>
      <c r="C121">
        <v>1</v>
      </c>
      <c r="D121">
        <v>1</v>
      </c>
      <c r="E121" t="s">
        <v>3886</v>
      </c>
      <c r="F121">
        <v>2</v>
      </c>
      <c r="G121">
        <v>0</v>
      </c>
      <c r="H121" t="s">
        <v>66</v>
      </c>
      <c r="I121">
        <v>0</v>
      </c>
      <c r="J121" t="s">
        <v>66</v>
      </c>
      <c r="K121">
        <v>0</v>
      </c>
      <c r="L121" t="s">
        <v>66</v>
      </c>
      <c r="M121" t="s">
        <v>56</v>
      </c>
      <c r="N121">
        <v>0</v>
      </c>
      <c r="O121" t="s">
        <v>66</v>
      </c>
      <c r="P121" t="s">
        <v>56</v>
      </c>
      <c r="Q121">
        <v>0</v>
      </c>
      <c r="R121" t="s">
        <v>66</v>
      </c>
      <c r="S121" t="s">
        <v>56</v>
      </c>
      <c r="T121">
        <v>1</v>
      </c>
      <c r="U121" t="s">
        <v>1627</v>
      </c>
      <c r="V121" t="s">
        <v>56</v>
      </c>
      <c r="W121">
        <v>0</v>
      </c>
      <c r="X121" t="s">
        <v>66</v>
      </c>
      <c r="Y121" t="s">
        <v>56</v>
      </c>
      <c r="Z121">
        <v>0</v>
      </c>
      <c r="AA121" t="s">
        <v>66</v>
      </c>
      <c r="AB121" t="s">
        <v>56</v>
      </c>
      <c r="AC121">
        <v>1</v>
      </c>
      <c r="AD121" t="s">
        <v>1627</v>
      </c>
      <c r="AE121" t="s">
        <v>3887</v>
      </c>
      <c r="AF121">
        <v>0</v>
      </c>
      <c r="AG121" t="s">
        <v>66</v>
      </c>
      <c r="AH121" t="s">
        <v>56</v>
      </c>
      <c r="AI121">
        <v>1</v>
      </c>
      <c r="AJ121" t="s">
        <v>1627</v>
      </c>
      <c r="AK121" t="s">
        <v>56</v>
      </c>
      <c r="AL121" t="s">
        <v>56</v>
      </c>
      <c r="AM121" t="s">
        <v>56</v>
      </c>
      <c r="AN121" t="s">
        <v>56</v>
      </c>
      <c r="AO121" t="s">
        <v>4349</v>
      </c>
      <c r="AP121" t="s">
        <v>3962</v>
      </c>
      <c r="AQ121" t="s">
        <v>3963</v>
      </c>
      <c r="AR121" t="s">
        <v>3941</v>
      </c>
      <c r="AS121" t="s">
        <v>3942</v>
      </c>
      <c r="AT121" t="s">
        <v>4350</v>
      </c>
      <c r="AU121" t="s">
        <v>3944</v>
      </c>
      <c r="AV121" t="s">
        <v>3945</v>
      </c>
      <c r="AW121" t="s">
        <v>3946</v>
      </c>
      <c r="AX121">
        <v>24</v>
      </c>
      <c r="AY121">
        <v>2</v>
      </c>
      <c r="AZ121" t="s">
        <v>3897</v>
      </c>
      <c r="BA121">
        <v>10</v>
      </c>
      <c r="BB121" t="s">
        <v>3898</v>
      </c>
      <c r="BC121">
        <v>30</v>
      </c>
      <c r="BD121">
        <v>3</v>
      </c>
      <c r="BE121" t="s">
        <v>3911</v>
      </c>
      <c r="BF121">
        <v>30</v>
      </c>
      <c r="BG121">
        <v>66</v>
      </c>
      <c r="BH121" t="s">
        <v>3965</v>
      </c>
      <c r="BI121" t="s">
        <v>4351</v>
      </c>
      <c r="BJ121">
        <v>1</v>
      </c>
      <c r="BK121" t="s">
        <v>3902</v>
      </c>
    </row>
    <row r="122" spans="1:63" x14ac:dyDescent="0.25">
      <c r="A122">
        <v>1770</v>
      </c>
      <c r="B122" t="str">
        <f>"20200126173017038129"</f>
        <v>20200126173017038129</v>
      </c>
      <c r="C122">
        <v>1</v>
      </c>
      <c r="D122">
        <v>1</v>
      </c>
      <c r="E122" t="s">
        <v>3886</v>
      </c>
      <c r="F122">
        <v>2</v>
      </c>
      <c r="G122">
        <v>0</v>
      </c>
      <c r="H122" t="s">
        <v>66</v>
      </c>
      <c r="I122">
        <v>0</v>
      </c>
      <c r="J122" t="s">
        <v>66</v>
      </c>
      <c r="K122">
        <v>1</v>
      </c>
      <c r="L122" t="s">
        <v>1627</v>
      </c>
      <c r="M122" t="s">
        <v>4236</v>
      </c>
      <c r="N122">
        <v>1</v>
      </c>
      <c r="O122" t="s">
        <v>1627</v>
      </c>
      <c r="P122" t="s">
        <v>4347</v>
      </c>
      <c r="Q122">
        <v>0</v>
      </c>
      <c r="R122" t="s">
        <v>66</v>
      </c>
      <c r="S122" t="s">
        <v>56</v>
      </c>
      <c r="T122" t="s">
        <v>56</v>
      </c>
      <c r="U122" t="s">
        <v>56</v>
      </c>
      <c r="V122" t="s">
        <v>56</v>
      </c>
      <c r="W122">
        <v>0</v>
      </c>
      <c r="X122" t="s">
        <v>66</v>
      </c>
      <c r="Y122" t="s">
        <v>56</v>
      </c>
      <c r="Z122">
        <v>0</v>
      </c>
      <c r="AA122" t="s">
        <v>66</v>
      </c>
      <c r="AB122" t="s">
        <v>56</v>
      </c>
      <c r="AC122">
        <v>0</v>
      </c>
      <c r="AD122" t="s">
        <v>66</v>
      </c>
      <c r="AE122" t="s">
        <v>56</v>
      </c>
      <c r="AF122">
        <v>0</v>
      </c>
      <c r="AG122" t="s">
        <v>66</v>
      </c>
      <c r="AH122" t="s">
        <v>56</v>
      </c>
      <c r="AI122">
        <v>1</v>
      </c>
      <c r="AJ122" t="s">
        <v>1627</v>
      </c>
      <c r="AK122" t="s">
        <v>56</v>
      </c>
      <c r="AL122" t="s">
        <v>56</v>
      </c>
      <c r="AM122" t="s">
        <v>56</v>
      </c>
      <c r="AN122" t="s">
        <v>56</v>
      </c>
      <c r="AO122" t="s">
        <v>4339</v>
      </c>
      <c r="AP122" t="s">
        <v>3962</v>
      </c>
      <c r="AQ122" t="s">
        <v>3963</v>
      </c>
      <c r="AR122" t="s">
        <v>3941</v>
      </c>
      <c r="AS122" t="s">
        <v>3942</v>
      </c>
      <c r="AT122" t="s">
        <v>4343</v>
      </c>
      <c r="AU122" t="s">
        <v>3944</v>
      </c>
      <c r="AV122" t="s">
        <v>3945</v>
      </c>
      <c r="AW122" t="s">
        <v>3946</v>
      </c>
      <c r="AX122">
        <v>12</v>
      </c>
      <c r="AY122">
        <v>2</v>
      </c>
      <c r="AZ122" t="s">
        <v>3897</v>
      </c>
      <c r="BA122">
        <v>10</v>
      </c>
      <c r="BB122" t="s">
        <v>3898</v>
      </c>
      <c r="BC122">
        <v>3</v>
      </c>
      <c r="BD122">
        <v>5</v>
      </c>
      <c r="BE122" t="s">
        <v>3899</v>
      </c>
      <c r="BF122">
        <v>180</v>
      </c>
      <c r="BG122">
        <v>66</v>
      </c>
      <c r="BH122" t="s">
        <v>3965</v>
      </c>
      <c r="BI122" t="s">
        <v>4352</v>
      </c>
      <c r="BJ122">
        <v>1</v>
      </c>
      <c r="BK122" t="s">
        <v>3902</v>
      </c>
    </row>
    <row r="123" spans="1:63" x14ac:dyDescent="0.25">
      <c r="A123">
        <v>4186</v>
      </c>
      <c r="B123" t="str">
        <f>"20200127130017050878"</f>
        <v>20200127130017050878</v>
      </c>
      <c r="C123">
        <v>2</v>
      </c>
      <c r="D123">
        <v>1</v>
      </c>
      <c r="E123" t="s">
        <v>3886</v>
      </c>
      <c r="F123">
        <v>2</v>
      </c>
      <c r="G123">
        <v>0</v>
      </c>
      <c r="H123" t="s">
        <v>66</v>
      </c>
      <c r="I123">
        <v>0</v>
      </c>
      <c r="J123" t="s">
        <v>66</v>
      </c>
      <c r="K123">
        <v>1</v>
      </c>
      <c r="L123" t="s">
        <v>1627</v>
      </c>
      <c r="M123" t="s">
        <v>4353</v>
      </c>
      <c r="N123">
        <v>1</v>
      </c>
      <c r="O123" t="s">
        <v>1627</v>
      </c>
      <c r="P123" t="s">
        <v>4354</v>
      </c>
      <c r="Q123">
        <v>0</v>
      </c>
      <c r="R123" t="s">
        <v>66</v>
      </c>
      <c r="S123" t="s">
        <v>56</v>
      </c>
      <c r="T123" t="s">
        <v>56</v>
      </c>
      <c r="U123" t="s">
        <v>56</v>
      </c>
      <c r="V123" t="s">
        <v>56</v>
      </c>
      <c r="W123">
        <v>0</v>
      </c>
      <c r="X123" t="s">
        <v>66</v>
      </c>
      <c r="Y123" t="s">
        <v>56</v>
      </c>
      <c r="Z123">
        <v>0</v>
      </c>
      <c r="AA123" t="s">
        <v>66</v>
      </c>
      <c r="AB123" t="s">
        <v>56</v>
      </c>
      <c r="AC123">
        <v>0</v>
      </c>
      <c r="AD123" t="s">
        <v>66</v>
      </c>
      <c r="AE123" t="s">
        <v>56</v>
      </c>
      <c r="AF123">
        <v>0</v>
      </c>
      <c r="AG123" t="s">
        <v>66</v>
      </c>
      <c r="AH123" t="s">
        <v>56</v>
      </c>
      <c r="AI123">
        <v>1</v>
      </c>
      <c r="AJ123" t="s">
        <v>1627</v>
      </c>
      <c r="AK123" t="s">
        <v>56</v>
      </c>
      <c r="AL123" t="s">
        <v>56</v>
      </c>
      <c r="AM123" t="s">
        <v>56</v>
      </c>
      <c r="AN123" t="s">
        <v>56</v>
      </c>
      <c r="AO123" t="s">
        <v>4355</v>
      </c>
      <c r="AP123" t="s">
        <v>3918</v>
      </c>
      <c r="AQ123" t="s">
        <v>3919</v>
      </c>
      <c r="AR123" t="s">
        <v>3920</v>
      </c>
      <c r="AS123" t="s">
        <v>3921</v>
      </c>
      <c r="AT123" t="s">
        <v>4356</v>
      </c>
      <c r="AU123" t="s">
        <v>3907</v>
      </c>
      <c r="AV123" t="s">
        <v>3908</v>
      </c>
      <c r="AW123" t="s">
        <v>3909</v>
      </c>
      <c r="AX123">
        <v>12</v>
      </c>
      <c r="AY123">
        <v>2</v>
      </c>
      <c r="AZ123" t="s">
        <v>3897</v>
      </c>
      <c r="BA123">
        <v>10</v>
      </c>
      <c r="BB123" t="s">
        <v>3898</v>
      </c>
      <c r="BC123">
        <v>120</v>
      </c>
      <c r="BD123">
        <v>3</v>
      </c>
      <c r="BE123" t="s">
        <v>3911</v>
      </c>
      <c r="BF123">
        <v>4</v>
      </c>
      <c r="BG123">
        <v>27</v>
      </c>
      <c r="BH123" t="s">
        <v>3990</v>
      </c>
      <c r="BI123" t="s">
        <v>4357</v>
      </c>
      <c r="BJ123">
        <v>1</v>
      </c>
      <c r="BK123" t="s">
        <v>3902</v>
      </c>
    </row>
    <row r="124" spans="1:63" x14ac:dyDescent="0.25">
      <c r="A124">
        <v>4187</v>
      </c>
      <c r="B124" t="str">
        <f>"20200127130017051046"</f>
        <v>20200127130017051046</v>
      </c>
      <c r="C124">
        <v>1</v>
      </c>
      <c r="D124">
        <v>1</v>
      </c>
      <c r="E124" t="s">
        <v>3886</v>
      </c>
      <c r="F124">
        <v>2</v>
      </c>
      <c r="G124">
        <v>0</v>
      </c>
      <c r="H124" t="s">
        <v>66</v>
      </c>
      <c r="I124">
        <v>0</v>
      </c>
      <c r="J124" t="s">
        <v>66</v>
      </c>
      <c r="K124">
        <v>0</v>
      </c>
      <c r="L124" t="s">
        <v>66</v>
      </c>
      <c r="M124" t="s">
        <v>56</v>
      </c>
      <c r="N124">
        <v>0</v>
      </c>
      <c r="O124" t="s">
        <v>66</v>
      </c>
      <c r="P124" t="s">
        <v>56</v>
      </c>
      <c r="Q124">
        <v>0</v>
      </c>
      <c r="R124" t="s">
        <v>66</v>
      </c>
      <c r="S124" t="s">
        <v>56</v>
      </c>
      <c r="T124">
        <v>1</v>
      </c>
      <c r="U124" t="s">
        <v>1627</v>
      </c>
      <c r="V124" t="s">
        <v>56</v>
      </c>
      <c r="W124">
        <v>0</v>
      </c>
      <c r="X124" t="s">
        <v>66</v>
      </c>
      <c r="Y124" t="s">
        <v>56</v>
      </c>
      <c r="Z124">
        <v>0</v>
      </c>
      <c r="AA124" t="s">
        <v>66</v>
      </c>
      <c r="AB124" t="s">
        <v>56</v>
      </c>
      <c r="AC124">
        <v>1</v>
      </c>
      <c r="AD124" t="s">
        <v>1627</v>
      </c>
      <c r="AE124" t="s">
        <v>3887</v>
      </c>
      <c r="AF124">
        <v>0</v>
      </c>
      <c r="AG124" t="s">
        <v>66</v>
      </c>
      <c r="AH124" t="s">
        <v>56</v>
      </c>
      <c r="AI124">
        <v>1</v>
      </c>
      <c r="AJ124" t="s">
        <v>1627</v>
      </c>
      <c r="AK124" t="s">
        <v>56</v>
      </c>
      <c r="AL124" t="s">
        <v>56</v>
      </c>
      <c r="AM124" t="s">
        <v>56</v>
      </c>
      <c r="AN124" t="s">
        <v>56</v>
      </c>
      <c r="AO124" t="s">
        <v>4358</v>
      </c>
      <c r="AP124" t="s">
        <v>3889</v>
      </c>
      <c r="AQ124" t="s">
        <v>3890</v>
      </c>
      <c r="AR124" t="s">
        <v>2324</v>
      </c>
      <c r="AS124" t="s">
        <v>4266</v>
      </c>
      <c r="AT124" t="s">
        <v>4359</v>
      </c>
      <c r="AU124" t="s">
        <v>3944</v>
      </c>
      <c r="AV124" t="s">
        <v>3945</v>
      </c>
      <c r="AW124" t="s">
        <v>3946</v>
      </c>
      <c r="AX124">
        <v>30</v>
      </c>
      <c r="AY124">
        <v>3</v>
      </c>
      <c r="AZ124" t="s">
        <v>3911</v>
      </c>
      <c r="BA124">
        <v>10</v>
      </c>
      <c r="BB124" t="s">
        <v>3898</v>
      </c>
      <c r="BC124">
        <v>90</v>
      </c>
      <c r="BD124">
        <v>3</v>
      </c>
      <c r="BE124" t="s">
        <v>3911</v>
      </c>
      <c r="BF124">
        <v>3</v>
      </c>
      <c r="BG124">
        <v>65</v>
      </c>
      <c r="BH124" t="s">
        <v>4360</v>
      </c>
      <c r="BI124" t="s">
        <v>4361</v>
      </c>
      <c r="BJ124">
        <v>1</v>
      </c>
      <c r="BK124" t="s">
        <v>3902</v>
      </c>
    </row>
    <row r="125" spans="1:63" x14ac:dyDescent="0.25">
      <c r="A125">
        <v>4188</v>
      </c>
      <c r="B125" t="str">
        <f>"20200127163017051272"</f>
        <v>20200127163017051272</v>
      </c>
      <c r="C125">
        <v>1</v>
      </c>
      <c r="D125">
        <v>1</v>
      </c>
      <c r="E125" t="s">
        <v>3886</v>
      </c>
      <c r="F125">
        <v>2</v>
      </c>
      <c r="G125">
        <v>0</v>
      </c>
      <c r="H125" t="s">
        <v>66</v>
      </c>
      <c r="I125">
        <v>0</v>
      </c>
      <c r="J125" t="s">
        <v>66</v>
      </c>
      <c r="K125">
        <v>1</v>
      </c>
      <c r="L125" t="s">
        <v>1627</v>
      </c>
      <c r="M125" t="s">
        <v>4116</v>
      </c>
      <c r="N125">
        <v>1</v>
      </c>
      <c r="O125" t="s">
        <v>1627</v>
      </c>
      <c r="P125" t="s">
        <v>4362</v>
      </c>
      <c r="Q125">
        <v>0</v>
      </c>
      <c r="R125" t="s">
        <v>66</v>
      </c>
      <c r="S125" t="s">
        <v>56</v>
      </c>
      <c r="T125" t="s">
        <v>56</v>
      </c>
      <c r="U125" t="s">
        <v>56</v>
      </c>
      <c r="V125" t="s">
        <v>56</v>
      </c>
      <c r="W125">
        <v>0</v>
      </c>
      <c r="X125" t="s">
        <v>66</v>
      </c>
      <c r="Y125" t="s">
        <v>56</v>
      </c>
      <c r="Z125">
        <v>0</v>
      </c>
      <c r="AA125" t="s">
        <v>66</v>
      </c>
      <c r="AB125" t="s">
        <v>56</v>
      </c>
      <c r="AC125">
        <v>0</v>
      </c>
      <c r="AD125" t="s">
        <v>66</v>
      </c>
      <c r="AE125" t="s">
        <v>56</v>
      </c>
      <c r="AF125">
        <v>0</v>
      </c>
      <c r="AG125" t="s">
        <v>66</v>
      </c>
      <c r="AH125" t="s">
        <v>56</v>
      </c>
      <c r="AI125">
        <v>1</v>
      </c>
      <c r="AJ125" t="s">
        <v>1627</v>
      </c>
      <c r="AK125" t="s">
        <v>56</v>
      </c>
      <c r="AL125" t="s">
        <v>56</v>
      </c>
      <c r="AM125" t="s">
        <v>56</v>
      </c>
      <c r="AN125" t="s">
        <v>56</v>
      </c>
      <c r="AO125" t="s">
        <v>4363</v>
      </c>
      <c r="AP125" t="s">
        <v>3939</v>
      </c>
      <c r="AQ125" t="s">
        <v>3940</v>
      </c>
      <c r="AR125" t="s">
        <v>3941</v>
      </c>
      <c r="AS125" t="s">
        <v>3942</v>
      </c>
      <c r="AT125" t="s">
        <v>4364</v>
      </c>
      <c r="AU125">
        <v>9000</v>
      </c>
      <c r="AV125" t="s">
        <v>3956</v>
      </c>
      <c r="AW125" t="s">
        <v>3956</v>
      </c>
      <c r="AX125">
        <v>1</v>
      </c>
      <c r="AY125">
        <v>3</v>
      </c>
      <c r="AZ125" t="s">
        <v>3911</v>
      </c>
      <c r="BA125">
        <v>10</v>
      </c>
      <c r="BB125" t="s">
        <v>3898</v>
      </c>
      <c r="BC125">
        <v>4</v>
      </c>
      <c r="BD125">
        <v>5</v>
      </c>
      <c r="BE125" t="s">
        <v>3899</v>
      </c>
      <c r="BF125">
        <v>120</v>
      </c>
      <c r="BG125">
        <v>66</v>
      </c>
      <c r="BH125" t="s">
        <v>3965</v>
      </c>
      <c r="BI125" t="s">
        <v>4365</v>
      </c>
      <c r="BJ125">
        <v>1</v>
      </c>
      <c r="BK125" t="s">
        <v>3902</v>
      </c>
    </row>
    <row r="126" spans="1:63" x14ac:dyDescent="0.25">
      <c r="A126">
        <v>4189</v>
      </c>
      <c r="B126" t="str">
        <f>"20200127197017051339"</f>
        <v>20200127197017051339</v>
      </c>
      <c r="C126">
        <v>1</v>
      </c>
      <c r="D126">
        <v>1</v>
      </c>
      <c r="E126" t="s">
        <v>3886</v>
      </c>
      <c r="F126">
        <v>2</v>
      </c>
      <c r="G126">
        <v>0</v>
      </c>
      <c r="H126" t="s">
        <v>66</v>
      </c>
      <c r="I126">
        <v>0</v>
      </c>
      <c r="J126" t="s">
        <v>66</v>
      </c>
      <c r="K126">
        <v>1</v>
      </c>
      <c r="L126" t="s">
        <v>1627</v>
      </c>
      <c r="M126" t="s">
        <v>4366</v>
      </c>
      <c r="N126">
        <v>1</v>
      </c>
      <c r="O126" t="s">
        <v>1627</v>
      </c>
      <c r="P126" t="s">
        <v>4367</v>
      </c>
      <c r="Q126">
        <v>0</v>
      </c>
      <c r="R126" t="s">
        <v>66</v>
      </c>
      <c r="S126" t="s">
        <v>56</v>
      </c>
      <c r="T126" t="s">
        <v>56</v>
      </c>
      <c r="U126" t="s">
        <v>56</v>
      </c>
      <c r="V126" t="s">
        <v>56</v>
      </c>
      <c r="W126">
        <v>0</v>
      </c>
      <c r="X126" t="s">
        <v>66</v>
      </c>
      <c r="Y126" t="s">
        <v>56</v>
      </c>
      <c r="Z126">
        <v>0</v>
      </c>
      <c r="AA126" t="s">
        <v>66</v>
      </c>
      <c r="AB126" t="s">
        <v>56</v>
      </c>
      <c r="AC126">
        <v>0</v>
      </c>
      <c r="AD126" t="s">
        <v>66</v>
      </c>
      <c r="AE126" t="s">
        <v>56</v>
      </c>
      <c r="AF126">
        <v>0</v>
      </c>
      <c r="AG126" t="s">
        <v>66</v>
      </c>
      <c r="AH126" t="s">
        <v>56</v>
      </c>
      <c r="AI126">
        <v>1</v>
      </c>
      <c r="AJ126" t="s">
        <v>1627</v>
      </c>
      <c r="AK126" t="s">
        <v>56</v>
      </c>
      <c r="AL126" t="s">
        <v>56</v>
      </c>
      <c r="AM126" t="s">
        <v>56</v>
      </c>
      <c r="AN126" t="s">
        <v>56</v>
      </c>
      <c r="AO126" t="s">
        <v>4118</v>
      </c>
      <c r="AP126" t="s">
        <v>3962</v>
      </c>
      <c r="AQ126" t="s">
        <v>3963</v>
      </c>
      <c r="AR126" t="s">
        <v>3941</v>
      </c>
      <c r="AS126" t="s">
        <v>3942</v>
      </c>
      <c r="AT126" t="s">
        <v>4368</v>
      </c>
      <c r="AU126" t="s">
        <v>4026</v>
      </c>
      <c r="AV126" t="s">
        <v>4027</v>
      </c>
      <c r="AW126" t="s">
        <v>4028</v>
      </c>
      <c r="AX126">
        <v>12</v>
      </c>
      <c r="AY126">
        <v>2</v>
      </c>
      <c r="AZ126" t="s">
        <v>3897</v>
      </c>
      <c r="BA126">
        <v>10</v>
      </c>
      <c r="BB126" t="s">
        <v>3898</v>
      </c>
      <c r="BC126">
        <v>4</v>
      </c>
      <c r="BD126">
        <v>5</v>
      </c>
      <c r="BE126" t="s">
        <v>3899</v>
      </c>
      <c r="BF126">
        <v>240</v>
      </c>
      <c r="BG126">
        <v>66</v>
      </c>
      <c r="BH126" t="s">
        <v>3965</v>
      </c>
      <c r="BI126" t="s">
        <v>4369</v>
      </c>
      <c r="BJ126">
        <v>1</v>
      </c>
      <c r="BK126" t="s">
        <v>3902</v>
      </c>
    </row>
    <row r="127" spans="1:63" x14ac:dyDescent="0.25">
      <c r="A127">
        <v>4190</v>
      </c>
      <c r="B127" t="str">
        <f>"20200127167017051379"</f>
        <v>20200127167017051379</v>
      </c>
      <c r="C127">
        <v>1</v>
      </c>
      <c r="D127">
        <v>1</v>
      </c>
      <c r="E127" t="s">
        <v>3886</v>
      </c>
      <c r="F127">
        <v>2</v>
      </c>
      <c r="G127">
        <v>0</v>
      </c>
      <c r="H127" t="s">
        <v>66</v>
      </c>
      <c r="I127">
        <v>0</v>
      </c>
      <c r="J127" t="s">
        <v>66</v>
      </c>
      <c r="K127">
        <v>0</v>
      </c>
      <c r="L127" t="s">
        <v>66</v>
      </c>
      <c r="M127" t="s">
        <v>56</v>
      </c>
      <c r="N127">
        <v>0</v>
      </c>
      <c r="O127" t="s">
        <v>66</v>
      </c>
      <c r="P127" t="s">
        <v>56</v>
      </c>
      <c r="Q127">
        <v>0</v>
      </c>
      <c r="R127" t="s">
        <v>66</v>
      </c>
      <c r="S127" t="s">
        <v>56</v>
      </c>
      <c r="T127">
        <v>1</v>
      </c>
      <c r="U127" t="s">
        <v>1627</v>
      </c>
      <c r="V127" t="s">
        <v>56</v>
      </c>
      <c r="W127">
        <v>0</v>
      </c>
      <c r="X127" t="s">
        <v>66</v>
      </c>
      <c r="Y127" t="s">
        <v>56</v>
      </c>
      <c r="Z127">
        <v>0</v>
      </c>
      <c r="AA127" t="s">
        <v>66</v>
      </c>
      <c r="AB127" t="s">
        <v>56</v>
      </c>
      <c r="AC127">
        <v>1</v>
      </c>
      <c r="AD127" t="s">
        <v>1627</v>
      </c>
      <c r="AE127" t="s">
        <v>3887</v>
      </c>
      <c r="AF127">
        <v>0</v>
      </c>
      <c r="AG127" t="s">
        <v>66</v>
      </c>
      <c r="AH127" t="s">
        <v>56</v>
      </c>
      <c r="AI127">
        <v>1</v>
      </c>
      <c r="AJ127" t="s">
        <v>1627</v>
      </c>
      <c r="AK127" t="s">
        <v>56</v>
      </c>
      <c r="AL127" t="s">
        <v>56</v>
      </c>
      <c r="AM127" t="s">
        <v>56</v>
      </c>
      <c r="AN127" t="s">
        <v>56</v>
      </c>
      <c r="AO127" t="s">
        <v>4046</v>
      </c>
      <c r="AP127" t="s">
        <v>3889</v>
      </c>
      <c r="AQ127" t="s">
        <v>3890</v>
      </c>
      <c r="AR127" t="s">
        <v>3926</v>
      </c>
      <c r="AS127" t="s">
        <v>3927</v>
      </c>
      <c r="AT127" t="s">
        <v>4370</v>
      </c>
      <c r="AU127" t="s">
        <v>3894</v>
      </c>
      <c r="AV127" t="s">
        <v>3895</v>
      </c>
      <c r="AW127" t="s">
        <v>3896</v>
      </c>
      <c r="AX127">
        <v>12</v>
      </c>
      <c r="AY127">
        <v>2</v>
      </c>
      <c r="AZ127" t="s">
        <v>3897</v>
      </c>
      <c r="BA127">
        <v>10</v>
      </c>
      <c r="BB127" t="s">
        <v>3898</v>
      </c>
      <c r="BC127">
        <v>180</v>
      </c>
      <c r="BD127">
        <v>3</v>
      </c>
      <c r="BE127" t="s">
        <v>3911</v>
      </c>
      <c r="BF127">
        <v>6</v>
      </c>
      <c r="BG127">
        <v>13</v>
      </c>
      <c r="BH127" t="s">
        <v>3900</v>
      </c>
      <c r="BI127" t="s">
        <v>4371</v>
      </c>
      <c r="BJ127">
        <v>1</v>
      </c>
      <c r="BK127" t="s">
        <v>3902</v>
      </c>
    </row>
    <row r="128" spans="1:63" x14ac:dyDescent="0.25">
      <c r="A128">
        <v>4191</v>
      </c>
      <c r="B128" t="str">
        <f>"20200127130017051965"</f>
        <v>20200127130017051965</v>
      </c>
      <c r="C128">
        <v>1</v>
      </c>
      <c r="D128">
        <v>1</v>
      </c>
      <c r="E128" t="s">
        <v>3886</v>
      </c>
      <c r="F128">
        <v>2</v>
      </c>
      <c r="G128">
        <v>0</v>
      </c>
      <c r="H128" t="s">
        <v>66</v>
      </c>
      <c r="I128">
        <v>0</v>
      </c>
      <c r="J128" t="s">
        <v>66</v>
      </c>
      <c r="K128">
        <v>1</v>
      </c>
      <c r="L128" t="s">
        <v>1627</v>
      </c>
      <c r="M128" t="s">
        <v>4372</v>
      </c>
      <c r="N128">
        <v>1</v>
      </c>
      <c r="O128" t="s">
        <v>1627</v>
      </c>
      <c r="P128" t="s">
        <v>4373</v>
      </c>
      <c r="Q128">
        <v>0</v>
      </c>
      <c r="R128" t="s">
        <v>66</v>
      </c>
      <c r="S128" t="s">
        <v>56</v>
      </c>
      <c r="T128" t="s">
        <v>56</v>
      </c>
      <c r="U128" t="s">
        <v>56</v>
      </c>
      <c r="V128" t="s">
        <v>56</v>
      </c>
      <c r="W128">
        <v>0</v>
      </c>
      <c r="X128" t="s">
        <v>66</v>
      </c>
      <c r="Y128" t="s">
        <v>56</v>
      </c>
      <c r="Z128">
        <v>0</v>
      </c>
      <c r="AA128" t="s">
        <v>66</v>
      </c>
      <c r="AB128" t="s">
        <v>56</v>
      </c>
      <c r="AC128">
        <v>0</v>
      </c>
      <c r="AD128" t="s">
        <v>66</v>
      </c>
      <c r="AE128" t="s">
        <v>56</v>
      </c>
      <c r="AF128">
        <v>0</v>
      </c>
      <c r="AG128" t="s">
        <v>66</v>
      </c>
      <c r="AH128" t="s">
        <v>56</v>
      </c>
      <c r="AI128">
        <v>1</v>
      </c>
      <c r="AJ128" t="s">
        <v>1627</v>
      </c>
      <c r="AK128" t="s">
        <v>56</v>
      </c>
      <c r="AL128" t="s">
        <v>56</v>
      </c>
      <c r="AM128" t="s">
        <v>56</v>
      </c>
      <c r="AN128" t="s">
        <v>56</v>
      </c>
      <c r="AO128" t="s">
        <v>4374</v>
      </c>
      <c r="AP128" t="s">
        <v>4375</v>
      </c>
      <c r="AQ128" t="s">
        <v>4376</v>
      </c>
      <c r="AR128" t="s">
        <v>4071</v>
      </c>
      <c r="AS128" t="s">
        <v>4072</v>
      </c>
      <c r="AT128" t="s">
        <v>4377</v>
      </c>
      <c r="AU128" t="s">
        <v>3929</v>
      </c>
      <c r="AV128" t="s">
        <v>3930</v>
      </c>
      <c r="AW128" t="s">
        <v>3931</v>
      </c>
      <c r="AX128">
        <v>24</v>
      </c>
      <c r="AY128">
        <v>2</v>
      </c>
      <c r="AZ128" t="s">
        <v>3897</v>
      </c>
      <c r="BA128">
        <v>1</v>
      </c>
      <c r="BB128" t="s">
        <v>4149</v>
      </c>
      <c r="BC128">
        <v>20</v>
      </c>
      <c r="BD128">
        <v>3</v>
      </c>
      <c r="BE128" t="s">
        <v>3911</v>
      </c>
      <c r="BF128">
        <v>1</v>
      </c>
      <c r="BG128">
        <v>73</v>
      </c>
      <c r="BH128" t="s">
        <v>3999</v>
      </c>
      <c r="BI128" t="s">
        <v>4378</v>
      </c>
      <c r="BJ128">
        <v>1</v>
      </c>
      <c r="BK128" t="s">
        <v>3902</v>
      </c>
    </row>
    <row r="129" spans="1:63" x14ac:dyDescent="0.25">
      <c r="A129">
        <v>4192</v>
      </c>
      <c r="B129" t="str">
        <f>"20200127121017052012"</f>
        <v>20200127121017052012</v>
      </c>
      <c r="C129">
        <v>1</v>
      </c>
      <c r="D129">
        <v>1</v>
      </c>
      <c r="E129" t="s">
        <v>3886</v>
      </c>
      <c r="F129">
        <v>1</v>
      </c>
      <c r="G129">
        <v>0</v>
      </c>
      <c r="H129" t="s">
        <v>66</v>
      </c>
      <c r="I129">
        <v>0</v>
      </c>
      <c r="J129" t="s">
        <v>66</v>
      </c>
      <c r="K129">
        <v>0</v>
      </c>
      <c r="L129" t="s">
        <v>66</v>
      </c>
      <c r="M129" t="s">
        <v>56</v>
      </c>
      <c r="N129">
        <v>0</v>
      </c>
      <c r="O129" t="s">
        <v>66</v>
      </c>
      <c r="P129" t="s">
        <v>56</v>
      </c>
      <c r="Q129">
        <v>0</v>
      </c>
      <c r="R129" t="s">
        <v>66</v>
      </c>
      <c r="S129" t="s">
        <v>56</v>
      </c>
      <c r="T129">
        <v>1</v>
      </c>
      <c r="U129" t="s">
        <v>1627</v>
      </c>
      <c r="V129" t="s">
        <v>56</v>
      </c>
      <c r="W129">
        <v>0</v>
      </c>
      <c r="X129" t="s">
        <v>66</v>
      </c>
      <c r="Y129" t="s">
        <v>56</v>
      </c>
      <c r="Z129">
        <v>0</v>
      </c>
      <c r="AA129" t="s">
        <v>66</v>
      </c>
      <c r="AB129" t="s">
        <v>56</v>
      </c>
      <c r="AC129">
        <v>1</v>
      </c>
      <c r="AD129" t="s">
        <v>1627</v>
      </c>
      <c r="AE129" t="s">
        <v>3887</v>
      </c>
      <c r="AF129">
        <v>0</v>
      </c>
      <c r="AG129" t="s">
        <v>66</v>
      </c>
      <c r="AH129" t="s">
        <v>56</v>
      </c>
      <c r="AI129">
        <v>1</v>
      </c>
      <c r="AJ129" t="s">
        <v>1627</v>
      </c>
      <c r="AK129" t="s">
        <v>56</v>
      </c>
      <c r="AL129" t="s">
        <v>56</v>
      </c>
      <c r="AM129" t="s">
        <v>56</v>
      </c>
      <c r="AN129" t="s">
        <v>56</v>
      </c>
      <c r="AO129" t="s">
        <v>4139</v>
      </c>
      <c r="AP129" t="s">
        <v>3889</v>
      </c>
      <c r="AQ129" t="s">
        <v>3890</v>
      </c>
      <c r="AR129" t="s">
        <v>3891</v>
      </c>
      <c r="AS129" t="s">
        <v>3892</v>
      </c>
      <c r="AT129" t="s">
        <v>4379</v>
      </c>
      <c r="AU129" t="s">
        <v>3894</v>
      </c>
      <c r="AV129" t="s">
        <v>3895</v>
      </c>
      <c r="AW129" t="s">
        <v>3896</v>
      </c>
      <c r="AX129">
        <v>12</v>
      </c>
      <c r="AY129">
        <v>2</v>
      </c>
      <c r="AZ129" t="s">
        <v>3897</v>
      </c>
      <c r="BA129">
        <v>10</v>
      </c>
      <c r="BB129" t="s">
        <v>3898</v>
      </c>
      <c r="BC129">
        <v>3</v>
      </c>
      <c r="BD129">
        <v>5</v>
      </c>
      <c r="BE129" t="s">
        <v>3899</v>
      </c>
      <c r="BF129">
        <v>4</v>
      </c>
      <c r="BG129">
        <v>13</v>
      </c>
      <c r="BH129" t="s">
        <v>3900</v>
      </c>
      <c r="BI129" t="s">
        <v>4380</v>
      </c>
      <c r="BJ129">
        <v>1</v>
      </c>
      <c r="BK129" t="s">
        <v>3902</v>
      </c>
    </row>
    <row r="130" spans="1:63" x14ac:dyDescent="0.25">
      <c r="A130">
        <v>4193</v>
      </c>
      <c r="B130" t="str">
        <f>"20200127175017052365"</f>
        <v>20200127175017052365</v>
      </c>
      <c r="C130">
        <v>1</v>
      </c>
      <c r="D130">
        <v>1</v>
      </c>
      <c r="E130" t="s">
        <v>3886</v>
      </c>
      <c r="F130">
        <v>2</v>
      </c>
      <c r="G130">
        <v>0</v>
      </c>
      <c r="H130" t="s">
        <v>66</v>
      </c>
      <c r="I130">
        <v>0</v>
      </c>
      <c r="J130" t="s">
        <v>66</v>
      </c>
      <c r="K130">
        <v>0</v>
      </c>
      <c r="L130" t="s">
        <v>66</v>
      </c>
      <c r="M130" t="s">
        <v>56</v>
      </c>
      <c r="N130">
        <v>0</v>
      </c>
      <c r="O130" t="s">
        <v>66</v>
      </c>
      <c r="P130" t="s">
        <v>56</v>
      </c>
      <c r="Q130">
        <v>0</v>
      </c>
      <c r="R130" t="s">
        <v>66</v>
      </c>
      <c r="S130" t="s">
        <v>56</v>
      </c>
      <c r="T130">
        <v>1</v>
      </c>
      <c r="U130" t="s">
        <v>1627</v>
      </c>
      <c r="V130" t="s">
        <v>56</v>
      </c>
      <c r="W130">
        <v>0</v>
      </c>
      <c r="X130" t="s">
        <v>66</v>
      </c>
      <c r="Y130" t="s">
        <v>56</v>
      </c>
      <c r="Z130">
        <v>0</v>
      </c>
      <c r="AA130" t="s">
        <v>66</v>
      </c>
      <c r="AB130" t="s">
        <v>56</v>
      </c>
      <c r="AC130">
        <v>1</v>
      </c>
      <c r="AD130" t="s">
        <v>1627</v>
      </c>
      <c r="AE130" t="s">
        <v>3887</v>
      </c>
      <c r="AF130">
        <v>0</v>
      </c>
      <c r="AG130" t="s">
        <v>66</v>
      </c>
      <c r="AH130" t="s">
        <v>56</v>
      </c>
      <c r="AI130">
        <v>1</v>
      </c>
      <c r="AJ130" t="s">
        <v>1627</v>
      </c>
      <c r="AK130" t="s">
        <v>56</v>
      </c>
      <c r="AL130" t="s">
        <v>56</v>
      </c>
      <c r="AM130" t="s">
        <v>56</v>
      </c>
      <c r="AN130" t="s">
        <v>56</v>
      </c>
      <c r="AO130" t="s">
        <v>4046</v>
      </c>
      <c r="AP130" t="s">
        <v>3889</v>
      </c>
      <c r="AQ130" t="s">
        <v>3890</v>
      </c>
      <c r="AR130" t="s">
        <v>3926</v>
      </c>
      <c r="AS130" t="s">
        <v>3927</v>
      </c>
      <c r="AT130" t="s">
        <v>4370</v>
      </c>
      <c r="AU130" t="s">
        <v>3894</v>
      </c>
      <c r="AV130" t="s">
        <v>3895</v>
      </c>
      <c r="AW130" t="s">
        <v>3896</v>
      </c>
      <c r="AX130">
        <v>12</v>
      </c>
      <c r="AY130">
        <v>2</v>
      </c>
      <c r="AZ130" t="s">
        <v>3897</v>
      </c>
      <c r="BA130">
        <v>10</v>
      </c>
      <c r="BB130" t="s">
        <v>3898</v>
      </c>
      <c r="BC130">
        <v>120</v>
      </c>
      <c r="BD130">
        <v>3</v>
      </c>
      <c r="BE130" t="s">
        <v>3911</v>
      </c>
      <c r="BF130">
        <v>4</v>
      </c>
      <c r="BG130">
        <v>13</v>
      </c>
      <c r="BH130" t="s">
        <v>3900</v>
      </c>
      <c r="BI130" t="s">
        <v>4371</v>
      </c>
      <c r="BJ130">
        <v>1</v>
      </c>
      <c r="BK130" t="s">
        <v>3902</v>
      </c>
    </row>
    <row r="131" spans="1:63" x14ac:dyDescent="0.25">
      <c r="A131">
        <v>4194</v>
      </c>
      <c r="B131" t="str">
        <f>"20200127145017052514"</f>
        <v>20200127145017052514</v>
      </c>
      <c r="C131">
        <v>1</v>
      </c>
      <c r="D131">
        <v>1</v>
      </c>
      <c r="E131" t="s">
        <v>3886</v>
      </c>
      <c r="F131">
        <v>1</v>
      </c>
      <c r="G131">
        <v>0</v>
      </c>
      <c r="H131" t="s">
        <v>66</v>
      </c>
      <c r="I131">
        <v>0</v>
      </c>
      <c r="J131" t="s">
        <v>66</v>
      </c>
      <c r="K131">
        <v>0</v>
      </c>
      <c r="L131" t="s">
        <v>66</v>
      </c>
      <c r="M131" t="s">
        <v>56</v>
      </c>
      <c r="N131">
        <v>0</v>
      </c>
      <c r="O131" t="s">
        <v>66</v>
      </c>
      <c r="P131" t="s">
        <v>56</v>
      </c>
      <c r="Q131">
        <v>0</v>
      </c>
      <c r="R131" t="s">
        <v>66</v>
      </c>
      <c r="S131" t="s">
        <v>56</v>
      </c>
      <c r="T131">
        <v>1</v>
      </c>
      <c r="U131" t="s">
        <v>1627</v>
      </c>
      <c r="V131" t="s">
        <v>56</v>
      </c>
      <c r="W131">
        <v>0</v>
      </c>
      <c r="X131" t="s">
        <v>66</v>
      </c>
      <c r="Y131" t="s">
        <v>56</v>
      </c>
      <c r="Z131">
        <v>0</v>
      </c>
      <c r="AA131" t="s">
        <v>66</v>
      </c>
      <c r="AB131" t="s">
        <v>56</v>
      </c>
      <c r="AC131">
        <v>1</v>
      </c>
      <c r="AD131" t="s">
        <v>1627</v>
      </c>
      <c r="AE131" t="s">
        <v>3887</v>
      </c>
      <c r="AF131">
        <v>0</v>
      </c>
      <c r="AG131" t="s">
        <v>66</v>
      </c>
      <c r="AH131" t="s">
        <v>56</v>
      </c>
      <c r="AI131">
        <v>1</v>
      </c>
      <c r="AJ131" t="s">
        <v>1627</v>
      </c>
      <c r="AK131" t="s">
        <v>56</v>
      </c>
      <c r="AL131" t="s">
        <v>56</v>
      </c>
      <c r="AM131" t="s">
        <v>56</v>
      </c>
      <c r="AN131" t="s">
        <v>56</v>
      </c>
      <c r="AO131" t="s">
        <v>4381</v>
      </c>
      <c r="AP131" t="s">
        <v>3962</v>
      </c>
      <c r="AQ131" t="s">
        <v>3963</v>
      </c>
      <c r="AR131" t="s">
        <v>3941</v>
      </c>
      <c r="AS131" t="s">
        <v>3942</v>
      </c>
      <c r="AT131" t="s">
        <v>4382</v>
      </c>
      <c r="AU131" t="s">
        <v>3944</v>
      </c>
      <c r="AV131" t="s">
        <v>3945</v>
      </c>
      <c r="AW131" t="s">
        <v>3946</v>
      </c>
      <c r="AX131">
        <v>1</v>
      </c>
      <c r="AY131">
        <v>4</v>
      </c>
      <c r="AZ131" t="s">
        <v>4302</v>
      </c>
      <c r="BA131">
        <v>10</v>
      </c>
      <c r="BB131" t="s">
        <v>3898</v>
      </c>
      <c r="BC131">
        <v>1</v>
      </c>
      <c r="BD131">
        <v>5</v>
      </c>
      <c r="BE131" t="s">
        <v>3899</v>
      </c>
      <c r="BF131">
        <v>12</v>
      </c>
      <c r="BG131">
        <v>66</v>
      </c>
      <c r="BH131" t="s">
        <v>3965</v>
      </c>
      <c r="BI131" t="s">
        <v>4383</v>
      </c>
      <c r="BJ131">
        <v>1</v>
      </c>
      <c r="BK131" t="s">
        <v>3902</v>
      </c>
    </row>
    <row r="132" spans="1:63" x14ac:dyDescent="0.25">
      <c r="A132">
        <v>4195</v>
      </c>
      <c r="B132" t="str">
        <f>"20200127181017052544"</f>
        <v>20200127181017052544</v>
      </c>
      <c r="C132">
        <v>1</v>
      </c>
      <c r="D132">
        <v>1</v>
      </c>
      <c r="E132" t="s">
        <v>3886</v>
      </c>
      <c r="F132">
        <v>2</v>
      </c>
      <c r="G132">
        <v>0</v>
      </c>
      <c r="H132" t="s">
        <v>66</v>
      </c>
      <c r="I132">
        <v>0</v>
      </c>
      <c r="J132" t="s">
        <v>66</v>
      </c>
      <c r="K132">
        <v>0</v>
      </c>
      <c r="L132" t="s">
        <v>66</v>
      </c>
      <c r="M132" t="s">
        <v>56</v>
      </c>
      <c r="N132">
        <v>0</v>
      </c>
      <c r="O132" t="s">
        <v>66</v>
      </c>
      <c r="P132" t="s">
        <v>56</v>
      </c>
      <c r="Q132">
        <v>0</v>
      </c>
      <c r="R132" t="s">
        <v>66</v>
      </c>
      <c r="S132" t="s">
        <v>56</v>
      </c>
      <c r="T132">
        <v>1</v>
      </c>
      <c r="U132" t="s">
        <v>1627</v>
      </c>
      <c r="V132" t="s">
        <v>56</v>
      </c>
      <c r="W132">
        <v>0</v>
      </c>
      <c r="X132" t="s">
        <v>66</v>
      </c>
      <c r="Y132" t="s">
        <v>56</v>
      </c>
      <c r="Z132">
        <v>0</v>
      </c>
      <c r="AA132" t="s">
        <v>66</v>
      </c>
      <c r="AB132" t="s">
        <v>56</v>
      </c>
      <c r="AC132">
        <v>1</v>
      </c>
      <c r="AD132" t="s">
        <v>1627</v>
      </c>
      <c r="AE132" t="s">
        <v>3887</v>
      </c>
      <c r="AF132">
        <v>0</v>
      </c>
      <c r="AG132" t="s">
        <v>66</v>
      </c>
      <c r="AH132" t="s">
        <v>56</v>
      </c>
      <c r="AI132">
        <v>1</v>
      </c>
      <c r="AJ132" t="s">
        <v>1627</v>
      </c>
      <c r="AK132" t="s">
        <v>56</v>
      </c>
      <c r="AL132" t="s">
        <v>56</v>
      </c>
      <c r="AM132" t="s">
        <v>56</v>
      </c>
      <c r="AN132" t="s">
        <v>56</v>
      </c>
      <c r="AO132" t="s">
        <v>4384</v>
      </c>
      <c r="AP132" t="s">
        <v>3971</v>
      </c>
      <c r="AQ132" t="s">
        <v>3972</v>
      </c>
      <c r="AR132" t="s">
        <v>4146</v>
      </c>
      <c r="AS132" t="s">
        <v>4147</v>
      </c>
      <c r="AT132" t="s">
        <v>4385</v>
      </c>
      <c r="AU132" t="s">
        <v>4026</v>
      </c>
      <c r="AV132" t="s">
        <v>4027</v>
      </c>
      <c r="AW132" t="s">
        <v>4028</v>
      </c>
      <c r="AX132">
        <v>90</v>
      </c>
      <c r="AY132">
        <v>3</v>
      </c>
      <c r="AZ132" t="s">
        <v>3911</v>
      </c>
      <c r="BA132">
        <v>9</v>
      </c>
      <c r="BB132" t="s">
        <v>4170</v>
      </c>
      <c r="BC132">
        <v>90</v>
      </c>
      <c r="BD132">
        <v>3</v>
      </c>
      <c r="BE132" t="s">
        <v>3911</v>
      </c>
      <c r="BF132">
        <v>2</v>
      </c>
      <c r="BG132">
        <v>75</v>
      </c>
      <c r="BH132" t="s">
        <v>4017</v>
      </c>
      <c r="BI132" t="s">
        <v>4386</v>
      </c>
      <c r="BJ132">
        <v>1</v>
      </c>
      <c r="BK132" t="s">
        <v>3902</v>
      </c>
    </row>
    <row r="133" spans="1:63" x14ac:dyDescent="0.25">
      <c r="A133">
        <v>4196</v>
      </c>
      <c r="B133" t="str">
        <f>"20200127110017052635"</f>
        <v>20200127110017052635</v>
      </c>
      <c r="C133">
        <v>1</v>
      </c>
      <c r="D133">
        <v>1</v>
      </c>
      <c r="E133" t="s">
        <v>3886</v>
      </c>
      <c r="F133">
        <v>2</v>
      </c>
      <c r="G133">
        <v>0</v>
      </c>
      <c r="H133" t="s">
        <v>66</v>
      </c>
      <c r="I133">
        <v>0</v>
      </c>
      <c r="J133" t="s">
        <v>66</v>
      </c>
      <c r="K133">
        <v>0</v>
      </c>
      <c r="L133" t="s">
        <v>66</v>
      </c>
      <c r="M133" t="s">
        <v>56</v>
      </c>
      <c r="N133">
        <v>0</v>
      </c>
      <c r="O133" t="s">
        <v>66</v>
      </c>
      <c r="P133" t="s">
        <v>56</v>
      </c>
      <c r="Q133">
        <v>0</v>
      </c>
      <c r="R133" t="s">
        <v>66</v>
      </c>
      <c r="S133" t="s">
        <v>56</v>
      </c>
      <c r="T133">
        <v>1</v>
      </c>
      <c r="U133" t="s">
        <v>1627</v>
      </c>
      <c r="V133" t="s">
        <v>56</v>
      </c>
      <c r="W133">
        <v>0</v>
      </c>
      <c r="X133" t="s">
        <v>66</v>
      </c>
      <c r="Y133" t="s">
        <v>56</v>
      </c>
      <c r="Z133">
        <v>0</v>
      </c>
      <c r="AA133" t="s">
        <v>66</v>
      </c>
      <c r="AB133" t="s">
        <v>56</v>
      </c>
      <c r="AC133">
        <v>1</v>
      </c>
      <c r="AD133" t="s">
        <v>1627</v>
      </c>
      <c r="AE133" t="s">
        <v>3887</v>
      </c>
      <c r="AF133">
        <v>0</v>
      </c>
      <c r="AG133" t="s">
        <v>66</v>
      </c>
      <c r="AH133" t="s">
        <v>56</v>
      </c>
      <c r="AI133">
        <v>1</v>
      </c>
      <c r="AJ133" t="s">
        <v>1627</v>
      </c>
      <c r="AK133" t="s">
        <v>56</v>
      </c>
      <c r="AL133" t="s">
        <v>56</v>
      </c>
      <c r="AM133" t="s">
        <v>56</v>
      </c>
      <c r="AN133" t="s">
        <v>56</v>
      </c>
      <c r="AO133" t="s">
        <v>4046</v>
      </c>
      <c r="AP133" t="s">
        <v>3889</v>
      </c>
      <c r="AQ133" t="s">
        <v>3890</v>
      </c>
      <c r="AR133" t="s">
        <v>3926</v>
      </c>
      <c r="AS133" t="s">
        <v>3927</v>
      </c>
      <c r="AT133" t="s">
        <v>4370</v>
      </c>
      <c r="AU133" t="s">
        <v>3894</v>
      </c>
      <c r="AV133" t="s">
        <v>3895</v>
      </c>
      <c r="AW133" t="s">
        <v>3896</v>
      </c>
      <c r="AX133">
        <v>12</v>
      </c>
      <c r="AY133">
        <v>2</v>
      </c>
      <c r="AZ133" t="s">
        <v>3897</v>
      </c>
      <c r="BA133">
        <v>10</v>
      </c>
      <c r="BB133" t="s">
        <v>3898</v>
      </c>
      <c r="BC133">
        <v>120</v>
      </c>
      <c r="BD133">
        <v>3</v>
      </c>
      <c r="BE133" t="s">
        <v>3911</v>
      </c>
      <c r="BF133">
        <v>4</v>
      </c>
      <c r="BG133">
        <v>13</v>
      </c>
      <c r="BH133" t="s">
        <v>3900</v>
      </c>
      <c r="BI133" t="s">
        <v>4371</v>
      </c>
      <c r="BJ133">
        <v>1</v>
      </c>
      <c r="BK133" t="s">
        <v>3902</v>
      </c>
    </row>
    <row r="134" spans="1:63" x14ac:dyDescent="0.25">
      <c r="A134">
        <v>4197</v>
      </c>
      <c r="B134" t="str">
        <f>"20200127110017053641"</f>
        <v>20200127110017053641</v>
      </c>
      <c r="C134">
        <v>1</v>
      </c>
      <c r="D134">
        <v>1</v>
      </c>
      <c r="E134" t="s">
        <v>3886</v>
      </c>
      <c r="F134">
        <v>2</v>
      </c>
      <c r="G134">
        <v>0</v>
      </c>
      <c r="H134" t="s">
        <v>66</v>
      </c>
      <c r="I134">
        <v>0</v>
      </c>
      <c r="J134" t="s">
        <v>66</v>
      </c>
      <c r="K134">
        <v>1</v>
      </c>
      <c r="L134" t="s">
        <v>1627</v>
      </c>
      <c r="M134" t="s">
        <v>4107</v>
      </c>
      <c r="N134">
        <v>1</v>
      </c>
      <c r="O134" t="s">
        <v>1627</v>
      </c>
      <c r="P134" t="s">
        <v>4387</v>
      </c>
      <c r="Q134">
        <v>0</v>
      </c>
      <c r="R134" t="s">
        <v>66</v>
      </c>
      <c r="S134" t="s">
        <v>56</v>
      </c>
      <c r="T134" t="s">
        <v>56</v>
      </c>
      <c r="U134" t="s">
        <v>56</v>
      </c>
      <c r="V134" t="s">
        <v>56</v>
      </c>
      <c r="W134">
        <v>0</v>
      </c>
      <c r="X134" t="s">
        <v>66</v>
      </c>
      <c r="Y134" t="s">
        <v>56</v>
      </c>
      <c r="Z134">
        <v>0</v>
      </c>
      <c r="AA134" t="s">
        <v>66</v>
      </c>
      <c r="AB134" t="s">
        <v>56</v>
      </c>
      <c r="AC134">
        <v>0</v>
      </c>
      <c r="AD134" t="s">
        <v>66</v>
      </c>
      <c r="AE134" t="s">
        <v>56</v>
      </c>
      <c r="AF134">
        <v>0</v>
      </c>
      <c r="AG134" t="s">
        <v>66</v>
      </c>
      <c r="AH134" t="s">
        <v>56</v>
      </c>
      <c r="AI134">
        <v>1</v>
      </c>
      <c r="AJ134" t="s">
        <v>1627</v>
      </c>
      <c r="AK134" t="s">
        <v>56</v>
      </c>
      <c r="AL134" t="s">
        <v>56</v>
      </c>
      <c r="AM134" t="s">
        <v>56</v>
      </c>
      <c r="AN134" t="s">
        <v>56</v>
      </c>
      <c r="AO134" t="s">
        <v>4388</v>
      </c>
      <c r="AP134" t="s">
        <v>3962</v>
      </c>
      <c r="AQ134" t="s">
        <v>3963</v>
      </c>
      <c r="AR134" t="s">
        <v>3941</v>
      </c>
      <c r="AS134" t="s">
        <v>3942</v>
      </c>
      <c r="AT134" t="s">
        <v>4389</v>
      </c>
      <c r="AU134" t="s">
        <v>3944</v>
      </c>
      <c r="AV134" t="s">
        <v>3945</v>
      </c>
      <c r="AW134" t="s">
        <v>3946</v>
      </c>
      <c r="AX134">
        <v>24</v>
      </c>
      <c r="AY134">
        <v>2</v>
      </c>
      <c r="AZ134" t="s">
        <v>3897</v>
      </c>
      <c r="BA134">
        <v>1</v>
      </c>
      <c r="BB134" t="s">
        <v>4149</v>
      </c>
      <c r="BC134">
        <v>3</v>
      </c>
      <c r="BD134">
        <v>5</v>
      </c>
      <c r="BE134" t="s">
        <v>3899</v>
      </c>
      <c r="BF134">
        <v>90</v>
      </c>
      <c r="BG134">
        <v>66</v>
      </c>
      <c r="BH134" t="s">
        <v>3965</v>
      </c>
      <c r="BI134" t="s">
        <v>4390</v>
      </c>
      <c r="BJ134">
        <v>1</v>
      </c>
      <c r="BK134" t="s">
        <v>3902</v>
      </c>
    </row>
    <row r="135" spans="1:63" x14ac:dyDescent="0.25">
      <c r="A135">
        <v>4198</v>
      </c>
      <c r="B135" t="str">
        <f>"20200127148017053977"</f>
        <v>20200127148017053977</v>
      </c>
      <c r="C135">
        <v>1</v>
      </c>
      <c r="D135">
        <v>1</v>
      </c>
      <c r="E135" t="s">
        <v>3886</v>
      </c>
      <c r="F135">
        <v>1</v>
      </c>
      <c r="G135">
        <v>0</v>
      </c>
      <c r="H135" t="s">
        <v>66</v>
      </c>
      <c r="I135">
        <v>0</v>
      </c>
      <c r="J135" t="s">
        <v>66</v>
      </c>
      <c r="K135">
        <v>0</v>
      </c>
      <c r="L135" t="s">
        <v>66</v>
      </c>
      <c r="M135" t="s">
        <v>56</v>
      </c>
      <c r="N135">
        <v>0</v>
      </c>
      <c r="O135" t="s">
        <v>66</v>
      </c>
      <c r="P135" t="s">
        <v>56</v>
      </c>
      <c r="Q135">
        <v>0</v>
      </c>
      <c r="R135" t="s">
        <v>66</v>
      </c>
      <c r="S135" t="s">
        <v>56</v>
      </c>
      <c r="T135">
        <v>1</v>
      </c>
      <c r="U135" t="s">
        <v>1627</v>
      </c>
      <c r="V135" t="s">
        <v>56</v>
      </c>
      <c r="W135">
        <v>0</v>
      </c>
      <c r="X135" t="s">
        <v>66</v>
      </c>
      <c r="Y135" t="s">
        <v>56</v>
      </c>
      <c r="Z135">
        <v>0</v>
      </c>
      <c r="AA135" t="s">
        <v>66</v>
      </c>
      <c r="AB135" t="s">
        <v>56</v>
      </c>
      <c r="AC135">
        <v>1</v>
      </c>
      <c r="AD135" t="s">
        <v>1627</v>
      </c>
      <c r="AE135" t="s">
        <v>3887</v>
      </c>
      <c r="AF135">
        <v>0</v>
      </c>
      <c r="AG135" t="s">
        <v>66</v>
      </c>
      <c r="AH135" t="s">
        <v>56</v>
      </c>
      <c r="AI135">
        <v>1</v>
      </c>
      <c r="AJ135" t="s">
        <v>1627</v>
      </c>
      <c r="AK135" t="s">
        <v>56</v>
      </c>
      <c r="AL135" t="s">
        <v>56</v>
      </c>
      <c r="AM135" t="s">
        <v>56</v>
      </c>
      <c r="AN135" t="s">
        <v>56</v>
      </c>
      <c r="AO135" t="s">
        <v>4391</v>
      </c>
      <c r="AP135" t="s">
        <v>3889</v>
      </c>
      <c r="AQ135" t="s">
        <v>3890</v>
      </c>
      <c r="AR135" t="s">
        <v>3941</v>
      </c>
      <c r="AS135" t="s">
        <v>3942</v>
      </c>
      <c r="AT135" t="s">
        <v>4392</v>
      </c>
      <c r="AU135" t="s">
        <v>3894</v>
      </c>
      <c r="AV135" t="s">
        <v>3895</v>
      </c>
      <c r="AW135" t="s">
        <v>3896</v>
      </c>
      <c r="AX135">
        <v>1</v>
      </c>
      <c r="AY135">
        <v>3</v>
      </c>
      <c r="AZ135" t="s">
        <v>3911</v>
      </c>
      <c r="BA135">
        <v>1</v>
      </c>
      <c r="BB135" t="s">
        <v>4149</v>
      </c>
      <c r="BC135">
        <v>1</v>
      </c>
      <c r="BD135">
        <v>3</v>
      </c>
      <c r="BE135" t="s">
        <v>3911</v>
      </c>
      <c r="BF135">
        <v>1</v>
      </c>
      <c r="BG135">
        <v>13</v>
      </c>
      <c r="BH135" t="s">
        <v>3900</v>
      </c>
      <c r="BI135" t="s">
        <v>4393</v>
      </c>
      <c r="BJ135">
        <v>1</v>
      </c>
      <c r="BK135" t="s">
        <v>3902</v>
      </c>
    </row>
    <row r="136" spans="1:63" x14ac:dyDescent="0.25">
      <c r="A136">
        <v>4199</v>
      </c>
      <c r="B136" t="str">
        <f>"20200127176017054672"</f>
        <v>20200127176017054672</v>
      </c>
      <c r="C136">
        <v>1</v>
      </c>
      <c r="D136">
        <v>1</v>
      </c>
      <c r="E136" t="s">
        <v>3886</v>
      </c>
      <c r="F136">
        <v>2</v>
      </c>
      <c r="G136">
        <v>0</v>
      </c>
      <c r="H136" t="s">
        <v>66</v>
      </c>
      <c r="I136">
        <v>0</v>
      </c>
      <c r="J136" t="s">
        <v>66</v>
      </c>
      <c r="K136">
        <v>0</v>
      </c>
      <c r="L136" t="s">
        <v>66</v>
      </c>
      <c r="M136" t="s">
        <v>56</v>
      </c>
      <c r="N136">
        <v>0</v>
      </c>
      <c r="O136" t="s">
        <v>66</v>
      </c>
      <c r="P136" t="s">
        <v>56</v>
      </c>
      <c r="Q136">
        <v>0</v>
      </c>
      <c r="R136" t="s">
        <v>66</v>
      </c>
      <c r="S136" t="s">
        <v>56</v>
      </c>
      <c r="T136">
        <v>1</v>
      </c>
      <c r="U136" t="s">
        <v>1627</v>
      </c>
      <c r="V136" t="s">
        <v>56</v>
      </c>
      <c r="W136">
        <v>0</v>
      </c>
      <c r="X136" t="s">
        <v>66</v>
      </c>
      <c r="Y136" t="s">
        <v>56</v>
      </c>
      <c r="Z136">
        <v>0</v>
      </c>
      <c r="AA136" t="s">
        <v>66</v>
      </c>
      <c r="AB136" t="s">
        <v>56</v>
      </c>
      <c r="AC136">
        <v>1</v>
      </c>
      <c r="AD136" t="s">
        <v>1627</v>
      </c>
      <c r="AE136" t="s">
        <v>3887</v>
      </c>
      <c r="AF136">
        <v>0</v>
      </c>
      <c r="AG136" t="s">
        <v>66</v>
      </c>
      <c r="AH136" t="s">
        <v>56</v>
      </c>
      <c r="AI136">
        <v>1</v>
      </c>
      <c r="AJ136" t="s">
        <v>1627</v>
      </c>
      <c r="AK136" t="s">
        <v>56</v>
      </c>
      <c r="AL136" t="s">
        <v>56</v>
      </c>
      <c r="AM136" t="s">
        <v>56</v>
      </c>
      <c r="AN136" t="s">
        <v>56</v>
      </c>
      <c r="AO136" t="s">
        <v>4394</v>
      </c>
      <c r="AP136" t="s">
        <v>3889</v>
      </c>
      <c r="AQ136" t="s">
        <v>3890</v>
      </c>
      <c r="AR136" t="s">
        <v>3926</v>
      </c>
      <c r="AS136" t="s">
        <v>3927</v>
      </c>
      <c r="AT136" t="s">
        <v>4395</v>
      </c>
      <c r="AU136" t="s">
        <v>3894</v>
      </c>
      <c r="AV136" t="s">
        <v>3895</v>
      </c>
      <c r="AW136" t="s">
        <v>3896</v>
      </c>
      <c r="AX136">
        <v>24</v>
      </c>
      <c r="AY136">
        <v>2</v>
      </c>
      <c r="AZ136" t="s">
        <v>3897</v>
      </c>
      <c r="BA136">
        <v>10</v>
      </c>
      <c r="BB136" t="s">
        <v>3898</v>
      </c>
      <c r="BC136">
        <v>3</v>
      </c>
      <c r="BD136">
        <v>5</v>
      </c>
      <c r="BE136" t="s">
        <v>3899</v>
      </c>
      <c r="BF136">
        <v>3</v>
      </c>
      <c r="BG136">
        <v>13</v>
      </c>
      <c r="BH136" t="s">
        <v>3900</v>
      </c>
      <c r="BI136" t="s">
        <v>4396</v>
      </c>
      <c r="BJ136">
        <v>1</v>
      </c>
      <c r="BK136" t="s">
        <v>3902</v>
      </c>
    </row>
    <row r="137" spans="1:63" x14ac:dyDescent="0.25">
      <c r="A137">
        <v>4200</v>
      </c>
      <c r="B137" t="str">
        <f>"20200127159017054849"</f>
        <v>20200127159017054849</v>
      </c>
      <c r="C137">
        <v>1</v>
      </c>
      <c r="D137">
        <v>1</v>
      </c>
      <c r="E137" t="s">
        <v>3886</v>
      </c>
      <c r="F137">
        <v>2</v>
      </c>
      <c r="G137">
        <v>0</v>
      </c>
      <c r="H137" t="s">
        <v>66</v>
      </c>
      <c r="I137">
        <v>0</v>
      </c>
      <c r="J137" t="s">
        <v>66</v>
      </c>
      <c r="K137">
        <v>0</v>
      </c>
      <c r="L137" t="s">
        <v>66</v>
      </c>
      <c r="M137" t="s">
        <v>56</v>
      </c>
      <c r="N137">
        <v>0</v>
      </c>
      <c r="O137" t="s">
        <v>66</v>
      </c>
      <c r="P137" t="s">
        <v>56</v>
      </c>
      <c r="Q137">
        <v>0</v>
      </c>
      <c r="R137" t="s">
        <v>66</v>
      </c>
      <c r="S137" t="s">
        <v>56</v>
      </c>
      <c r="T137">
        <v>1</v>
      </c>
      <c r="U137" t="s">
        <v>1627</v>
      </c>
      <c r="V137" t="s">
        <v>56</v>
      </c>
      <c r="W137">
        <v>0</v>
      </c>
      <c r="X137" t="s">
        <v>66</v>
      </c>
      <c r="Y137" t="s">
        <v>56</v>
      </c>
      <c r="Z137">
        <v>0</v>
      </c>
      <c r="AA137" t="s">
        <v>66</v>
      </c>
      <c r="AB137" t="s">
        <v>56</v>
      </c>
      <c r="AC137">
        <v>1</v>
      </c>
      <c r="AD137" t="s">
        <v>1627</v>
      </c>
      <c r="AE137" t="s">
        <v>3887</v>
      </c>
      <c r="AF137">
        <v>0</v>
      </c>
      <c r="AG137" t="s">
        <v>66</v>
      </c>
      <c r="AH137" t="s">
        <v>56</v>
      </c>
      <c r="AI137">
        <v>1</v>
      </c>
      <c r="AJ137" t="s">
        <v>1627</v>
      </c>
      <c r="AK137" t="s">
        <v>56</v>
      </c>
      <c r="AL137" t="s">
        <v>56</v>
      </c>
      <c r="AM137" t="s">
        <v>56</v>
      </c>
      <c r="AN137" t="s">
        <v>56</v>
      </c>
      <c r="AO137" t="s">
        <v>4139</v>
      </c>
      <c r="AP137" t="s">
        <v>3889</v>
      </c>
      <c r="AQ137" t="s">
        <v>3890</v>
      </c>
      <c r="AR137" t="s">
        <v>3891</v>
      </c>
      <c r="AS137" t="s">
        <v>3892</v>
      </c>
      <c r="AT137" t="s">
        <v>4397</v>
      </c>
      <c r="AU137" t="s">
        <v>3894</v>
      </c>
      <c r="AV137" t="s">
        <v>3895</v>
      </c>
      <c r="AW137" t="s">
        <v>3896</v>
      </c>
      <c r="AX137">
        <v>12</v>
      </c>
      <c r="AY137">
        <v>2</v>
      </c>
      <c r="AZ137" t="s">
        <v>3897</v>
      </c>
      <c r="BA137">
        <v>10</v>
      </c>
      <c r="BB137" t="s">
        <v>3898</v>
      </c>
      <c r="BC137">
        <v>3</v>
      </c>
      <c r="BD137">
        <v>5</v>
      </c>
      <c r="BE137" t="s">
        <v>3899</v>
      </c>
      <c r="BF137">
        <v>3</v>
      </c>
      <c r="BG137">
        <v>13</v>
      </c>
      <c r="BH137" t="s">
        <v>3900</v>
      </c>
      <c r="BI137" t="s">
        <v>4398</v>
      </c>
      <c r="BJ137">
        <v>1</v>
      </c>
      <c r="BK137" t="s">
        <v>3902</v>
      </c>
    </row>
    <row r="138" spans="1:63" x14ac:dyDescent="0.25">
      <c r="A138">
        <v>4201</v>
      </c>
      <c r="B138" t="str">
        <f>"20200127117017054934"</f>
        <v>20200127117017054934</v>
      </c>
      <c r="C138">
        <v>1</v>
      </c>
      <c r="D138">
        <v>1</v>
      </c>
      <c r="E138" t="s">
        <v>3886</v>
      </c>
      <c r="F138">
        <v>2</v>
      </c>
      <c r="G138">
        <v>0</v>
      </c>
      <c r="H138" t="s">
        <v>66</v>
      </c>
      <c r="I138">
        <v>0</v>
      </c>
      <c r="J138" t="s">
        <v>66</v>
      </c>
      <c r="K138">
        <v>0</v>
      </c>
      <c r="L138" t="s">
        <v>66</v>
      </c>
      <c r="M138" t="s">
        <v>56</v>
      </c>
      <c r="N138">
        <v>0</v>
      </c>
      <c r="O138" t="s">
        <v>66</v>
      </c>
      <c r="P138" t="s">
        <v>56</v>
      </c>
      <c r="Q138">
        <v>0</v>
      </c>
      <c r="R138" t="s">
        <v>66</v>
      </c>
      <c r="S138" t="s">
        <v>56</v>
      </c>
      <c r="T138">
        <v>1</v>
      </c>
      <c r="U138" t="s">
        <v>1627</v>
      </c>
      <c r="V138" t="s">
        <v>56</v>
      </c>
      <c r="W138">
        <v>0</v>
      </c>
      <c r="X138" t="s">
        <v>66</v>
      </c>
      <c r="Y138" t="s">
        <v>56</v>
      </c>
      <c r="Z138">
        <v>0</v>
      </c>
      <c r="AA138" t="s">
        <v>66</v>
      </c>
      <c r="AB138" t="s">
        <v>56</v>
      </c>
      <c r="AC138">
        <v>1</v>
      </c>
      <c r="AD138" t="s">
        <v>1627</v>
      </c>
      <c r="AE138" t="s">
        <v>3887</v>
      </c>
      <c r="AF138">
        <v>0</v>
      </c>
      <c r="AG138" t="s">
        <v>66</v>
      </c>
      <c r="AH138" t="s">
        <v>56</v>
      </c>
      <c r="AI138">
        <v>1</v>
      </c>
      <c r="AJ138" t="s">
        <v>1627</v>
      </c>
      <c r="AK138" t="s">
        <v>56</v>
      </c>
      <c r="AL138" t="s">
        <v>56</v>
      </c>
      <c r="AM138" t="s">
        <v>56</v>
      </c>
      <c r="AN138" t="s">
        <v>56</v>
      </c>
      <c r="AO138" t="s">
        <v>4046</v>
      </c>
      <c r="AP138" t="s">
        <v>3889</v>
      </c>
      <c r="AQ138" t="s">
        <v>3890</v>
      </c>
      <c r="AR138" t="s">
        <v>3926</v>
      </c>
      <c r="AS138" t="s">
        <v>3927</v>
      </c>
      <c r="AT138" t="s">
        <v>4370</v>
      </c>
      <c r="AU138" t="s">
        <v>3894</v>
      </c>
      <c r="AV138" t="s">
        <v>3895</v>
      </c>
      <c r="AW138" t="s">
        <v>3896</v>
      </c>
      <c r="AX138">
        <v>12</v>
      </c>
      <c r="AY138">
        <v>2</v>
      </c>
      <c r="AZ138" t="s">
        <v>3897</v>
      </c>
      <c r="BA138">
        <v>10</v>
      </c>
      <c r="BB138" t="s">
        <v>3898</v>
      </c>
      <c r="BC138">
        <v>180</v>
      </c>
      <c r="BD138">
        <v>3</v>
      </c>
      <c r="BE138" t="s">
        <v>3911</v>
      </c>
      <c r="BF138">
        <v>6</v>
      </c>
      <c r="BG138">
        <v>13</v>
      </c>
      <c r="BH138" t="s">
        <v>3900</v>
      </c>
      <c r="BI138" t="s">
        <v>4371</v>
      </c>
      <c r="BJ138">
        <v>1</v>
      </c>
      <c r="BK138" t="s">
        <v>3902</v>
      </c>
    </row>
    <row r="139" spans="1:63" x14ac:dyDescent="0.25">
      <c r="A139">
        <v>4202</v>
      </c>
      <c r="B139" t="str">
        <f>"20200127110017055480"</f>
        <v>20200127110017055480</v>
      </c>
      <c r="C139">
        <v>1</v>
      </c>
      <c r="D139">
        <v>1</v>
      </c>
      <c r="E139" t="s">
        <v>3886</v>
      </c>
      <c r="F139">
        <v>2</v>
      </c>
      <c r="G139">
        <v>0</v>
      </c>
      <c r="H139" t="s">
        <v>66</v>
      </c>
      <c r="I139">
        <v>0</v>
      </c>
      <c r="J139" t="s">
        <v>66</v>
      </c>
      <c r="K139">
        <v>0</v>
      </c>
      <c r="L139" t="s">
        <v>66</v>
      </c>
      <c r="M139" t="s">
        <v>56</v>
      </c>
      <c r="N139">
        <v>0</v>
      </c>
      <c r="O139" t="s">
        <v>66</v>
      </c>
      <c r="P139" t="s">
        <v>56</v>
      </c>
      <c r="Q139">
        <v>0</v>
      </c>
      <c r="R139" t="s">
        <v>66</v>
      </c>
      <c r="S139" t="s">
        <v>56</v>
      </c>
      <c r="T139">
        <v>1</v>
      </c>
      <c r="U139" t="s">
        <v>1627</v>
      </c>
      <c r="V139" t="s">
        <v>56</v>
      </c>
      <c r="W139">
        <v>0</v>
      </c>
      <c r="X139" t="s">
        <v>66</v>
      </c>
      <c r="Y139" t="s">
        <v>56</v>
      </c>
      <c r="Z139">
        <v>0</v>
      </c>
      <c r="AA139" t="s">
        <v>66</v>
      </c>
      <c r="AB139" t="s">
        <v>56</v>
      </c>
      <c r="AC139">
        <v>1</v>
      </c>
      <c r="AD139" t="s">
        <v>1627</v>
      </c>
      <c r="AE139" t="s">
        <v>3887</v>
      </c>
      <c r="AF139">
        <v>0</v>
      </c>
      <c r="AG139" t="s">
        <v>66</v>
      </c>
      <c r="AH139" t="s">
        <v>56</v>
      </c>
      <c r="AI139">
        <v>1</v>
      </c>
      <c r="AJ139" t="s">
        <v>1627</v>
      </c>
      <c r="AK139" t="s">
        <v>56</v>
      </c>
      <c r="AL139" t="s">
        <v>56</v>
      </c>
      <c r="AM139" t="s">
        <v>56</v>
      </c>
      <c r="AN139" t="s">
        <v>56</v>
      </c>
      <c r="AO139" t="s">
        <v>4046</v>
      </c>
      <c r="AP139" t="s">
        <v>3889</v>
      </c>
      <c r="AQ139" t="s">
        <v>3890</v>
      </c>
      <c r="AR139" t="s">
        <v>3926</v>
      </c>
      <c r="AS139" t="s">
        <v>3927</v>
      </c>
      <c r="AT139" t="s">
        <v>4370</v>
      </c>
      <c r="AU139" t="s">
        <v>3894</v>
      </c>
      <c r="AV139" t="s">
        <v>3895</v>
      </c>
      <c r="AW139" t="s">
        <v>3896</v>
      </c>
      <c r="AX139">
        <v>12</v>
      </c>
      <c r="AY139">
        <v>2</v>
      </c>
      <c r="AZ139" t="s">
        <v>3897</v>
      </c>
      <c r="BA139">
        <v>10</v>
      </c>
      <c r="BB139" t="s">
        <v>3898</v>
      </c>
      <c r="BC139">
        <v>60</v>
      </c>
      <c r="BD139">
        <v>3</v>
      </c>
      <c r="BE139" t="s">
        <v>3911</v>
      </c>
      <c r="BF139">
        <v>2</v>
      </c>
      <c r="BG139">
        <v>13</v>
      </c>
      <c r="BH139" t="s">
        <v>3900</v>
      </c>
      <c r="BI139" t="s">
        <v>4371</v>
      </c>
      <c r="BJ139">
        <v>1</v>
      </c>
      <c r="BK139" t="s">
        <v>3902</v>
      </c>
    </row>
    <row r="140" spans="1:63" x14ac:dyDescent="0.25">
      <c r="A140">
        <v>4203</v>
      </c>
      <c r="B140" t="str">
        <f>"20200127132017055908"</f>
        <v>20200127132017055908</v>
      </c>
      <c r="C140">
        <v>1</v>
      </c>
      <c r="D140">
        <v>1</v>
      </c>
      <c r="E140" t="s">
        <v>3886</v>
      </c>
      <c r="F140">
        <v>2</v>
      </c>
      <c r="G140">
        <v>0</v>
      </c>
      <c r="H140" t="s">
        <v>66</v>
      </c>
      <c r="I140">
        <v>0</v>
      </c>
      <c r="J140" t="s">
        <v>66</v>
      </c>
      <c r="K140">
        <v>1</v>
      </c>
      <c r="L140" t="s">
        <v>1627</v>
      </c>
      <c r="M140" t="s">
        <v>3915</v>
      </c>
      <c r="N140">
        <v>1</v>
      </c>
      <c r="O140" t="s">
        <v>1627</v>
      </c>
      <c r="P140" t="s">
        <v>4399</v>
      </c>
      <c r="Q140">
        <v>0</v>
      </c>
      <c r="R140" t="s">
        <v>66</v>
      </c>
      <c r="S140" t="s">
        <v>56</v>
      </c>
      <c r="T140" t="s">
        <v>56</v>
      </c>
      <c r="U140" t="s">
        <v>56</v>
      </c>
      <c r="V140" t="s">
        <v>56</v>
      </c>
      <c r="W140">
        <v>0</v>
      </c>
      <c r="X140" t="s">
        <v>66</v>
      </c>
      <c r="Y140" t="s">
        <v>56</v>
      </c>
      <c r="Z140">
        <v>0</v>
      </c>
      <c r="AA140" t="s">
        <v>66</v>
      </c>
      <c r="AB140" t="s">
        <v>56</v>
      </c>
      <c r="AC140">
        <v>0</v>
      </c>
      <c r="AD140" t="s">
        <v>66</v>
      </c>
      <c r="AE140" t="s">
        <v>56</v>
      </c>
      <c r="AF140">
        <v>0</v>
      </c>
      <c r="AG140" t="s">
        <v>66</v>
      </c>
      <c r="AH140" t="s">
        <v>56</v>
      </c>
      <c r="AI140">
        <v>1</v>
      </c>
      <c r="AJ140" t="s">
        <v>1627</v>
      </c>
      <c r="AK140" t="s">
        <v>56</v>
      </c>
      <c r="AL140" t="s">
        <v>56</v>
      </c>
      <c r="AM140" t="s">
        <v>56</v>
      </c>
      <c r="AN140" t="s">
        <v>56</v>
      </c>
      <c r="AO140" t="s">
        <v>4086</v>
      </c>
      <c r="AP140" t="s">
        <v>3939</v>
      </c>
      <c r="AQ140" t="s">
        <v>3940</v>
      </c>
      <c r="AR140" t="s">
        <v>3920</v>
      </c>
      <c r="AS140" t="s">
        <v>3921</v>
      </c>
      <c r="AT140" t="s">
        <v>4400</v>
      </c>
      <c r="AU140" t="s">
        <v>3907</v>
      </c>
      <c r="AV140" t="s">
        <v>3908</v>
      </c>
      <c r="AW140" t="s">
        <v>3909</v>
      </c>
      <c r="AX140">
        <v>24</v>
      </c>
      <c r="AY140">
        <v>2</v>
      </c>
      <c r="AZ140" t="s">
        <v>3897</v>
      </c>
      <c r="BA140">
        <v>10</v>
      </c>
      <c r="BB140" t="s">
        <v>3898</v>
      </c>
      <c r="BC140">
        <v>6</v>
      </c>
      <c r="BD140">
        <v>5</v>
      </c>
      <c r="BE140" t="s">
        <v>3899</v>
      </c>
      <c r="BF140">
        <v>180</v>
      </c>
      <c r="BG140">
        <v>14</v>
      </c>
      <c r="BH140" t="s">
        <v>3947</v>
      </c>
      <c r="BI140" t="s">
        <v>4401</v>
      </c>
      <c r="BJ140">
        <v>1</v>
      </c>
      <c r="BK140" t="s">
        <v>3902</v>
      </c>
    </row>
    <row r="141" spans="1:63" x14ac:dyDescent="0.25">
      <c r="A141">
        <v>4204</v>
      </c>
      <c r="B141" t="str">
        <f>"20200127172017056258"</f>
        <v>20200127172017056258</v>
      </c>
      <c r="C141">
        <v>1</v>
      </c>
      <c r="D141">
        <v>1</v>
      </c>
      <c r="E141" t="s">
        <v>3886</v>
      </c>
      <c r="F141">
        <v>1</v>
      </c>
      <c r="G141">
        <v>0</v>
      </c>
      <c r="H141" t="s">
        <v>66</v>
      </c>
      <c r="I141">
        <v>0</v>
      </c>
      <c r="J141" t="s">
        <v>66</v>
      </c>
      <c r="K141">
        <v>0</v>
      </c>
      <c r="L141" t="s">
        <v>66</v>
      </c>
      <c r="M141" t="s">
        <v>56</v>
      </c>
      <c r="N141">
        <v>0</v>
      </c>
      <c r="O141" t="s">
        <v>66</v>
      </c>
      <c r="P141" t="s">
        <v>56</v>
      </c>
      <c r="Q141">
        <v>0</v>
      </c>
      <c r="R141" t="s">
        <v>66</v>
      </c>
      <c r="S141" t="s">
        <v>56</v>
      </c>
      <c r="T141">
        <v>1</v>
      </c>
      <c r="U141" t="s">
        <v>1627</v>
      </c>
      <c r="V141" t="s">
        <v>56</v>
      </c>
      <c r="W141">
        <v>0</v>
      </c>
      <c r="X141" t="s">
        <v>66</v>
      </c>
      <c r="Y141" t="s">
        <v>56</v>
      </c>
      <c r="Z141">
        <v>0</v>
      </c>
      <c r="AA141" t="s">
        <v>66</v>
      </c>
      <c r="AB141" t="s">
        <v>56</v>
      </c>
      <c r="AC141">
        <v>1</v>
      </c>
      <c r="AD141" t="s">
        <v>1627</v>
      </c>
      <c r="AE141" t="s">
        <v>3887</v>
      </c>
      <c r="AF141">
        <v>0</v>
      </c>
      <c r="AG141" t="s">
        <v>66</v>
      </c>
      <c r="AH141" t="s">
        <v>56</v>
      </c>
      <c r="AI141">
        <v>1</v>
      </c>
      <c r="AJ141" t="s">
        <v>1627</v>
      </c>
      <c r="AK141" t="s">
        <v>56</v>
      </c>
      <c r="AL141" t="s">
        <v>56</v>
      </c>
      <c r="AM141" t="s">
        <v>56</v>
      </c>
      <c r="AN141" t="s">
        <v>56</v>
      </c>
      <c r="AO141" t="s">
        <v>4374</v>
      </c>
      <c r="AP141" t="s">
        <v>4375</v>
      </c>
      <c r="AQ141" t="s">
        <v>4376</v>
      </c>
      <c r="AR141" t="s">
        <v>4071</v>
      </c>
      <c r="AS141" t="s">
        <v>4072</v>
      </c>
      <c r="AT141" t="s">
        <v>4402</v>
      </c>
      <c r="AU141" t="s">
        <v>3929</v>
      </c>
      <c r="AV141" t="s">
        <v>3930</v>
      </c>
      <c r="AW141" t="s">
        <v>3931</v>
      </c>
      <c r="AX141">
        <v>24</v>
      </c>
      <c r="AY141">
        <v>2</v>
      </c>
      <c r="AZ141" t="s">
        <v>3897</v>
      </c>
      <c r="BA141">
        <v>1</v>
      </c>
      <c r="BB141" t="s">
        <v>4149</v>
      </c>
      <c r="BC141">
        <v>20</v>
      </c>
      <c r="BD141">
        <v>3</v>
      </c>
      <c r="BE141" t="s">
        <v>3911</v>
      </c>
      <c r="BF141">
        <v>1</v>
      </c>
      <c r="BG141">
        <v>73</v>
      </c>
      <c r="BH141" t="s">
        <v>3999</v>
      </c>
      <c r="BI141" t="s">
        <v>4403</v>
      </c>
      <c r="BJ141">
        <v>1</v>
      </c>
      <c r="BK141" t="s">
        <v>3902</v>
      </c>
    </row>
    <row r="142" spans="1:63" x14ac:dyDescent="0.25">
      <c r="A142">
        <v>4205</v>
      </c>
      <c r="B142" t="str">
        <f>"20200127195017056345"</f>
        <v>20200127195017056345</v>
      </c>
      <c r="C142">
        <v>1</v>
      </c>
      <c r="D142">
        <v>1</v>
      </c>
      <c r="E142" t="s">
        <v>3886</v>
      </c>
      <c r="F142">
        <v>2</v>
      </c>
      <c r="G142">
        <v>0</v>
      </c>
      <c r="H142" t="s">
        <v>66</v>
      </c>
      <c r="I142">
        <v>0</v>
      </c>
      <c r="J142" t="s">
        <v>66</v>
      </c>
      <c r="K142">
        <v>0</v>
      </c>
      <c r="L142" t="s">
        <v>66</v>
      </c>
      <c r="M142" t="s">
        <v>56</v>
      </c>
      <c r="N142">
        <v>0</v>
      </c>
      <c r="O142" t="s">
        <v>66</v>
      </c>
      <c r="P142" t="s">
        <v>56</v>
      </c>
      <c r="Q142">
        <v>0</v>
      </c>
      <c r="R142" t="s">
        <v>66</v>
      </c>
      <c r="S142" t="s">
        <v>56</v>
      </c>
      <c r="T142">
        <v>1</v>
      </c>
      <c r="U142" t="s">
        <v>1627</v>
      </c>
      <c r="V142" t="s">
        <v>56</v>
      </c>
      <c r="W142">
        <v>0</v>
      </c>
      <c r="X142" t="s">
        <v>66</v>
      </c>
      <c r="Y142" t="s">
        <v>56</v>
      </c>
      <c r="Z142">
        <v>0</v>
      </c>
      <c r="AA142" t="s">
        <v>66</v>
      </c>
      <c r="AB142" t="s">
        <v>56</v>
      </c>
      <c r="AC142">
        <v>1</v>
      </c>
      <c r="AD142" t="s">
        <v>1627</v>
      </c>
      <c r="AE142" t="s">
        <v>3887</v>
      </c>
      <c r="AF142">
        <v>0</v>
      </c>
      <c r="AG142" t="s">
        <v>66</v>
      </c>
      <c r="AH142" t="s">
        <v>56</v>
      </c>
      <c r="AI142">
        <v>1</v>
      </c>
      <c r="AJ142" t="s">
        <v>1627</v>
      </c>
      <c r="AK142" t="s">
        <v>56</v>
      </c>
      <c r="AL142" t="s">
        <v>56</v>
      </c>
      <c r="AM142" t="s">
        <v>56</v>
      </c>
      <c r="AN142" t="s">
        <v>56</v>
      </c>
      <c r="AO142" t="s">
        <v>3888</v>
      </c>
      <c r="AP142" t="s">
        <v>3889</v>
      </c>
      <c r="AQ142" t="s">
        <v>3890</v>
      </c>
      <c r="AR142" t="s">
        <v>3891</v>
      </c>
      <c r="AS142" t="s">
        <v>3892</v>
      </c>
      <c r="AT142" t="s">
        <v>3893</v>
      </c>
      <c r="AU142" t="s">
        <v>3894</v>
      </c>
      <c r="AV142" t="s">
        <v>3895</v>
      </c>
      <c r="AW142" t="s">
        <v>3896</v>
      </c>
      <c r="AX142">
        <v>6</v>
      </c>
      <c r="AY142">
        <v>2</v>
      </c>
      <c r="AZ142" t="s">
        <v>3897</v>
      </c>
      <c r="BA142">
        <v>10</v>
      </c>
      <c r="BB142" t="s">
        <v>3898</v>
      </c>
      <c r="BC142">
        <v>2</v>
      </c>
      <c r="BD142">
        <v>5</v>
      </c>
      <c r="BE142" t="s">
        <v>3899</v>
      </c>
      <c r="BF142">
        <v>2</v>
      </c>
      <c r="BG142">
        <v>13</v>
      </c>
      <c r="BH142" t="s">
        <v>3900</v>
      </c>
      <c r="BI142" t="s">
        <v>4404</v>
      </c>
      <c r="BJ142">
        <v>1</v>
      </c>
      <c r="BK142" t="s">
        <v>3902</v>
      </c>
    </row>
    <row r="143" spans="1:63" x14ac:dyDescent="0.25">
      <c r="A143">
        <v>4206</v>
      </c>
      <c r="B143" t="str">
        <f>"20200127192017056733"</f>
        <v>20200127192017056733</v>
      </c>
      <c r="C143">
        <v>1</v>
      </c>
      <c r="D143">
        <v>1</v>
      </c>
      <c r="E143" t="s">
        <v>3886</v>
      </c>
      <c r="F143">
        <v>2</v>
      </c>
      <c r="G143">
        <v>0</v>
      </c>
      <c r="H143" t="s">
        <v>66</v>
      </c>
      <c r="I143">
        <v>0</v>
      </c>
      <c r="J143" t="s">
        <v>66</v>
      </c>
      <c r="K143">
        <v>0</v>
      </c>
      <c r="L143" t="s">
        <v>66</v>
      </c>
      <c r="M143" t="s">
        <v>56</v>
      </c>
      <c r="N143">
        <v>0</v>
      </c>
      <c r="O143" t="s">
        <v>66</v>
      </c>
      <c r="P143" t="s">
        <v>56</v>
      </c>
      <c r="Q143">
        <v>0</v>
      </c>
      <c r="R143" t="s">
        <v>66</v>
      </c>
      <c r="S143" t="s">
        <v>56</v>
      </c>
      <c r="T143">
        <v>1</v>
      </c>
      <c r="U143" t="s">
        <v>1627</v>
      </c>
      <c r="V143" t="s">
        <v>56</v>
      </c>
      <c r="W143">
        <v>0</v>
      </c>
      <c r="X143" t="s">
        <v>66</v>
      </c>
      <c r="Y143" t="s">
        <v>56</v>
      </c>
      <c r="Z143">
        <v>0</v>
      </c>
      <c r="AA143" t="s">
        <v>66</v>
      </c>
      <c r="AB143" t="s">
        <v>56</v>
      </c>
      <c r="AC143">
        <v>1</v>
      </c>
      <c r="AD143" t="s">
        <v>1627</v>
      </c>
      <c r="AE143" t="s">
        <v>3887</v>
      </c>
      <c r="AF143">
        <v>0</v>
      </c>
      <c r="AG143" t="s">
        <v>66</v>
      </c>
      <c r="AH143" t="s">
        <v>56</v>
      </c>
      <c r="AI143">
        <v>1</v>
      </c>
      <c r="AJ143" t="s">
        <v>1627</v>
      </c>
      <c r="AK143" t="s">
        <v>56</v>
      </c>
      <c r="AL143" t="s">
        <v>56</v>
      </c>
      <c r="AM143" t="s">
        <v>56</v>
      </c>
      <c r="AN143" t="s">
        <v>56</v>
      </c>
      <c r="AO143" t="s">
        <v>3888</v>
      </c>
      <c r="AP143" t="s">
        <v>3889</v>
      </c>
      <c r="AQ143" t="s">
        <v>3890</v>
      </c>
      <c r="AR143" t="s">
        <v>3891</v>
      </c>
      <c r="AS143" t="s">
        <v>3892</v>
      </c>
      <c r="AT143" t="s">
        <v>3893</v>
      </c>
      <c r="AU143" t="s">
        <v>3894</v>
      </c>
      <c r="AV143" t="s">
        <v>3895</v>
      </c>
      <c r="AW143" t="s">
        <v>3896</v>
      </c>
      <c r="AX143">
        <v>6</v>
      </c>
      <c r="AY143">
        <v>2</v>
      </c>
      <c r="AZ143" t="s">
        <v>3897</v>
      </c>
      <c r="BA143">
        <v>10</v>
      </c>
      <c r="BB143" t="s">
        <v>3898</v>
      </c>
      <c r="BC143">
        <v>3</v>
      </c>
      <c r="BD143">
        <v>5</v>
      </c>
      <c r="BE143" t="s">
        <v>3899</v>
      </c>
      <c r="BF143">
        <v>3</v>
      </c>
      <c r="BG143">
        <v>13</v>
      </c>
      <c r="BH143" t="s">
        <v>3900</v>
      </c>
      <c r="BI143" t="s">
        <v>4405</v>
      </c>
      <c r="BJ143">
        <v>1</v>
      </c>
      <c r="BK143" t="s">
        <v>3902</v>
      </c>
    </row>
    <row r="144" spans="1:63" x14ac:dyDescent="0.25">
      <c r="A144">
        <v>4207</v>
      </c>
      <c r="B144" t="str">
        <f>"20200127199017056835"</f>
        <v>20200127199017056835</v>
      </c>
      <c r="C144">
        <v>1</v>
      </c>
      <c r="D144">
        <v>1</v>
      </c>
      <c r="E144" t="s">
        <v>3886</v>
      </c>
      <c r="F144">
        <v>1</v>
      </c>
      <c r="G144">
        <v>0</v>
      </c>
      <c r="H144" t="s">
        <v>66</v>
      </c>
      <c r="I144">
        <v>0</v>
      </c>
      <c r="J144" t="s">
        <v>66</v>
      </c>
      <c r="K144">
        <v>1</v>
      </c>
      <c r="L144" t="s">
        <v>1627</v>
      </c>
      <c r="M144" t="s">
        <v>4107</v>
      </c>
      <c r="N144">
        <v>1</v>
      </c>
      <c r="O144" t="s">
        <v>1627</v>
      </c>
      <c r="P144" t="s">
        <v>4406</v>
      </c>
      <c r="Q144">
        <v>0</v>
      </c>
      <c r="R144" t="s">
        <v>66</v>
      </c>
      <c r="S144" t="s">
        <v>56</v>
      </c>
      <c r="T144" t="s">
        <v>56</v>
      </c>
      <c r="U144" t="s">
        <v>56</v>
      </c>
      <c r="V144" t="s">
        <v>56</v>
      </c>
      <c r="W144">
        <v>0</v>
      </c>
      <c r="X144" t="s">
        <v>66</v>
      </c>
      <c r="Y144" t="s">
        <v>56</v>
      </c>
      <c r="Z144">
        <v>0</v>
      </c>
      <c r="AA144" t="s">
        <v>66</v>
      </c>
      <c r="AB144" t="s">
        <v>56</v>
      </c>
      <c r="AC144">
        <v>0</v>
      </c>
      <c r="AD144" t="s">
        <v>66</v>
      </c>
      <c r="AE144" t="s">
        <v>56</v>
      </c>
      <c r="AF144">
        <v>0</v>
      </c>
      <c r="AG144" t="s">
        <v>66</v>
      </c>
      <c r="AH144" t="s">
        <v>56</v>
      </c>
      <c r="AI144">
        <v>1</v>
      </c>
      <c r="AJ144" t="s">
        <v>1627</v>
      </c>
      <c r="AK144" t="s">
        <v>56</v>
      </c>
      <c r="AL144" t="s">
        <v>56</v>
      </c>
      <c r="AM144" t="s">
        <v>56</v>
      </c>
      <c r="AN144" t="s">
        <v>56</v>
      </c>
      <c r="AO144" t="s">
        <v>4109</v>
      </c>
      <c r="AP144" t="s">
        <v>3962</v>
      </c>
      <c r="AQ144" t="s">
        <v>3963</v>
      </c>
      <c r="AR144" t="s">
        <v>3941</v>
      </c>
      <c r="AS144" t="s">
        <v>3942</v>
      </c>
      <c r="AT144" t="s">
        <v>4407</v>
      </c>
      <c r="AU144" t="s">
        <v>3944</v>
      </c>
      <c r="AV144" t="s">
        <v>3945</v>
      </c>
      <c r="AW144" t="s">
        <v>3946</v>
      </c>
      <c r="AX144">
        <v>24</v>
      </c>
      <c r="AY144">
        <v>2</v>
      </c>
      <c r="AZ144" t="s">
        <v>3897</v>
      </c>
      <c r="BA144">
        <v>10</v>
      </c>
      <c r="BB144" t="s">
        <v>3898</v>
      </c>
      <c r="BC144">
        <v>90</v>
      </c>
      <c r="BD144">
        <v>3</v>
      </c>
      <c r="BE144" t="s">
        <v>3911</v>
      </c>
      <c r="BF144">
        <v>90</v>
      </c>
      <c r="BG144">
        <v>66</v>
      </c>
      <c r="BH144" t="s">
        <v>3965</v>
      </c>
      <c r="BI144" t="s">
        <v>4408</v>
      </c>
      <c r="BJ144">
        <v>1</v>
      </c>
      <c r="BK144" t="s">
        <v>3902</v>
      </c>
    </row>
    <row r="145" spans="1:63" x14ac:dyDescent="0.25">
      <c r="A145">
        <v>4208</v>
      </c>
      <c r="B145" t="str">
        <f>"20200127174017056879"</f>
        <v>20200127174017056879</v>
      </c>
      <c r="C145">
        <v>1</v>
      </c>
      <c r="D145">
        <v>1</v>
      </c>
      <c r="E145" t="s">
        <v>3886</v>
      </c>
      <c r="F145">
        <v>2</v>
      </c>
      <c r="G145">
        <v>0</v>
      </c>
      <c r="H145" t="s">
        <v>66</v>
      </c>
      <c r="I145">
        <v>0</v>
      </c>
      <c r="J145" t="s">
        <v>66</v>
      </c>
      <c r="K145">
        <v>1</v>
      </c>
      <c r="L145" t="s">
        <v>1627</v>
      </c>
      <c r="M145" t="s">
        <v>4372</v>
      </c>
      <c r="N145">
        <v>1</v>
      </c>
      <c r="O145" t="s">
        <v>1627</v>
      </c>
      <c r="P145" t="s">
        <v>4409</v>
      </c>
      <c r="Q145">
        <v>0</v>
      </c>
      <c r="R145" t="s">
        <v>66</v>
      </c>
      <c r="S145" t="s">
        <v>56</v>
      </c>
      <c r="T145" t="s">
        <v>56</v>
      </c>
      <c r="U145" t="s">
        <v>56</v>
      </c>
      <c r="V145" t="s">
        <v>56</v>
      </c>
      <c r="W145">
        <v>0</v>
      </c>
      <c r="X145" t="s">
        <v>66</v>
      </c>
      <c r="Y145" t="s">
        <v>56</v>
      </c>
      <c r="Z145">
        <v>0</v>
      </c>
      <c r="AA145" t="s">
        <v>66</v>
      </c>
      <c r="AB145" t="s">
        <v>56</v>
      </c>
      <c r="AC145">
        <v>0</v>
      </c>
      <c r="AD145" t="s">
        <v>66</v>
      </c>
      <c r="AE145" t="s">
        <v>56</v>
      </c>
      <c r="AF145">
        <v>0</v>
      </c>
      <c r="AG145" t="s">
        <v>66</v>
      </c>
      <c r="AH145" t="s">
        <v>56</v>
      </c>
      <c r="AI145">
        <v>1</v>
      </c>
      <c r="AJ145" t="s">
        <v>1627</v>
      </c>
      <c r="AK145" t="s">
        <v>56</v>
      </c>
      <c r="AL145" t="s">
        <v>56</v>
      </c>
      <c r="AM145" t="s">
        <v>56</v>
      </c>
      <c r="AN145" t="s">
        <v>56</v>
      </c>
      <c r="AO145" t="s">
        <v>4410</v>
      </c>
      <c r="AP145" t="s">
        <v>3971</v>
      </c>
      <c r="AQ145" t="s">
        <v>3972</v>
      </c>
      <c r="AR145" t="s">
        <v>4411</v>
      </c>
      <c r="AS145" t="s">
        <v>4412</v>
      </c>
      <c r="AT145" t="s">
        <v>4413</v>
      </c>
      <c r="AU145" t="s">
        <v>3907</v>
      </c>
      <c r="AV145" t="s">
        <v>3908</v>
      </c>
      <c r="AW145" t="s">
        <v>3909</v>
      </c>
      <c r="AX145">
        <v>3</v>
      </c>
      <c r="AY145">
        <v>3</v>
      </c>
      <c r="AZ145" t="s">
        <v>3911</v>
      </c>
      <c r="BA145">
        <v>10</v>
      </c>
      <c r="BB145" t="s">
        <v>3898</v>
      </c>
      <c r="BC145">
        <v>8</v>
      </c>
      <c r="BD145">
        <v>4</v>
      </c>
      <c r="BE145" t="s">
        <v>4302</v>
      </c>
      <c r="BF145">
        <v>24</v>
      </c>
      <c r="BG145">
        <v>75</v>
      </c>
      <c r="BH145" t="s">
        <v>4017</v>
      </c>
      <c r="BI145" t="s">
        <v>4414</v>
      </c>
      <c r="BJ145">
        <v>1</v>
      </c>
      <c r="BK145" t="s">
        <v>3902</v>
      </c>
    </row>
    <row r="146" spans="1:63" x14ac:dyDescent="0.25">
      <c r="A146">
        <v>4209</v>
      </c>
      <c r="B146" t="str">
        <f>"20200127193017057445"</f>
        <v>20200127193017057445</v>
      </c>
      <c r="C146">
        <v>1</v>
      </c>
      <c r="D146">
        <v>1</v>
      </c>
      <c r="E146" t="s">
        <v>3886</v>
      </c>
      <c r="F146">
        <v>2</v>
      </c>
      <c r="G146">
        <v>0</v>
      </c>
      <c r="H146" t="s">
        <v>66</v>
      </c>
      <c r="I146">
        <v>0</v>
      </c>
      <c r="J146" t="s">
        <v>66</v>
      </c>
      <c r="K146">
        <v>1</v>
      </c>
      <c r="L146" t="s">
        <v>1627</v>
      </c>
      <c r="M146" t="s">
        <v>4415</v>
      </c>
      <c r="N146">
        <v>1</v>
      </c>
      <c r="O146" t="s">
        <v>1627</v>
      </c>
      <c r="P146" t="s">
        <v>4416</v>
      </c>
      <c r="Q146">
        <v>0</v>
      </c>
      <c r="R146" t="s">
        <v>66</v>
      </c>
      <c r="S146" t="s">
        <v>56</v>
      </c>
      <c r="T146" t="s">
        <v>56</v>
      </c>
      <c r="U146" t="s">
        <v>56</v>
      </c>
      <c r="V146" t="s">
        <v>56</v>
      </c>
      <c r="W146">
        <v>0</v>
      </c>
      <c r="X146" t="s">
        <v>66</v>
      </c>
      <c r="Y146" t="s">
        <v>56</v>
      </c>
      <c r="Z146">
        <v>0</v>
      </c>
      <c r="AA146" t="s">
        <v>66</v>
      </c>
      <c r="AB146" t="s">
        <v>56</v>
      </c>
      <c r="AC146">
        <v>0</v>
      </c>
      <c r="AD146" t="s">
        <v>66</v>
      </c>
      <c r="AE146" t="s">
        <v>56</v>
      </c>
      <c r="AF146">
        <v>0</v>
      </c>
      <c r="AG146" t="s">
        <v>66</v>
      </c>
      <c r="AH146" t="s">
        <v>56</v>
      </c>
      <c r="AI146">
        <v>1</v>
      </c>
      <c r="AJ146" t="s">
        <v>1627</v>
      </c>
      <c r="AK146" t="s">
        <v>56</v>
      </c>
      <c r="AL146" t="s">
        <v>56</v>
      </c>
      <c r="AM146" t="s">
        <v>56</v>
      </c>
      <c r="AN146" t="s">
        <v>56</v>
      </c>
      <c r="AO146" t="s">
        <v>4417</v>
      </c>
      <c r="AP146" t="s">
        <v>3962</v>
      </c>
      <c r="AQ146" t="s">
        <v>3963</v>
      </c>
      <c r="AR146" t="s">
        <v>3941</v>
      </c>
      <c r="AS146" t="s">
        <v>3942</v>
      </c>
      <c r="AT146" t="s">
        <v>4416</v>
      </c>
      <c r="AU146" t="s">
        <v>3944</v>
      </c>
      <c r="AV146" t="s">
        <v>3945</v>
      </c>
      <c r="AW146" t="s">
        <v>3946</v>
      </c>
      <c r="AX146">
        <v>24</v>
      </c>
      <c r="AY146">
        <v>2</v>
      </c>
      <c r="AZ146" t="s">
        <v>3897</v>
      </c>
      <c r="BA146">
        <v>9</v>
      </c>
      <c r="BB146" t="s">
        <v>4170</v>
      </c>
      <c r="BC146">
        <v>90</v>
      </c>
      <c r="BD146">
        <v>3</v>
      </c>
      <c r="BE146" t="s">
        <v>3911</v>
      </c>
      <c r="BF146">
        <v>90</v>
      </c>
      <c r="BG146">
        <v>66</v>
      </c>
      <c r="BH146" t="s">
        <v>3965</v>
      </c>
      <c r="BI146" t="s">
        <v>4418</v>
      </c>
      <c r="BJ146">
        <v>1</v>
      </c>
      <c r="BK146" t="s">
        <v>3902</v>
      </c>
    </row>
    <row r="147" spans="1:63" x14ac:dyDescent="0.25">
      <c r="A147">
        <v>4210</v>
      </c>
      <c r="B147" t="str">
        <f>"20200127150017057892"</f>
        <v>20200127150017057892</v>
      </c>
      <c r="C147">
        <v>1</v>
      </c>
      <c r="D147">
        <v>1</v>
      </c>
      <c r="E147" t="s">
        <v>3886</v>
      </c>
      <c r="F147">
        <v>1</v>
      </c>
      <c r="G147">
        <v>0</v>
      </c>
      <c r="H147" t="s">
        <v>66</v>
      </c>
      <c r="I147">
        <v>0</v>
      </c>
      <c r="J147" t="s">
        <v>66</v>
      </c>
      <c r="K147">
        <v>1</v>
      </c>
      <c r="L147" t="s">
        <v>1627</v>
      </c>
      <c r="M147" t="s">
        <v>4419</v>
      </c>
      <c r="N147">
        <v>1</v>
      </c>
      <c r="O147" t="s">
        <v>1627</v>
      </c>
      <c r="P147" t="s">
        <v>4420</v>
      </c>
      <c r="Q147">
        <v>0</v>
      </c>
      <c r="R147" t="s">
        <v>66</v>
      </c>
      <c r="S147" t="s">
        <v>56</v>
      </c>
      <c r="T147" t="s">
        <v>56</v>
      </c>
      <c r="U147" t="s">
        <v>56</v>
      </c>
      <c r="V147" t="s">
        <v>56</v>
      </c>
      <c r="W147">
        <v>0</v>
      </c>
      <c r="X147" t="s">
        <v>66</v>
      </c>
      <c r="Y147" t="s">
        <v>56</v>
      </c>
      <c r="Z147">
        <v>0</v>
      </c>
      <c r="AA147" t="s">
        <v>66</v>
      </c>
      <c r="AB147" t="s">
        <v>56</v>
      </c>
      <c r="AC147">
        <v>0</v>
      </c>
      <c r="AD147" t="s">
        <v>66</v>
      </c>
      <c r="AE147" t="s">
        <v>56</v>
      </c>
      <c r="AF147">
        <v>0</v>
      </c>
      <c r="AG147" t="s">
        <v>66</v>
      </c>
      <c r="AH147" t="s">
        <v>56</v>
      </c>
      <c r="AI147">
        <v>1</v>
      </c>
      <c r="AJ147" t="s">
        <v>1627</v>
      </c>
      <c r="AK147" t="s">
        <v>56</v>
      </c>
      <c r="AL147" t="s">
        <v>56</v>
      </c>
      <c r="AM147" t="s">
        <v>56</v>
      </c>
      <c r="AN147" t="s">
        <v>56</v>
      </c>
      <c r="AO147" t="s">
        <v>4421</v>
      </c>
      <c r="AP147" t="s">
        <v>3889</v>
      </c>
      <c r="AQ147" t="s">
        <v>3890</v>
      </c>
      <c r="AR147" t="s">
        <v>3904</v>
      </c>
      <c r="AS147" t="s">
        <v>3905</v>
      </c>
      <c r="AT147" t="s">
        <v>4420</v>
      </c>
      <c r="AU147" t="s">
        <v>3944</v>
      </c>
      <c r="AV147" t="s">
        <v>3945</v>
      </c>
      <c r="AW147" t="s">
        <v>3946</v>
      </c>
      <c r="AX147">
        <v>24</v>
      </c>
      <c r="AY147">
        <v>2</v>
      </c>
      <c r="AZ147" t="s">
        <v>3897</v>
      </c>
      <c r="BA147">
        <v>10</v>
      </c>
      <c r="BB147" t="s">
        <v>3898</v>
      </c>
      <c r="BC147">
        <v>20</v>
      </c>
      <c r="BD147">
        <v>3</v>
      </c>
      <c r="BE147" t="s">
        <v>3911</v>
      </c>
      <c r="BF147">
        <v>20</v>
      </c>
      <c r="BG147" t="s">
        <v>3912</v>
      </c>
      <c r="BH147" t="s">
        <v>3913</v>
      </c>
      <c r="BI147" t="s">
        <v>4422</v>
      </c>
      <c r="BJ147">
        <v>1</v>
      </c>
      <c r="BK147" t="s">
        <v>3902</v>
      </c>
    </row>
    <row r="148" spans="1:63" x14ac:dyDescent="0.25">
      <c r="A148">
        <v>4211</v>
      </c>
      <c r="B148" t="str">
        <f>"20200127175017058168"</f>
        <v>20200127175017058168</v>
      </c>
      <c r="C148">
        <v>1</v>
      </c>
      <c r="D148">
        <v>1</v>
      </c>
      <c r="E148" t="s">
        <v>3886</v>
      </c>
      <c r="F148">
        <v>2</v>
      </c>
      <c r="G148">
        <v>0</v>
      </c>
      <c r="H148" t="s">
        <v>66</v>
      </c>
      <c r="I148">
        <v>0</v>
      </c>
      <c r="J148" t="s">
        <v>66</v>
      </c>
      <c r="K148">
        <v>1</v>
      </c>
      <c r="L148" t="s">
        <v>1627</v>
      </c>
      <c r="M148" t="s">
        <v>4116</v>
      </c>
      <c r="N148">
        <v>1</v>
      </c>
      <c r="O148" t="s">
        <v>1627</v>
      </c>
      <c r="P148" t="s">
        <v>4423</v>
      </c>
      <c r="Q148">
        <v>0</v>
      </c>
      <c r="R148" t="s">
        <v>66</v>
      </c>
      <c r="S148" t="s">
        <v>56</v>
      </c>
      <c r="T148" t="s">
        <v>56</v>
      </c>
      <c r="U148" t="s">
        <v>56</v>
      </c>
      <c r="V148" t="s">
        <v>56</v>
      </c>
      <c r="W148">
        <v>0</v>
      </c>
      <c r="X148" t="s">
        <v>66</v>
      </c>
      <c r="Y148" t="s">
        <v>56</v>
      </c>
      <c r="Z148">
        <v>0</v>
      </c>
      <c r="AA148" t="s">
        <v>66</v>
      </c>
      <c r="AB148" t="s">
        <v>56</v>
      </c>
      <c r="AC148">
        <v>0</v>
      </c>
      <c r="AD148" t="s">
        <v>66</v>
      </c>
      <c r="AE148" t="s">
        <v>56</v>
      </c>
      <c r="AF148">
        <v>0</v>
      </c>
      <c r="AG148" t="s">
        <v>66</v>
      </c>
      <c r="AH148" t="s">
        <v>56</v>
      </c>
      <c r="AI148">
        <v>1</v>
      </c>
      <c r="AJ148" t="s">
        <v>1627</v>
      </c>
      <c r="AK148" t="s">
        <v>56</v>
      </c>
      <c r="AL148" t="s">
        <v>56</v>
      </c>
      <c r="AM148" t="s">
        <v>56</v>
      </c>
      <c r="AN148" t="s">
        <v>56</v>
      </c>
      <c r="AO148" t="s">
        <v>4424</v>
      </c>
      <c r="AP148" t="s">
        <v>3939</v>
      </c>
      <c r="AQ148" t="s">
        <v>3940</v>
      </c>
      <c r="AR148" t="s">
        <v>3941</v>
      </c>
      <c r="AS148" t="s">
        <v>3942</v>
      </c>
      <c r="AT148" t="s">
        <v>4425</v>
      </c>
      <c r="AU148" t="s">
        <v>3944</v>
      </c>
      <c r="AV148" t="s">
        <v>3945</v>
      </c>
      <c r="AW148" t="s">
        <v>3946</v>
      </c>
      <c r="AX148">
        <v>24</v>
      </c>
      <c r="AY148">
        <v>2</v>
      </c>
      <c r="AZ148" t="s">
        <v>3897</v>
      </c>
      <c r="BA148">
        <v>10</v>
      </c>
      <c r="BB148" t="s">
        <v>3898</v>
      </c>
      <c r="BC148">
        <v>3</v>
      </c>
      <c r="BD148">
        <v>5</v>
      </c>
      <c r="BE148" t="s">
        <v>3899</v>
      </c>
      <c r="BF148">
        <v>90</v>
      </c>
      <c r="BG148">
        <v>14</v>
      </c>
      <c r="BH148" t="s">
        <v>3947</v>
      </c>
      <c r="BI148" t="s">
        <v>4426</v>
      </c>
      <c r="BJ148">
        <v>1</v>
      </c>
      <c r="BK148" t="s">
        <v>3902</v>
      </c>
    </row>
    <row r="149" spans="1:63" x14ac:dyDescent="0.25">
      <c r="A149">
        <v>4212</v>
      </c>
      <c r="B149" t="str">
        <f>"20200127151017059329"</f>
        <v>20200127151017059329</v>
      </c>
      <c r="C149">
        <v>1</v>
      </c>
      <c r="D149">
        <v>1</v>
      </c>
      <c r="E149" t="s">
        <v>3886</v>
      </c>
      <c r="F149">
        <v>2</v>
      </c>
      <c r="G149">
        <v>0</v>
      </c>
      <c r="H149" t="s">
        <v>66</v>
      </c>
      <c r="I149">
        <v>0</v>
      </c>
      <c r="J149" t="s">
        <v>66</v>
      </c>
      <c r="K149">
        <v>1</v>
      </c>
      <c r="L149" t="s">
        <v>1627</v>
      </c>
      <c r="M149" t="s">
        <v>4199</v>
      </c>
      <c r="N149">
        <v>1</v>
      </c>
      <c r="O149" t="s">
        <v>1627</v>
      </c>
      <c r="P149" t="s">
        <v>4200</v>
      </c>
      <c r="Q149">
        <v>0</v>
      </c>
      <c r="R149" t="s">
        <v>66</v>
      </c>
      <c r="S149" t="s">
        <v>56</v>
      </c>
      <c r="T149" t="s">
        <v>56</v>
      </c>
      <c r="U149" t="s">
        <v>56</v>
      </c>
      <c r="V149" t="s">
        <v>56</v>
      </c>
      <c r="W149">
        <v>0</v>
      </c>
      <c r="X149" t="s">
        <v>66</v>
      </c>
      <c r="Y149" t="s">
        <v>56</v>
      </c>
      <c r="Z149">
        <v>0</v>
      </c>
      <c r="AA149" t="s">
        <v>66</v>
      </c>
      <c r="AB149" t="s">
        <v>56</v>
      </c>
      <c r="AC149">
        <v>0</v>
      </c>
      <c r="AD149" t="s">
        <v>66</v>
      </c>
      <c r="AE149" t="s">
        <v>56</v>
      </c>
      <c r="AF149">
        <v>0</v>
      </c>
      <c r="AG149" t="s">
        <v>66</v>
      </c>
      <c r="AH149" t="s">
        <v>56</v>
      </c>
      <c r="AI149">
        <v>1</v>
      </c>
      <c r="AJ149" t="s">
        <v>1627</v>
      </c>
      <c r="AK149" t="s">
        <v>56</v>
      </c>
      <c r="AL149" t="s">
        <v>56</v>
      </c>
      <c r="AM149" t="s">
        <v>56</v>
      </c>
      <c r="AN149" t="s">
        <v>56</v>
      </c>
      <c r="AO149" t="s">
        <v>4201</v>
      </c>
      <c r="AP149" t="s">
        <v>3962</v>
      </c>
      <c r="AQ149" t="s">
        <v>3963</v>
      </c>
      <c r="AR149" t="s">
        <v>3941</v>
      </c>
      <c r="AS149" t="s">
        <v>3942</v>
      </c>
      <c r="AT149" t="s">
        <v>4427</v>
      </c>
      <c r="AU149" t="s">
        <v>3944</v>
      </c>
      <c r="AV149" t="s">
        <v>3945</v>
      </c>
      <c r="AW149" t="s">
        <v>3946</v>
      </c>
      <c r="AX149">
        <v>12</v>
      </c>
      <c r="AY149">
        <v>2</v>
      </c>
      <c r="AZ149" t="s">
        <v>3897</v>
      </c>
      <c r="BA149">
        <v>10</v>
      </c>
      <c r="BB149" t="s">
        <v>3898</v>
      </c>
      <c r="BC149">
        <v>3</v>
      </c>
      <c r="BD149">
        <v>5</v>
      </c>
      <c r="BE149" t="s">
        <v>3899</v>
      </c>
      <c r="BF149">
        <v>180</v>
      </c>
      <c r="BG149">
        <v>66</v>
      </c>
      <c r="BH149" t="s">
        <v>3965</v>
      </c>
      <c r="BI149" t="s">
        <v>4428</v>
      </c>
      <c r="BJ149">
        <v>1</v>
      </c>
      <c r="BK149" t="s">
        <v>3902</v>
      </c>
    </row>
    <row r="150" spans="1:63" x14ac:dyDescent="0.25">
      <c r="A150">
        <v>4213</v>
      </c>
      <c r="B150" t="str">
        <f>"20200127143017059379"</f>
        <v>20200127143017059379</v>
      </c>
      <c r="C150">
        <v>1</v>
      </c>
      <c r="D150">
        <v>1</v>
      </c>
      <c r="E150" t="s">
        <v>3886</v>
      </c>
      <c r="F150">
        <v>1</v>
      </c>
      <c r="G150">
        <v>0</v>
      </c>
      <c r="H150" t="s">
        <v>66</v>
      </c>
      <c r="I150">
        <v>0</v>
      </c>
      <c r="J150" t="s">
        <v>66</v>
      </c>
      <c r="K150">
        <v>0</v>
      </c>
      <c r="L150" t="s">
        <v>66</v>
      </c>
      <c r="M150" t="s">
        <v>56</v>
      </c>
      <c r="N150">
        <v>0</v>
      </c>
      <c r="O150" t="s">
        <v>66</v>
      </c>
      <c r="P150" t="s">
        <v>56</v>
      </c>
      <c r="Q150">
        <v>0</v>
      </c>
      <c r="R150" t="s">
        <v>66</v>
      </c>
      <c r="S150" t="s">
        <v>56</v>
      </c>
      <c r="T150">
        <v>1</v>
      </c>
      <c r="U150" t="s">
        <v>1627</v>
      </c>
      <c r="V150" t="s">
        <v>56</v>
      </c>
      <c r="W150">
        <v>0</v>
      </c>
      <c r="X150" t="s">
        <v>66</v>
      </c>
      <c r="Y150" t="s">
        <v>56</v>
      </c>
      <c r="Z150">
        <v>0</v>
      </c>
      <c r="AA150" t="s">
        <v>66</v>
      </c>
      <c r="AB150" t="s">
        <v>56</v>
      </c>
      <c r="AC150">
        <v>1</v>
      </c>
      <c r="AD150" t="s">
        <v>1627</v>
      </c>
      <c r="AE150" t="s">
        <v>3887</v>
      </c>
      <c r="AF150">
        <v>0</v>
      </c>
      <c r="AG150" t="s">
        <v>66</v>
      </c>
      <c r="AH150" t="s">
        <v>56</v>
      </c>
      <c r="AI150">
        <v>1</v>
      </c>
      <c r="AJ150" t="s">
        <v>1627</v>
      </c>
      <c r="AK150" t="s">
        <v>56</v>
      </c>
      <c r="AL150" t="s">
        <v>56</v>
      </c>
      <c r="AM150" t="s">
        <v>56</v>
      </c>
      <c r="AN150" t="s">
        <v>56</v>
      </c>
      <c r="AO150" t="s">
        <v>4040</v>
      </c>
      <c r="AP150" t="s">
        <v>3962</v>
      </c>
      <c r="AQ150" t="s">
        <v>3963</v>
      </c>
      <c r="AR150" t="s">
        <v>3941</v>
      </c>
      <c r="AS150" t="s">
        <v>3942</v>
      </c>
      <c r="AT150" t="s">
        <v>4429</v>
      </c>
      <c r="AU150" t="s">
        <v>3944</v>
      </c>
      <c r="AV150" t="s">
        <v>3945</v>
      </c>
      <c r="AW150" t="s">
        <v>3946</v>
      </c>
      <c r="AX150">
        <v>12</v>
      </c>
      <c r="AY150">
        <v>2</v>
      </c>
      <c r="AZ150" t="s">
        <v>3897</v>
      </c>
      <c r="BA150">
        <v>10</v>
      </c>
      <c r="BB150" t="s">
        <v>3898</v>
      </c>
      <c r="BC150">
        <v>15</v>
      </c>
      <c r="BD150">
        <v>3</v>
      </c>
      <c r="BE150" t="s">
        <v>3911</v>
      </c>
      <c r="BF150">
        <v>30</v>
      </c>
      <c r="BG150">
        <v>66</v>
      </c>
      <c r="BH150" t="s">
        <v>3965</v>
      </c>
      <c r="BI150" t="s">
        <v>4430</v>
      </c>
      <c r="BJ150">
        <v>1</v>
      </c>
      <c r="BK150" t="s">
        <v>3902</v>
      </c>
    </row>
    <row r="151" spans="1:63" x14ac:dyDescent="0.25">
      <c r="A151">
        <v>4214</v>
      </c>
      <c r="B151" t="str">
        <f>"20200127136017059614"</f>
        <v>20200127136017059614</v>
      </c>
      <c r="C151">
        <v>1</v>
      </c>
      <c r="D151">
        <v>1</v>
      </c>
      <c r="E151" t="s">
        <v>3886</v>
      </c>
      <c r="F151">
        <v>2</v>
      </c>
      <c r="G151">
        <v>0</v>
      </c>
      <c r="H151" t="s">
        <v>66</v>
      </c>
      <c r="I151">
        <v>0</v>
      </c>
      <c r="J151" t="s">
        <v>66</v>
      </c>
      <c r="K151">
        <v>0</v>
      </c>
      <c r="L151" t="s">
        <v>66</v>
      </c>
      <c r="M151" t="s">
        <v>56</v>
      </c>
      <c r="N151">
        <v>0</v>
      </c>
      <c r="O151" t="s">
        <v>66</v>
      </c>
      <c r="P151" t="s">
        <v>56</v>
      </c>
      <c r="Q151">
        <v>0</v>
      </c>
      <c r="R151" t="s">
        <v>66</v>
      </c>
      <c r="S151" t="s">
        <v>56</v>
      </c>
      <c r="T151">
        <v>1</v>
      </c>
      <c r="U151" t="s">
        <v>1627</v>
      </c>
      <c r="V151" t="s">
        <v>56</v>
      </c>
      <c r="W151">
        <v>0</v>
      </c>
      <c r="X151" t="s">
        <v>66</v>
      </c>
      <c r="Y151" t="s">
        <v>56</v>
      </c>
      <c r="Z151">
        <v>0</v>
      </c>
      <c r="AA151" t="s">
        <v>66</v>
      </c>
      <c r="AB151" t="s">
        <v>56</v>
      </c>
      <c r="AC151">
        <v>1</v>
      </c>
      <c r="AD151" t="s">
        <v>1627</v>
      </c>
      <c r="AE151" t="s">
        <v>3887</v>
      </c>
      <c r="AF151">
        <v>0</v>
      </c>
      <c r="AG151" t="s">
        <v>66</v>
      </c>
      <c r="AH151" t="s">
        <v>56</v>
      </c>
      <c r="AI151">
        <v>1</v>
      </c>
      <c r="AJ151" t="s">
        <v>1627</v>
      </c>
      <c r="AK151" t="s">
        <v>56</v>
      </c>
      <c r="AL151" t="s">
        <v>56</v>
      </c>
      <c r="AM151" t="s">
        <v>56</v>
      </c>
      <c r="AN151" t="s">
        <v>56</v>
      </c>
      <c r="AO151" t="s">
        <v>3888</v>
      </c>
      <c r="AP151" t="s">
        <v>3889</v>
      </c>
      <c r="AQ151" t="s">
        <v>3890</v>
      </c>
      <c r="AR151" t="s">
        <v>3891</v>
      </c>
      <c r="AS151" t="s">
        <v>3892</v>
      </c>
      <c r="AT151" t="s">
        <v>3893</v>
      </c>
      <c r="AU151" t="s">
        <v>3894</v>
      </c>
      <c r="AV151" t="s">
        <v>3895</v>
      </c>
      <c r="AW151" t="s">
        <v>3896</v>
      </c>
      <c r="AX151">
        <v>6</v>
      </c>
      <c r="AY151">
        <v>2</v>
      </c>
      <c r="AZ151" t="s">
        <v>3897</v>
      </c>
      <c r="BA151">
        <v>10</v>
      </c>
      <c r="BB151" t="s">
        <v>3898</v>
      </c>
      <c r="BC151">
        <v>2</v>
      </c>
      <c r="BD151">
        <v>5</v>
      </c>
      <c r="BE151" t="s">
        <v>3899</v>
      </c>
      <c r="BF151">
        <v>2</v>
      </c>
      <c r="BG151">
        <v>13</v>
      </c>
      <c r="BH151" t="s">
        <v>3900</v>
      </c>
      <c r="BI151" t="s">
        <v>4404</v>
      </c>
      <c r="BJ151">
        <v>1</v>
      </c>
      <c r="BK151" t="s">
        <v>3902</v>
      </c>
    </row>
    <row r="152" spans="1:63" x14ac:dyDescent="0.25">
      <c r="A152">
        <v>4215</v>
      </c>
      <c r="B152" t="str">
        <f>"20200127186017059748"</f>
        <v>20200127186017059748</v>
      </c>
      <c r="C152">
        <v>1</v>
      </c>
      <c r="D152">
        <v>1</v>
      </c>
      <c r="E152" t="s">
        <v>3886</v>
      </c>
      <c r="F152">
        <v>2</v>
      </c>
      <c r="G152">
        <v>0</v>
      </c>
      <c r="H152" t="s">
        <v>66</v>
      </c>
      <c r="I152">
        <v>0</v>
      </c>
      <c r="J152" t="s">
        <v>66</v>
      </c>
      <c r="K152">
        <v>1</v>
      </c>
      <c r="L152" t="s">
        <v>1627</v>
      </c>
      <c r="M152" t="s">
        <v>4189</v>
      </c>
      <c r="N152">
        <v>1</v>
      </c>
      <c r="O152" t="s">
        <v>1627</v>
      </c>
      <c r="P152" t="s">
        <v>4431</v>
      </c>
      <c r="Q152">
        <v>0</v>
      </c>
      <c r="R152" t="s">
        <v>66</v>
      </c>
      <c r="S152" t="s">
        <v>56</v>
      </c>
      <c r="T152" t="s">
        <v>56</v>
      </c>
      <c r="U152" t="s">
        <v>56</v>
      </c>
      <c r="V152" t="s">
        <v>56</v>
      </c>
      <c r="W152">
        <v>0</v>
      </c>
      <c r="X152" t="s">
        <v>66</v>
      </c>
      <c r="Y152" t="s">
        <v>56</v>
      </c>
      <c r="Z152">
        <v>0</v>
      </c>
      <c r="AA152" t="s">
        <v>66</v>
      </c>
      <c r="AB152" t="s">
        <v>56</v>
      </c>
      <c r="AC152">
        <v>0</v>
      </c>
      <c r="AD152" t="s">
        <v>66</v>
      </c>
      <c r="AE152" t="s">
        <v>56</v>
      </c>
      <c r="AF152">
        <v>0</v>
      </c>
      <c r="AG152" t="s">
        <v>66</v>
      </c>
      <c r="AH152" t="s">
        <v>56</v>
      </c>
      <c r="AI152">
        <v>1</v>
      </c>
      <c r="AJ152" t="s">
        <v>1627</v>
      </c>
      <c r="AK152" t="s">
        <v>56</v>
      </c>
      <c r="AL152" t="s">
        <v>56</v>
      </c>
      <c r="AM152" t="s">
        <v>56</v>
      </c>
      <c r="AN152" t="s">
        <v>56</v>
      </c>
      <c r="AO152" t="s">
        <v>4279</v>
      </c>
      <c r="AP152" t="s">
        <v>3889</v>
      </c>
      <c r="AQ152" t="s">
        <v>3890</v>
      </c>
      <c r="AR152" t="s">
        <v>3941</v>
      </c>
      <c r="AS152" t="s">
        <v>3942</v>
      </c>
      <c r="AT152" t="s">
        <v>4431</v>
      </c>
      <c r="AU152" t="s">
        <v>3894</v>
      </c>
      <c r="AV152" t="s">
        <v>3895</v>
      </c>
      <c r="AW152" t="s">
        <v>3896</v>
      </c>
      <c r="AX152">
        <v>24</v>
      </c>
      <c r="AY152">
        <v>2</v>
      </c>
      <c r="AZ152" t="s">
        <v>3897</v>
      </c>
      <c r="BA152">
        <v>10</v>
      </c>
      <c r="BB152" t="s">
        <v>3898</v>
      </c>
      <c r="BC152">
        <v>30</v>
      </c>
      <c r="BD152">
        <v>3</v>
      </c>
      <c r="BE152" t="s">
        <v>3911</v>
      </c>
      <c r="BF152">
        <v>1</v>
      </c>
      <c r="BG152">
        <v>13</v>
      </c>
      <c r="BH152" t="s">
        <v>3900</v>
      </c>
      <c r="BI152" t="s">
        <v>4432</v>
      </c>
      <c r="BJ152">
        <v>1</v>
      </c>
      <c r="BK152" t="s">
        <v>3902</v>
      </c>
    </row>
    <row r="153" spans="1:63" x14ac:dyDescent="0.25">
      <c r="A153">
        <v>4216</v>
      </c>
      <c r="B153" t="str">
        <f>"20200127158017059923"</f>
        <v>20200127158017059923</v>
      </c>
      <c r="C153">
        <v>1</v>
      </c>
      <c r="D153">
        <v>1</v>
      </c>
      <c r="E153" t="s">
        <v>3886</v>
      </c>
      <c r="F153">
        <v>2</v>
      </c>
      <c r="G153">
        <v>0</v>
      </c>
      <c r="H153" t="s">
        <v>66</v>
      </c>
      <c r="I153">
        <v>0</v>
      </c>
      <c r="J153" t="s">
        <v>66</v>
      </c>
      <c r="K153">
        <v>0</v>
      </c>
      <c r="L153" t="s">
        <v>66</v>
      </c>
      <c r="M153" t="s">
        <v>56</v>
      </c>
      <c r="N153">
        <v>0</v>
      </c>
      <c r="O153" t="s">
        <v>66</v>
      </c>
      <c r="P153" t="s">
        <v>56</v>
      </c>
      <c r="Q153">
        <v>0</v>
      </c>
      <c r="R153" t="s">
        <v>66</v>
      </c>
      <c r="S153" t="s">
        <v>56</v>
      </c>
      <c r="T153">
        <v>1</v>
      </c>
      <c r="U153" t="s">
        <v>1627</v>
      </c>
      <c r="V153" t="s">
        <v>56</v>
      </c>
      <c r="W153">
        <v>0</v>
      </c>
      <c r="X153" t="s">
        <v>66</v>
      </c>
      <c r="Y153" t="s">
        <v>56</v>
      </c>
      <c r="Z153">
        <v>0</v>
      </c>
      <c r="AA153" t="s">
        <v>66</v>
      </c>
      <c r="AB153" t="s">
        <v>56</v>
      </c>
      <c r="AC153">
        <v>1</v>
      </c>
      <c r="AD153" t="s">
        <v>1627</v>
      </c>
      <c r="AE153" t="s">
        <v>3887</v>
      </c>
      <c r="AF153">
        <v>0</v>
      </c>
      <c r="AG153" t="s">
        <v>66</v>
      </c>
      <c r="AH153" t="s">
        <v>56</v>
      </c>
      <c r="AI153">
        <v>1</v>
      </c>
      <c r="AJ153" t="s">
        <v>1627</v>
      </c>
      <c r="AK153" t="s">
        <v>56</v>
      </c>
      <c r="AL153" t="s">
        <v>56</v>
      </c>
      <c r="AM153" t="s">
        <v>56</v>
      </c>
      <c r="AN153" t="s">
        <v>56</v>
      </c>
      <c r="AO153" t="s">
        <v>4433</v>
      </c>
      <c r="AP153" t="s">
        <v>3889</v>
      </c>
      <c r="AQ153" t="s">
        <v>3890</v>
      </c>
      <c r="AR153" t="s">
        <v>3953</v>
      </c>
      <c r="AS153" t="s">
        <v>3954</v>
      </c>
      <c r="AT153" t="s">
        <v>4434</v>
      </c>
      <c r="AU153" t="s">
        <v>3894</v>
      </c>
      <c r="AV153" t="s">
        <v>3895</v>
      </c>
      <c r="AW153" t="s">
        <v>3896</v>
      </c>
      <c r="AX153">
        <v>12</v>
      </c>
      <c r="AY153">
        <v>2</v>
      </c>
      <c r="AZ153" t="s">
        <v>3897</v>
      </c>
      <c r="BA153">
        <v>10</v>
      </c>
      <c r="BB153" t="s">
        <v>3898</v>
      </c>
      <c r="BC153">
        <v>3</v>
      </c>
      <c r="BD153">
        <v>4</v>
      </c>
      <c r="BE153" t="s">
        <v>4302</v>
      </c>
      <c r="BF153">
        <v>3</v>
      </c>
      <c r="BG153">
        <v>13</v>
      </c>
      <c r="BH153" t="s">
        <v>3900</v>
      </c>
      <c r="BI153" t="s">
        <v>4435</v>
      </c>
      <c r="BJ153">
        <v>1</v>
      </c>
      <c r="BK153" t="s">
        <v>3902</v>
      </c>
    </row>
    <row r="154" spans="1:63" x14ac:dyDescent="0.25">
      <c r="A154">
        <v>4217</v>
      </c>
      <c r="B154" t="str">
        <f>"20200127197017060188"</f>
        <v>20200127197017060188</v>
      </c>
      <c r="C154">
        <v>1</v>
      </c>
      <c r="D154">
        <v>1</v>
      </c>
      <c r="E154" t="s">
        <v>3886</v>
      </c>
      <c r="F154">
        <v>1</v>
      </c>
      <c r="G154">
        <v>0</v>
      </c>
      <c r="H154" t="s">
        <v>66</v>
      </c>
      <c r="I154">
        <v>0</v>
      </c>
      <c r="J154" t="s">
        <v>66</v>
      </c>
      <c r="K154">
        <v>0</v>
      </c>
      <c r="L154" t="s">
        <v>66</v>
      </c>
      <c r="M154" t="s">
        <v>56</v>
      </c>
      <c r="N154">
        <v>0</v>
      </c>
      <c r="O154" t="s">
        <v>66</v>
      </c>
      <c r="P154" t="s">
        <v>56</v>
      </c>
      <c r="Q154">
        <v>0</v>
      </c>
      <c r="R154" t="s">
        <v>66</v>
      </c>
      <c r="S154" t="s">
        <v>56</v>
      </c>
      <c r="T154">
        <v>1</v>
      </c>
      <c r="U154" t="s">
        <v>1627</v>
      </c>
      <c r="V154" t="s">
        <v>56</v>
      </c>
      <c r="W154">
        <v>0</v>
      </c>
      <c r="X154" t="s">
        <v>66</v>
      </c>
      <c r="Y154" t="s">
        <v>56</v>
      </c>
      <c r="Z154">
        <v>0</v>
      </c>
      <c r="AA154" t="s">
        <v>66</v>
      </c>
      <c r="AB154" t="s">
        <v>56</v>
      </c>
      <c r="AC154">
        <v>1</v>
      </c>
      <c r="AD154" t="s">
        <v>1627</v>
      </c>
      <c r="AE154" t="s">
        <v>3887</v>
      </c>
      <c r="AF154">
        <v>0</v>
      </c>
      <c r="AG154" t="s">
        <v>66</v>
      </c>
      <c r="AH154" t="s">
        <v>56</v>
      </c>
      <c r="AI154">
        <v>1</v>
      </c>
      <c r="AJ154" t="s">
        <v>1627</v>
      </c>
      <c r="AK154" t="s">
        <v>56</v>
      </c>
      <c r="AL154" t="s">
        <v>56</v>
      </c>
      <c r="AM154" t="s">
        <v>56</v>
      </c>
      <c r="AN154" t="s">
        <v>56</v>
      </c>
      <c r="AO154" t="s">
        <v>4050</v>
      </c>
      <c r="AP154" t="s">
        <v>3962</v>
      </c>
      <c r="AQ154" t="s">
        <v>3963</v>
      </c>
      <c r="AR154" t="s">
        <v>3941</v>
      </c>
      <c r="AS154" t="s">
        <v>3942</v>
      </c>
      <c r="AT154" t="s">
        <v>4436</v>
      </c>
      <c r="AU154" t="s">
        <v>3944</v>
      </c>
      <c r="AV154" t="s">
        <v>3945</v>
      </c>
      <c r="AW154" t="s">
        <v>3946</v>
      </c>
      <c r="AX154">
        <v>8</v>
      </c>
      <c r="AY154">
        <v>2</v>
      </c>
      <c r="AZ154" t="s">
        <v>3897</v>
      </c>
      <c r="BA154">
        <v>10</v>
      </c>
      <c r="BB154" t="s">
        <v>3898</v>
      </c>
      <c r="BC154">
        <v>3</v>
      </c>
      <c r="BD154">
        <v>5</v>
      </c>
      <c r="BE154" t="s">
        <v>3899</v>
      </c>
      <c r="BF154">
        <v>270</v>
      </c>
      <c r="BG154">
        <v>66</v>
      </c>
      <c r="BH154" t="s">
        <v>3965</v>
      </c>
      <c r="BI154" t="s">
        <v>4437</v>
      </c>
      <c r="BJ154">
        <v>1</v>
      </c>
      <c r="BK154" t="s">
        <v>3902</v>
      </c>
    </row>
    <row r="155" spans="1:63" x14ac:dyDescent="0.25">
      <c r="A155">
        <v>4218</v>
      </c>
      <c r="B155" t="str">
        <f>"20200127170017060361"</f>
        <v>20200127170017060361</v>
      </c>
      <c r="C155">
        <v>1</v>
      </c>
      <c r="D155">
        <v>1</v>
      </c>
      <c r="E155" t="s">
        <v>3886</v>
      </c>
      <c r="F155">
        <v>1</v>
      </c>
      <c r="G155">
        <v>0</v>
      </c>
      <c r="H155" t="s">
        <v>66</v>
      </c>
      <c r="I155">
        <v>0</v>
      </c>
      <c r="J155" t="s">
        <v>66</v>
      </c>
      <c r="K155">
        <v>0</v>
      </c>
      <c r="L155" t="s">
        <v>66</v>
      </c>
      <c r="M155" t="s">
        <v>56</v>
      </c>
      <c r="N155">
        <v>0</v>
      </c>
      <c r="O155" t="s">
        <v>66</v>
      </c>
      <c r="P155" t="s">
        <v>56</v>
      </c>
      <c r="Q155">
        <v>0</v>
      </c>
      <c r="R155" t="s">
        <v>66</v>
      </c>
      <c r="S155" t="s">
        <v>56</v>
      </c>
      <c r="T155">
        <v>1</v>
      </c>
      <c r="U155" t="s">
        <v>1627</v>
      </c>
      <c r="V155" t="s">
        <v>56</v>
      </c>
      <c r="W155">
        <v>0</v>
      </c>
      <c r="X155" t="s">
        <v>66</v>
      </c>
      <c r="Y155" t="s">
        <v>56</v>
      </c>
      <c r="Z155">
        <v>0</v>
      </c>
      <c r="AA155" t="s">
        <v>66</v>
      </c>
      <c r="AB155" t="s">
        <v>56</v>
      </c>
      <c r="AC155">
        <v>1</v>
      </c>
      <c r="AD155" t="s">
        <v>1627</v>
      </c>
      <c r="AE155" t="s">
        <v>3887</v>
      </c>
      <c r="AF155">
        <v>0</v>
      </c>
      <c r="AG155" t="s">
        <v>66</v>
      </c>
      <c r="AH155" t="s">
        <v>56</v>
      </c>
      <c r="AI155">
        <v>1</v>
      </c>
      <c r="AJ155" t="s">
        <v>1627</v>
      </c>
      <c r="AK155" t="s">
        <v>56</v>
      </c>
      <c r="AL155" t="s">
        <v>56</v>
      </c>
      <c r="AM155" t="s">
        <v>56</v>
      </c>
      <c r="AN155" t="s">
        <v>56</v>
      </c>
      <c r="AO155" t="s">
        <v>4101</v>
      </c>
      <c r="AP155" t="s">
        <v>3939</v>
      </c>
      <c r="AQ155" t="s">
        <v>3940</v>
      </c>
      <c r="AR155" t="s">
        <v>3941</v>
      </c>
      <c r="AS155" t="s">
        <v>3942</v>
      </c>
      <c r="AT155" t="s">
        <v>4436</v>
      </c>
      <c r="AU155" t="s">
        <v>3944</v>
      </c>
      <c r="AV155" t="s">
        <v>3945</v>
      </c>
      <c r="AW155" t="s">
        <v>3946</v>
      </c>
      <c r="AX155">
        <v>12</v>
      </c>
      <c r="AY155">
        <v>2</v>
      </c>
      <c r="AZ155" t="s">
        <v>3897</v>
      </c>
      <c r="BA155">
        <v>10</v>
      </c>
      <c r="BB155" t="s">
        <v>3898</v>
      </c>
      <c r="BC155">
        <v>3</v>
      </c>
      <c r="BD155">
        <v>5</v>
      </c>
      <c r="BE155" t="s">
        <v>3899</v>
      </c>
      <c r="BF155">
        <v>180</v>
      </c>
      <c r="BG155">
        <v>14</v>
      </c>
      <c r="BH155" t="s">
        <v>3947</v>
      </c>
      <c r="BI155" t="s">
        <v>4438</v>
      </c>
      <c r="BJ155">
        <v>1</v>
      </c>
      <c r="BK155" t="s">
        <v>3902</v>
      </c>
    </row>
    <row r="156" spans="1:63" x14ac:dyDescent="0.25">
      <c r="A156">
        <v>4219</v>
      </c>
      <c r="B156" t="str">
        <f>"20200127161017060627"</f>
        <v>20200127161017060627</v>
      </c>
      <c r="C156">
        <v>1</v>
      </c>
      <c r="D156">
        <v>1</v>
      </c>
      <c r="E156" t="s">
        <v>3886</v>
      </c>
      <c r="F156">
        <v>2</v>
      </c>
      <c r="G156">
        <v>0</v>
      </c>
      <c r="H156" t="s">
        <v>66</v>
      </c>
      <c r="I156">
        <v>0</v>
      </c>
      <c r="J156" t="s">
        <v>66</v>
      </c>
      <c r="K156">
        <v>0</v>
      </c>
      <c r="L156" t="s">
        <v>66</v>
      </c>
      <c r="M156" t="s">
        <v>56</v>
      </c>
      <c r="N156">
        <v>0</v>
      </c>
      <c r="O156" t="s">
        <v>66</v>
      </c>
      <c r="P156" t="s">
        <v>56</v>
      </c>
      <c r="Q156">
        <v>0</v>
      </c>
      <c r="R156" t="s">
        <v>66</v>
      </c>
      <c r="S156" t="s">
        <v>56</v>
      </c>
      <c r="T156">
        <v>1</v>
      </c>
      <c r="U156" t="s">
        <v>1627</v>
      </c>
      <c r="V156" t="s">
        <v>4019</v>
      </c>
      <c r="W156">
        <v>1</v>
      </c>
      <c r="X156" t="s">
        <v>1627</v>
      </c>
      <c r="Y156" t="s">
        <v>4439</v>
      </c>
      <c r="Z156">
        <v>0</v>
      </c>
      <c r="AA156" t="s">
        <v>66</v>
      </c>
      <c r="AB156" t="s">
        <v>56</v>
      </c>
      <c r="AC156">
        <v>0</v>
      </c>
      <c r="AD156" t="s">
        <v>66</v>
      </c>
      <c r="AE156" t="s">
        <v>56</v>
      </c>
      <c r="AF156">
        <v>0</v>
      </c>
      <c r="AG156" t="s">
        <v>66</v>
      </c>
      <c r="AH156" t="s">
        <v>56</v>
      </c>
      <c r="AI156">
        <v>1</v>
      </c>
      <c r="AJ156" t="s">
        <v>1627</v>
      </c>
      <c r="AK156" t="s">
        <v>56</v>
      </c>
      <c r="AL156" t="s">
        <v>56</v>
      </c>
      <c r="AM156" t="s">
        <v>56</v>
      </c>
      <c r="AN156" t="s">
        <v>56</v>
      </c>
      <c r="AO156" t="s">
        <v>4021</v>
      </c>
      <c r="AP156" t="s">
        <v>3962</v>
      </c>
      <c r="AQ156" t="s">
        <v>3963</v>
      </c>
      <c r="AR156" t="s">
        <v>3941</v>
      </c>
      <c r="AS156" t="s">
        <v>3942</v>
      </c>
      <c r="AT156" t="s">
        <v>4440</v>
      </c>
      <c r="AU156" t="s">
        <v>3944</v>
      </c>
      <c r="AV156" t="s">
        <v>3945</v>
      </c>
      <c r="AW156" t="s">
        <v>3946</v>
      </c>
      <c r="AX156">
        <v>7</v>
      </c>
      <c r="AY156">
        <v>3</v>
      </c>
      <c r="AZ156" t="s">
        <v>3911</v>
      </c>
      <c r="BA156">
        <v>10</v>
      </c>
      <c r="BB156" t="s">
        <v>3898</v>
      </c>
      <c r="BC156">
        <v>90</v>
      </c>
      <c r="BD156">
        <v>3</v>
      </c>
      <c r="BE156" t="s">
        <v>3911</v>
      </c>
      <c r="BF156">
        <v>12</v>
      </c>
      <c r="BG156">
        <v>66</v>
      </c>
      <c r="BH156" t="s">
        <v>3965</v>
      </c>
      <c r="BI156" t="s">
        <v>4441</v>
      </c>
      <c r="BJ156">
        <v>1</v>
      </c>
      <c r="BK156" t="s">
        <v>3902</v>
      </c>
    </row>
    <row r="157" spans="1:63" x14ac:dyDescent="0.25">
      <c r="A157">
        <v>4253</v>
      </c>
      <c r="B157" t="str">
        <f>"20200128195017069160"</f>
        <v>20200128195017069160</v>
      </c>
      <c r="C157">
        <v>1</v>
      </c>
      <c r="D157">
        <v>1</v>
      </c>
      <c r="E157" t="s">
        <v>3886</v>
      </c>
      <c r="F157">
        <v>2</v>
      </c>
      <c r="G157">
        <v>0</v>
      </c>
      <c r="H157" t="s">
        <v>66</v>
      </c>
      <c r="I157">
        <v>0</v>
      </c>
      <c r="J157" t="s">
        <v>66</v>
      </c>
      <c r="K157">
        <v>0</v>
      </c>
      <c r="L157" t="s">
        <v>66</v>
      </c>
      <c r="M157" t="s">
        <v>56</v>
      </c>
      <c r="N157">
        <v>0</v>
      </c>
      <c r="O157" t="s">
        <v>66</v>
      </c>
      <c r="P157" t="s">
        <v>56</v>
      </c>
      <c r="Q157">
        <v>0</v>
      </c>
      <c r="R157" t="s">
        <v>66</v>
      </c>
      <c r="S157" t="s">
        <v>56</v>
      </c>
      <c r="T157">
        <v>1</v>
      </c>
      <c r="U157" t="s">
        <v>1627</v>
      </c>
      <c r="V157" t="s">
        <v>56</v>
      </c>
      <c r="W157">
        <v>0</v>
      </c>
      <c r="X157" t="s">
        <v>66</v>
      </c>
      <c r="Y157" t="s">
        <v>56</v>
      </c>
      <c r="Z157">
        <v>0</v>
      </c>
      <c r="AA157" t="s">
        <v>66</v>
      </c>
      <c r="AB157" t="s">
        <v>56</v>
      </c>
      <c r="AC157">
        <v>1</v>
      </c>
      <c r="AD157" t="s">
        <v>1627</v>
      </c>
      <c r="AE157" t="s">
        <v>3887</v>
      </c>
      <c r="AF157">
        <v>0</v>
      </c>
      <c r="AG157" t="s">
        <v>66</v>
      </c>
      <c r="AH157" t="s">
        <v>56</v>
      </c>
      <c r="AI157">
        <v>1</v>
      </c>
      <c r="AJ157" t="s">
        <v>1627</v>
      </c>
      <c r="AK157">
        <v>0</v>
      </c>
      <c r="AL157" t="s">
        <v>66</v>
      </c>
      <c r="AM157" t="s">
        <v>56</v>
      </c>
      <c r="AN157" t="s">
        <v>56</v>
      </c>
      <c r="AO157" t="s">
        <v>4442</v>
      </c>
      <c r="AP157" t="s">
        <v>3962</v>
      </c>
      <c r="AQ157" t="s">
        <v>3963</v>
      </c>
      <c r="AR157" t="s">
        <v>3941</v>
      </c>
      <c r="AS157" t="s">
        <v>3942</v>
      </c>
      <c r="AT157" t="s">
        <v>4443</v>
      </c>
      <c r="AU157" t="s">
        <v>3944</v>
      </c>
      <c r="AV157" t="s">
        <v>3945</v>
      </c>
      <c r="AW157" t="s">
        <v>3946</v>
      </c>
      <c r="AX157">
        <v>90</v>
      </c>
      <c r="AY157">
        <v>3</v>
      </c>
      <c r="AZ157" t="s">
        <v>3911</v>
      </c>
      <c r="BA157">
        <v>10</v>
      </c>
      <c r="BB157" t="s">
        <v>3898</v>
      </c>
      <c r="BC157">
        <v>3</v>
      </c>
      <c r="BD157">
        <v>5</v>
      </c>
      <c r="BE157" t="s">
        <v>3899</v>
      </c>
      <c r="BF157">
        <v>90</v>
      </c>
      <c r="BG157">
        <v>66</v>
      </c>
      <c r="BH157" t="s">
        <v>3965</v>
      </c>
      <c r="BI157" t="s">
        <v>4444</v>
      </c>
      <c r="BJ157">
        <v>1</v>
      </c>
      <c r="BK157" t="s">
        <v>3902</v>
      </c>
    </row>
    <row r="158" spans="1:63" x14ac:dyDescent="0.25">
      <c r="A158">
        <v>4220</v>
      </c>
      <c r="B158" t="str">
        <f>"20200127147017061501"</f>
        <v>20200127147017061501</v>
      </c>
      <c r="C158">
        <v>1</v>
      </c>
      <c r="D158">
        <v>1</v>
      </c>
      <c r="E158" t="s">
        <v>3886</v>
      </c>
      <c r="F158">
        <v>2</v>
      </c>
      <c r="G158">
        <v>0</v>
      </c>
      <c r="H158" t="s">
        <v>66</v>
      </c>
      <c r="I158">
        <v>0</v>
      </c>
      <c r="J158" t="s">
        <v>66</v>
      </c>
      <c r="K158">
        <v>0</v>
      </c>
      <c r="L158" t="s">
        <v>66</v>
      </c>
      <c r="M158" t="s">
        <v>56</v>
      </c>
      <c r="N158">
        <v>0</v>
      </c>
      <c r="O158" t="s">
        <v>66</v>
      </c>
      <c r="P158" t="s">
        <v>56</v>
      </c>
      <c r="Q158">
        <v>0</v>
      </c>
      <c r="R158" t="s">
        <v>66</v>
      </c>
      <c r="S158" t="s">
        <v>56</v>
      </c>
      <c r="T158">
        <v>1</v>
      </c>
      <c r="U158" t="s">
        <v>1627</v>
      </c>
      <c r="V158" t="s">
        <v>56</v>
      </c>
      <c r="W158">
        <v>0</v>
      </c>
      <c r="X158" t="s">
        <v>66</v>
      </c>
      <c r="Y158" t="s">
        <v>56</v>
      </c>
      <c r="Z158">
        <v>0</v>
      </c>
      <c r="AA158" t="s">
        <v>66</v>
      </c>
      <c r="AB158" t="s">
        <v>56</v>
      </c>
      <c r="AC158">
        <v>1</v>
      </c>
      <c r="AD158" t="s">
        <v>1627</v>
      </c>
      <c r="AE158" t="s">
        <v>3887</v>
      </c>
      <c r="AF158">
        <v>0</v>
      </c>
      <c r="AG158" t="s">
        <v>66</v>
      </c>
      <c r="AH158" t="s">
        <v>56</v>
      </c>
      <c r="AI158">
        <v>1</v>
      </c>
      <c r="AJ158" t="s">
        <v>1627</v>
      </c>
      <c r="AK158" t="s">
        <v>56</v>
      </c>
      <c r="AL158" t="s">
        <v>56</v>
      </c>
      <c r="AM158" t="s">
        <v>56</v>
      </c>
      <c r="AN158" t="s">
        <v>56</v>
      </c>
      <c r="AO158" t="s">
        <v>4445</v>
      </c>
      <c r="AP158" t="s">
        <v>3962</v>
      </c>
      <c r="AQ158" t="s">
        <v>3963</v>
      </c>
      <c r="AR158" t="s">
        <v>3941</v>
      </c>
      <c r="AS158" t="s">
        <v>3942</v>
      </c>
      <c r="AT158" t="s">
        <v>4446</v>
      </c>
      <c r="AU158">
        <v>9000</v>
      </c>
      <c r="AV158" t="s">
        <v>3956</v>
      </c>
      <c r="AW158" t="s">
        <v>3956</v>
      </c>
      <c r="AX158">
        <v>12</v>
      </c>
      <c r="AY158">
        <v>2</v>
      </c>
      <c r="AZ158" t="s">
        <v>3897</v>
      </c>
      <c r="BA158">
        <v>10</v>
      </c>
      <c r="BB158" t="s">
        <v>3898</v>
      </c>
      <c r="BC158">
        <v>90</v>
      </c>
      <c r="BD158">
        <v>2</v>
      </c>
      <c r="BE158" t="s">
        <v>3897</v>
      </c>
      <c r="BF158">
        <v>180</v>
      </c>
      <c r="BG158">
        <v>66</v>
      </c>
      <c r="BH158" t="s">
        <v>3965</v>
      </c>
      <c r="BI158" t="s">
        <v>4447</v>
      </c>
      <c r="BJ158">
        <v>1</v>
      </c>
      <c r="BK158" t="s">
        <v>3902</v>
      </c>
    </row>
    <row r="159" spans="1:63" x14ac:dyDescent="0.25">
      <c r="A159">
        <v>4252</v>
      </c>
      <c r="B159" t="str">
        <f>"20200128142017068147"</f>
        <v>20200128142017068147</v>
      </c>
      <c r="C159">
        <v>1</v>
      </c>
      <c r="D159">
        <v>1</v>
      </c>
      <c r="E159" t="s">
        <v>3886</v>
      </c>
      <c r="F159">
        <v>1</v>
      </c>
      <c r="G159">
        <v>0</v>
      </c>
      <c r="H159" t="s">
        <v>66</v>
      </c>
      <c r="I159">
        <v>0</v>
      </c>
      <c r="J159" t="s">
        <v>66</v>
      </c>
      <c r="K159">
        <v>0</v>
      </c>
      <c r="L159" t="s">
        <v>66</v>
      </c>
      <c r="M159" t="s">
        <v>56</v>
      </c>
      <c r="N159">
        <v>0</v>
      </c>
      <c r="O159" t="s">
        <v>66</v>
      </c>
      <c r="P159" t="s">
        <v>56</v>
      </c>
      <c r="Q159">
        <v>0</v>
      </c>
      <c r="R159" t="s">
        <v>66</v>
      </c>
      <c r="S159" t="s">
        <v>56</v>
      </c>
      <c r="T159">
        <v>1</v>
      </c>
      <c r="U159" t="s">
        <v>1627</v>
      </c>
      <c r="V159" t="s">
        <v>56</v>
      </c>
      <c r="W159">
        <v>0</v>
      </c>
      <c r="X159" t="s">
        <v>66</v>
      </c>
      <c r="Y159" t="s">
        <v>56</v>
      </c>
      <c r="Z159">
        <v>0</v>
      </c>
      <c r="AA159" t="s">
        <v>66</v>
      </c>
      <c r="AB159" t="s">
        <v>56</v>
      </c>
      <c r="AC159">
        <v>1</v>
      </c>
      <c r="AD159" t="s">
        <v>1627</v>
      </c>
      <c r="AE159" t="s">
        <v>3887</v>
      </c>
      <c r="AF159">
        <v>0</v>
      </c>
      <c r="AG159" t="s">
        <v>66</v>
      </c>
      <c r="AH159" t="s">
        <v>56</v>
      </c>
      <c r="AI159">
        <v>1</v>
      </c>
      <c r="AJ159" t="s">
        <v>1627</v>
      </c>
      <c r="AK159" t="s">
        <v>56</v>
      </c>
      <c r="AL159" t="s">
        <v>56</v>
      </c>
      <c r="AM159" t="s">
        <v>56</v>
      </c>
      <c r="AN159" t="s">
        <v>56</v>
      </c>
      <c r="AO159" t="s">
        <v>4282</v>
      </c>
      <c r="AP159" t="s">
        <v>4283</v>
      </c>
      <c r="AQ159" t="s">
        <v>4284</v>
      </c>
      <c r="AR159" t="s">
        <v>3891</v>
      </c>
      <c r="AS159" t="s">
        <v>3892</v>
      </c>
      <c r="AT159" t="s">
        <v>4448</v>
      </c>
      <c r="AU159" t="s">
        <v>3894</v>
      </c>
      <c r="AV159" t="s">
        <v>3895</v>
      </c>
      <c r="AW159" t="s">
        <v>3896</v>
      </c>
      <c r="AX159">
        <v>4</v>
      </c>
      <c r="AY159">
        <v>2</v>
      </c>
      <c r="AZ159" t="s">
        <v>3897</v>
      </c>
      <c r="BA159">
        <v>10</v>
      </c>
      <c r="BB159" t="s">
        <v>3898</v>
      </c>
      <c r="BC159">
        <v>15</v>
      </c>
      <c r="BD159">
        <v>3</v>
      </c>
      <c r="BE159" t="s">
        <v>3911</v>
      </c>
      <c r="BF159">
        <v>2</v>
      </c>
      <c r="BG159">
        <v>13</v>
      </c>
      <c r="BH159" t="s">
        <v>3900</v>
      </c>
      <c r="BI159" t="s">
        <v>4449</v>
      </c>
      <c r="BJ159">
        <v>1</v>
      </c>
      <c r="BK159" t="s">
        <v>3902</v>
      </c>
    </row>
    <row r="160" spans="1:63" x14ac:dyDescent="0.25">
      <c r="A160">
        <v>4254</v>
      </c>
      <c r="B160" t="str">
        <f>"20200128196017069958"</f>
        <v>20200128196017069958</v>
      </c>
      <c r="C160">
        <v>1</v>
      </c>
      <c r="D160">
        <v>1</v>
      </c>
      <c r="E160" t="s">
        <v>3886</v>
      </c>
      <c r="F160">
        <v>2</v>
      </c>
      <c r="G160">
        <v>0</v>
      </c>
      <c r="H160" t="s">
        <v>66</v>
      </c>
      <c r="I160">
        <v>0</v>
      </c>
      <c r="J160" t="s">
        <v>66</v>
      </c>
      <c r="K160">
        <v>1</v>
      </c>
      <c r="L160" t="s">
        <v>1627</v>
      </c>
      <c r="M160" t="s">
        <v>4450</v>
      </c>
      <c r="N160">
        <v>1</v>
      </c>
      <c r="O160" t="s">
        <v>1627</v>
      </c>
      <c r="P160" t="s">
        <v>4451</v>
      </c>
      <c r="Q160">
        <v>0</v>
      </c>
      <c r="R160" t="s">
        <v>66</v>
      </c>
      <c r="S160" t="s">
        <v>56</v>
      </c>
      <c r="T160" t="s">
        <v>56</v>
      </c>
      <c r="U160" t="s">
        <v>56</v>
      </c>
      <c r="V160" t="s">
        <v>56</v>
      </c>
      <c r="W160">
        <v>0</v>
      </c>
      <c r="X160" t="s">
        <v>66</v>
      </c>
      <c r="Y160" t="s">
        <v>56</v>
      </c>
      <c r="Z160">
        <v>0</v>
      </c>
      <c r="AA160" t="s">
        <v>66</v>
      </c>
      <c r="AB160" t="s">
        <v>56</v>
      </c>
      <c r="AC160">
        <v>0</v>
      </c>
      <c r="AD160" t="s">
        <v>66</v>
      </c>
      <c r="AE160" t="s">
        <v>56</v>
      </c>
      <c r="AF160">
        <v>0</v>
      </c>
      <c r="AG160" t="s">
        <v>66</v>
      </c>
      <c r="AH160" t="s">
        <v>56</v>
      </c>
      <c r="AI160">
        <v>1</v>
      </c>
      <c r="AJ160" t="s">
        <v>1627</v>
      </c>
      <c r="AK160" t="s">
        <v>56</v>
      </c>
      <c r="AL160" t="s">
        <v>56</v>
      </c>
      <c r="AM160" t="s">
        <v>56</v>
      </c>
      <c r="AN160" t="s">
        <v>56</v>
      </c>
      <c r="AO160" t="s">
        <v>4452</v>
      </c>
      <c r="AP160" t="s">
        <v>3962</v>
      </c>
      <c r="AQ160" t="s">
        <v>3963</v>
      </c>
      <c r="AR160" t="s">
        <v>3941</v>
      </c>
      <c r="AS160" t="s">
        <v>3942</v>
      </c>
      <c r="AT160" t="s">
        <v>4453</v>
      </c>
      <c r="AU160" t="s">
        <v>3944</v>
      </c>
      <c r="AV160" t="s">
        <v>3945</v>
      </c>
      <c r="AW160" t="s">
        <v>3946</v>
      </c>
      <c r="AX160">
        <v>24</v>
      </c>
      <c r="AY160">
        <v>2</v>
      </c>
      <c r="AZ160" t="s">
        <v>3897</v>
      </c>
      <c r="BA160">
        <v>10</v>
      </c>
      <c r="BB160" t="s">
        <v>3898</v>
      </c>
      <c r="BC160">
        <v>180</v>
      </c>
      <c r="BD160">
        <v>3</v>
      </c>
      <c r="BE160" t="s">
        <v>3911</v>
      </c>
      <c r="BF160">
        <v>180</v>
      </c>
      <c r="BG160">
        <v>66</v>
      </c>
      <c r="BH160" t="s">
        <v>3965</v>
      </c>
      <c r="BI160" t="s">
        <v>4454</v>
      </c>
      <c r="BJ160">
        <v>1</v>
      </c>
      <c r="BK160" t="s">
        <v>3902</v>
      </c>
    </row>
    <row r="161" spans="1:63" x14ac:dyDescent="0.25">
      <c r="A161">
        <v>4255</v>
      </c>
      <c r="B161" t="str">
        <f>"20200128147017070205"</f>
        <v>20200128147017070205</v>
      </c>
      <c r="C161">
        <v>1</v>
      </c>
      <c r="D161">
        <v>1</v>
      </c>
      <c r="E161" t="s">
        <v>3886</v>
      </c>
      <c r="F161">
        <v>2</v>
      </c>
      <c r="G161">
        <v>0</v>
      </c>
      <c r="H161" t="s">
        <v>66</v>
      </c>
      <c r="I161">
        <v>0</v>
      </c>
      <c r="J161" t="s">
        <v>66</v>
      </c>
      <c r="K161">
        <v>1</v>
      </c>
      <c r="L161" t="s">
        <v>1627</v>
      </c>
      <c r="M161" t="s">
        <v>4030</v>
      </c>
      <c r="N161">
        <v>1</v>
      </c>
      <c r="O161" t="s">
        <v>1627</v>
      </c>
      <c r="P161" t="s">
        <v>4455</v>
      </c>
      <c r="Q161">
        <v>0</v>
      </c>
      <c r="R161" t="s">
        <v>66</v>
      </c>
      <c r="S161" t="s">
        <v>56</v>
      </c>
      <c r="T161" t="s">
        <v>56</v>
      </c>
      <c r="U161" t="s">
        <v>56</v>
      </c>
      <c r="V161" t="s">
        <v>56</v>
      </c>
      <c r="W161">
        <v>0</v>
      </c>
      <c r="X161" t="s">
        <v>66</v>
      </c>
      <c r="Y161" t="s">
        <v>56</v>
      </c>
      <c r="Z161">
        <v>0</v>
      </c>
      <c r="AA161" t="s">
        <v>66</v>
      </c>
      <c r="AB161" t="s">
        <v>56</v>
      </c>
      <c r="AC161">
        <v>0</v>
      </c>
      <c r="AD161" t="s">
        <v>66</v>
      </c>
      <c r="AE161" t="s">
        <v>56</v>
      </c>
      <c r="AF161">
        <v>0</v>
      </c>
      <c r="AG161" t="s">
        <v>66</v>
      </c>
      <c r="AH161" t="s">
        <v>56</v>
      </c>
      <c r="AI161">
        <v>1</v>
      </c>
      <c r="AJ161" t="s">
        <v>1627</v>
      </c>
      <c r="AK161" t="s">
        <v>56</v>
      </c>
      <c r="AL161" t="s">
        <v>56</v>
      </c>
      <c r="AM161" t="s">
        <v>56</v>
      </c>
      <c r="AN161" t="s">
        <v>56</v>
      </c>
      <c r="AO161" t="s">
        <v>4456</v>
      </c>
      <c r="AP161" t="s">
        <v>3962</v>
      </c>
      <c r="AQ161" t="s">
        <v>3963</v>
      </c>
      <c r="AR161" t="s">
        <v>3941</v>
      </c>
      <c r="AS161" t="s">
        <v>3942</v>
      </c>
      <c r="AT161" t="s">
        <v>4457</v>
      </c>
      <c r="AU161" t="s">
        <v>3944</v>
      </c>
      <c r="AV161" t="s">
        <v>3945</v>
      </c>
      <c r="AW161" t="s">
        <v>3946</v>
      </c>
      <c r="AX161">
        <v>24</v>
      </c>
      <c r="AY161">
        <v>2</v>
      </c>
      <c r="AZ161" t="s">
        <v>3897</v>
      </c>
      <c r="BA161">
        <v>10</v>
      </c>
      <c r="BB161" t="s">
        <v>3898</v>
      </c>
      <c r="BC161">
        <v>10</v>
      </c>
      <c r="BD161">
        <v>3</v>
      </c>
      <c r="BE161" t="s">
        <v>3911</v>
      </c>
      <c r="BF161">
        <v>10</v>
      </c>
      <c r="BG161">
        <v>66</v>
      </c>
      <c r="BH161" t="s">
        <v>3965</v>
      </c>
      <c r="BI161" t="s">
        <v>4458</v>
      </c>
      <c r="BJ161">
        <v>1</v>
      </c>
      <c r="BK161" t="s">
        <v>3902</v>
      </c>
    </row>
    <row r="162" spans="1:63" x14ac:dyDescent="0.25">
      <c r="A162">
        <v>4256</v>
      </c>
      <c r="B162" t="str">
        <f>"20200128113017070601"</f>
        <v>20200128113017070601</v>
      </c>
      <c r="C162">
        <v>1</v>
      </c>
      <c r="D162">
        <v>1</v>
      </c>
      <c r="E162" t="s">
        <v>3886</v>
      </c>
      <c r="F162">
        <v>2</v>
      </c>
      <c r="G162">
        <v>0</v>
      </c>
      <c r="H162" t="s">
        <v>66</v>
      </c>
      <c r="I162">
        <v>0</v>
      </c>
      <c r="J162" t="s">
        <v>66</v>
      </c>
      <c r="K162">
        <v>1</v>
      </c>
      <c r="L162" t="s">
        <v>1627</v>
      </c>
      <c r="M162" t="s">
        <v>3915</v>
      </c>
      <c r="N162">
        <v>1</v>
      </c>
      <c r="O162" t="s">
        <v>1627</v>
      </c>
      <c r="P162" t="s">
        <v>4459</v>
      </c>
      <c r="Q162">
        <v>0</v>
      </c>
      <c r="R162" t="s">
        <v>66</v>
      </c>
      <c r="S162" t="s">
        <v>56</v>
      </c>
      <c r="T162" t="s">
        <v>56</v>
      </c>
      <c r="U162" t="s">
        <v>56</v>
      </c>
      <c r="V162" t="s">
        <v>56</v>
      </c>
      <c r="W162">
        <v>0</v>
      </c>
      <c r="X162" t="s">
        <v>66</v>
      </c>
      <c r="Y162" t="s">
        <v>56</v>
      </c>
      <c r="Z162">
        <v>0</v>
      </c>
      <c r="AA162" t="s">
        <v>66</v>
      </c>
      <c r="AB162" t="s">
        <v>56</v>
      </c>
      <c r="AC162">
        <v>0</v>
      </c>
      <c r="AD162" t="s">
        <v>66</v>
      </c>
      <c r="AE162" t="s">
        <v>56</v>
      </c>
      <c r="AF162">
        <v>0</v>
      </c>
      <c r="AG162" t="s">
        <v>66</v>
      </c>
      <c r="AH162" t="s">
        <v>56</v>
      </c>
      <c r="AI162">
        <v>1</v>
      </c>
      <c r="AJ162" t="s">
        <v>1627</v>
      </c>
      <c r="AK162" t="s">
        <v>56</v>
      </c>
      <c r="AL162" t="s">
        <v>56</v>
      </c>
      <c r="AM162" t="s">
        <v>56</v>
      </c>
      <c r="AN162" t="s">
        <v>56</v>
      </c>
      <c r="AO162" t="s">
        <v>4460</v>
      </c>
      <c r="AP162" t="s">
        <v>3939</v>
      </c>
      <c r="AQ162" t="s">
        <v>3940</v>
      </c>
      <c r="AR162" t="s">
        <v>3920</v>
      </c>
      <c r="AS162" t="s">
        <v>3921</v>
      </c>
      <c r="AT162" t="s">
        <v>4461</v>
      </c>
      <c r="AU162">
        <v>9000</v>
      </c>
      <c r="AV162" t="s">
        <v>3956</v>
      </c>
      <c r="AW162" t="s">
        <v>3956</v>
      </c>
      <c r="AX162">
        <v>24</v>
      </c>
      <c r="AY162">
        <v>2</v>
      </c>
      <c r="AZ162" t="s">
        <v>3897</v>
      </c>
      <c r="BA162">
        <v>10</v>
      </c>
      <c r="BB162" t="s">
        <v>3898</v>
      </c>
      <c r="BC162">
        <v>90</v>
      </c>
      <c r="BD162">
        <v>3</v>
      </c>
      <c r="BE162" t="s">
        <v>3911</v>
      </c>
      <c r="BF162">
        <v>90</v>
      </c>
      <c r="BG162">
        <v>14</v>
      </c>
      <c r="BH162" t="s">
        <v>3947</v>
      </c>
      <c r="BI162" t="s">
        <v>4462</v>
      </c>
      <c r="BJ162">
        <v>1</v>
      </c>
      <c r="BK162" t="s">
        <v>3902</v>
      </c>
    </row>
    <row r="163" spans="1:63" x14ac:dyDescent="0.25">
      <c r="A163">
        <v>4257</v>
      </c>
      <c r="B163" t="str">
        <f>"20200128111017071351"</f>
        <v>20200128111017071351</v>
      </c>
      <c r="C163">
        <v>1</v>
      </c>
      <c r="D163">
        <v>1</v>
      </c>
      <c r="E163" t="s">
        <v>3886</v>
      </c>
      <c r="F163">
        <v>2</v>
      </c>
      <c r="G163">
        <v>0</v>
      </c>
      <c r="H163" t="s">
        <v>66</v>
      </c>
      <c r="I163">
        <v>0</v>
      </c>
      <c r="J163" t="s">
        <v>66</v>
      </c>
      <c r="K163">
        <v>1</v>
      </c>
      <c r="L163" t="s">
        <v>1627</v>
      </c>
      <c r="M163" t="s">
        <v>4463</v>
      </c>
      <c r="N163">
        <v>1</v>
      </c>
      <c r="O163" t="s">
        <v>1627</v>
      </c>
      <c r="P163" t="s">
        <v>4464</v>
      </c>
      <c r="Q163">
        <v>0</v>
      </c>
      <c r="R163" t="s">
        <v>66</v>
      </c>
      <c r="S163" t="s">
        <v>56</v>
      </c>
      <c r="T163" t="s">
        <v>56</v>
      </c>
      <c r="U163" t="s">
        <v>56</v>
      </c>
      <c r="V163" t="s">
        <v>56</v>
      </c>
      <c r="W163">
        <v>0</v>
      </c>
      <c r="X163" t="s">
        <v>66</v>
      </c>
      <c r="Y163" t="s">
        <v>56</v>
      </c>
      <c r="Z163">
        <v>0</v>
      </c>
      <c r="AA163" t="s">
        <v>66</v>
      </c>
      <c r="AB163" t="s">
        <v>56</v>
      </c>
      <c r="AC163">
        <v>0</v>
      </c>
      <c r="AD163" t="s">
        <v>66</v>
      </c>
      <c r="AE163" t="s">
        <v>56</v>
      </c>
      <c r="AF163">
        <v>0</v>
      </c>
      <c r="AG163" t="s">
        <v>66</v>
      </c>
      <c r="AH163" t="s">
        <v>56</v>
      </c>
      <c r="AI163">
        <v>1</v>
      </c>
      <c r="AJ163" t="s">
        <v>1627</v>
      </c>
      <c r="AK163" t="s">
        <v>56</v>
      </c>
      <c r="AL163" t="s">
        <v>56</v>
      </c>
      <c r="AM163" t="s">
        <v>56</v>
      </c>
      <c r="AN163" t="s">
        <v>56</v>
      </c>
      <c r="AO163" t="s">
        <v>4349</v>
      </c>
      <c r="AP163" t="s">
        <v>3962</v>
      </c>
      <c r="AQ163" t="s">
        <v>3963</v>
      </c>
      <c r="AR163" t="s">
        <v>3941</v>
      </c>
      <c r="AS163" t="s">
        <v>3942</v>
      </c>
      <c r="AT163" t="s">
        <v>4465</v>
      </c>
      <c r="AU163" t="s">
        <v>3944</v>
      </c>
      <c r="AV163" t="s">
        <v>3945</v>
      </c>
      <c r="AW163" t="s">
        <v>3946</v>
      </c>
      <c r="AX163">
        <v>24</v>
      </c>
      <c r="AY163">
        <v>2</v>
      </c>
      <c r="AZ163" t="s">
        <v>3897</v>
      </c>
      <c r="BA163">
        <v>10</v>
      </c>
      <c r="BB163" t="s">
        <v>3898</v>
      </c>
      <c r="BC163">
        <v>180</v>
      </c>
      <c r="BD163">
        <v>3</v>
      </c>
      <c r="BE163" t="s">
        <v>3911</v>
      </c>
      <c r="BF163">
        <v>180</v>
      </c>
      <c r="BG163">
        <v>66</v>
      </c>
      <c r="BH163" t="s">
        <v>3965</v>
      </c>
      <c r="BI163" t="s">
        <v>4466</v>
      </c>
      <c r="BJ163">
        <v>1</v>
      </c>
      <c r="BK163" t="s">
        <v>3902</v>
      </c>
    </row>
    <row r="164" spans="1:63" x14ac:dyDescent="0.25">
      <c r="A164">
        <v>4258</v>
      </c>
      <c r="B164" t="str">
        <f>"20200128134017071352"</f>
        <v>20200128134017071352</v>
      </c>
      <c r="C164">
        <v>1</v>
      </c>
      <c r="D164">
        <v>1</v>
      </c>
      <c r="E164" t="s">
        <v>3886</v>
      </c>
      <c r="F164">
        <v>2</v>
      </c>
      <c r="G164">
        <v>0</v>
      </c>
      <c r="H164" t="s">
        <v>66</v>
      </c>
      <c r="I164">
        <v>0</v>
      </c>
      <c r="J164" t="s">
        <v>66</v>
      </c>
      <c r="K164">
        <v>1</v>
      </c>
      <c r="L164" t="s">
        <v>1627</v>
      </c>
      <c r="M164" t="s">
        <v>4223</v>
      </c>
      <c r="N164">
        <v>1</v>
      </c>
      <c r="O164" t="s">
        <v>1627</v>
      </c>
      <c r="P164" t="s">
        <v>4467</v>
      </c>
      <c r="Q164">
        <v>0</v>
      </c>
      <c r="R164" t="s">
        <v>66</v>
      </c>
      <c r="S164" t="s">
        <v>56</v>
      </c>
      <c r="T164" t="s">
        <v>56</v>
      </c>
      <c r="U164" t="s">
        <v>56</v>
      </c>
      <c r="V164" t="s">
        <v>56</v>
      </c>
      <c r="W164">
        <v>0</v>
      </c>
      <c r="X164" t="s">
        <v>66</v>
      </c>
      <c r="Y164" t="s">
        <v>56</v>
      </c>
      <c r="Z164">
        <v>0</v>
      </c>
      <c r="AA164" t="s">
        <v>66</v>
      </c>
      <c r="AB164" t="s">
        <v>56</v>
      </c>
      <c r="AC164">
        <v>0</v>
      </c>
      <c r="AD164" t="s">
        <v>66</v>
      </c>
      <c r="AE164" t="s">
        <v>56</v>
      </c>
      <c r="AF164">
        <v>0</v>
      </c>
      <c r="AG164" t="s">
        <v>66</v>
      </c>
      <c r="AH164" t="s">
        <v>56</v>
      </c>
      <c r="AI164">
        <v>1</v>
      </c>
      <c r="AJ164" t="s">
        <v>1627</v>
      </c>
      <c r="AK164" t="s">
        <v>56</v>
      </c>
      <c r="AL164" t="s">
        <v>56</v>
      </c>
      <c r="AM164" t="s">
        <v>56</v>
      </c>
      <c r="AN164" t="s">
        <v>56</v>
      </c>
      <c r="AO164" t="s">
        <v>4468</v>
      </c>
      <c r="AP164" t="s">
        <v>4077</v>
      </c>
      <c r="AQ164" t="s">
        <v>4078</v>
      </c>
      <c r="AR164" t="s">
        <v>3941</v>
      </c>
      <c r="AS164" t="s">
        <v>3942</v>
      </c>
      <c r="AT164" t="s">
        <v>4469</v>
      </c>
      <c r="AU164" t="s">
        <v>3944</v>
      </c>
      <c r="AV164" t="s">
        <v>3945</v>
      </c>
      <c r="AW164" t="s">
        <v>3946</v>
      </c>
      <c r="AX164">
        <v>24</v>
      </c>
      <c r="AY164">
        <v>2</v>
      </c>
      <c r="AZ164" t="s">
        <v>3897</v>
      </c>
      <c r="BA164">
        <v>10</v>
      </c>
      <c r="BB164" t="s">
        <v>3898</v>
      </c>
      <c r="BC164">
        <v>6</v>
      </c>
      <c r="BD164">
        <v>5</v>
      </c>
      <c r="BE164" t="s">
        <v>3899</v>
      </c>
      <c r="BF164">
        <v>180</v>
      </c>
      <c r="BG164">
        <v>66</v>
      </c>
      <c r="BH164" t="s">
        <v>3965</v>
      </c>
      <c r="BI164" t="s">
        <v>4470</v>
      </c>
      <c r="BJ164">
        <v>1</v>
      </c>
      <c r="BK164" t="s">
        <v>3902</v>
      </c>
    </row>
    <row r="165" spans="1:63" x14ac:dyDescent="0.25">
      <c r="A165">
        <v>4259</v>
      </c>
      <c r="B165" t="str">
        <f>"20200128190017072087"</f>
        <v>20200128190017072087</v>
      </c>
      <c r="C165">
        <v>1</v>
      </c>
      <c r="D165">
        <v>1</v>
      </c>
      <c r="E165" t="s">
        <v>3886</v>
      </c>
      <c r="F165">
        <v>2</v>
      </c>
      <c r="G165">
        <v>0</v>
      </c>
      <c r="H165" t="s">
        <v>66</v>
      </c>
      <c r="I165">
        <v>0</v>
      </c>
      <c r="J165" t="s">
        <v>66</v>
      </c>
      <c r="K165">
        <v>0</v>
      </c>
      <c r="L165" t="s">
        <v>66</v>
      </c>
      <c r="M165" t="s">
        <v>56</v>
      </c>
      <c r="N165">
        <v>0</v>
      </c>
      <c r="O165" t="s">
        <v>66</v>
      </c>
      <c r="P165" t="s">
        <v>56</v>
      </c>
      <c r="Q165">
        <v>0</v>
      </c>
      <c r="R165" t="s">
        <v>66</v>
      </c>
      <c r="S165" t="s">
        <v>56</v>
      </c>
      <c r="T165">
        <v>1</v>
      </c>
      <c r="U165" t="s">
        <v>1627</v>
      </c>
      <c r="V165" t="s">
        <v>56</v>
      </c>
      <c r="W165">
        <v>0</v>
      </c>
      <c r="X165" t="s">
        <v>66</v>
      </c>
      <c r="Y165" t="s">
        <v>56</v>
      </c>
      <c r="Z165">
        <v>0</v>
      </c>
      <c r="AA165" t="s">
        <v>66</v>
      </c>
      <c r="AB165" t="s">
        <v>56</v>
      </c>
      <c r="AC165">
        <v>1</v>
      </c>
      <c r="AD165" t="s">
        <v>1627</v>
      </c>
      <c r="AE165" t="s">
        <v>3887</v>
      </c>
      <c r="AF165">
        <v>0</v>
      </c>
      <c r="AG165" t="s">
        <v>66</v>
      </c>
      <c r="AH165" t="s">
        <v>56</v>
      </c>
      <c r="AI165">
        <v>1</v>
      </c>
      <c r="AJ165" t="s">
        <v>1627</v>
      </c>
      <c r="AK165" t="s">
        <v>56</v>
      </c>
      <c r="AL165" t="s">
        <v>56</v>
      </c>
      <c r="AM165" t="s">
        <v>56</v>
      </c>
      <c r="AN165" t="s">
        <v>56</v>
      </c>
      <c r="AO165" t="s">
        <v>4471</v>
      </c>
      <c r="AP165" t="s">
        <v>3962</v>
      </c>
      <c r="AQ165" t="s">
        <v>3963</v>
      </c>
      <c r="AR165" t="s">
        <v>3941</v>
      </c>
      <c r="AS165" t="s">
        <v>3942</v>
      </c>
      <c r="AT165" t="s">
        <v>4472</v>
      </c>
      <c r="AU165" t="s">
        <v>3944</v>
      </c>
      <c r="AV165" t="s">
        <v>3945</v>
      </c>
      <c r="AW165" t="s">
        <v>3946</v>
      </c>
      <c r="AX165">
        <v>24</v>
      </c>
      <c r="AY165">
        <v>2</v>
      </c>
      <c r="AZ165" t="s">
        <v>3897</v>
      </c>
      <c r="BA165">
        <v>10</v>
      </c>
      <c r="BB165" t="s">
        <v>3898</v>
      </c>
      <c r="BC165">
        <v>90</v>
      </c>
      <c r="BD165">
        <v>3</v>
      </c>
      <c r="BE165" t="s">
        <v>3911</v>
      </c>
      <c r="BF165">
        <v>84</v>
      </c>
      <c r="BG165">
        <v>66</v>
      </c>
      <c r="BH165" t="s">
        <v>3965</v>
      </c>
      <c r="BI165" t="s">
        <v>4473</v>
      </c>
      <c r="BJ165">
        <v>1</v>
      </c>
      <c r="BK165" t="s">
        <v>3902</v>
      </c>
    </row>
    <row r="166" spans="1:63" x14ac:dyDescent="0.25">
      <c r="A166">
        <v>4260</v>
      </c>
      <c r="B166" t="str">
        <f>"20200128173017072419"</f>
        <v>20200128173017072419</v>
      </c>
      <c r="C166">
        <v>1</v>
      </c>
      <c r="D166">
        <v>1</v>
      </c>
      <c r="E166" t="s">
        <v>3886</v>
      </c>
      <c r="F166">
        <v>2</v>
      </c>
      <c r="G166">
        <v>0</v>
      </c>
      <c r="H166" t="s">
        <v>66</v>
      </c>
      <c r="I166">
        <v>0</v>
      </c>
      <c r="J166" t="s">
        <v>66</v>
      </c>
      <c r="K166">
        <v>0</v>
      </c>
      <c r="L166" t="s">
        <v>66</v>
      </c>
      <c r="M166" t="s">
        <v>56</v>
      </c>
      <c r="N166">
        <v>0</v>
      </c>
      <c r="O166" t="s">
        <v>66</v>
      </c>
      <c r="P166" t="s">
        <v>56</v>
      </c>
      <c r="Q166">
        <v>0</v>
      </c>
      <c r="R166" t="s">
        <v>66</v>
      </c>
      <c r="S166" t="s">
        <v>56</v>
      </c>
      <c r="T166">
        <v>1</v>
      </c>
      <c r="U166" t="s">
        <v>1627</v>
      </c>
      <c r="V166" t="s">
        <v>56</v>
      </c>
      <c r="W166">
        <v>0</v>
      </c>
      <c r="X166" t="s">
        <v>66</v>
      </c>
      <c r="Y166" t="s">
        <v>56</v>
      </c>
      <c r="Z166">
        <v>0</v>
      </c>
      <c r="AA166" t="s">
        <v>66</v>
      </c>
      <c r="AB166" t="s">
        <v>56</v>
      </c>
      <c r="AC166">
        <v>1</v>
      </c>
      <c r="AD166" t="s">
        <v>1627</v>
      </c>
      <c r="AE166" t="s">
        <v>3887</v>
      </c>
      <c r="AF166">
        <v>0</v>
      </c>
      <c r="AG166" t="s">
        <v>66</v>
      </c>
      <c r="AH166" t="s">
        <v>56</v>
      </c>
      <c r="AI166">
        <v>1</v>
      </c>
      <c r="AJ166" t="s">
        <v>1627</v>
      </c>
      <c r="AK166" t="s">
        <v>56</v>
      </c>
      <c r="AL166" t="s">
        <v>56</v>
      </c>
      <c r="AM166" t="s">
        <v>56</v>
      </c>
      <c r="AN166" t="s">
        <v>56</v>
      </c>
      <c r="AO166" t="s">
        <v>4035</v>
      </c>
      <c r="AP166" t="s">
        <v>3962</v>
      </c>
      <c r="AQ166" t="s">
        <v>3963</v>
      </c>
      <c r="AR166" t="s">
        <v>3941</v>
      </c>
      <c r="AS166" t="s">
        <v>3942</v>
      </c>
      <c r="AT166" t="s">
        <v>4474</v>
      </c>
      <c r="AU166" t="s">
        <v>3944</v>
      </c>
      <c r="AV166" t="s">
        <v>3945</v>
      </c>
      <c r="AW166" t="s">
        <v>3946</v>
      </c>
      <c r="AX166">
        <v>1</v>
      </c>
      <c r="AY166">
        <v>2</v>
      </c>
      <c r="AZ166" t="s">
        <v>3897</v>
      </c>
      <c r="BA166">
        <v>10</v>
      </c>
      <c r="BB166" t="s">
        <v>3898</v>
      </c>
      <c r="BC166">
        <v>84</v>
      </c>
      <c r="BD166">
        <v>3</v>
      </c>
      <c r="BE166" t="s">
        <v>3911</v>
      </c>
      <c r="BF166">
        <v>84</v>
      </c>
      <c r="BG166">
        <v>66</v>
      </c>
      <c r="BH166" t="s">
        <v>3965</v>
      </c>
      <c r="BI166" t="s">
        <v>4475</v>
      </c>
      <c r="BJ166">
        <v>1</v>
      </c>
      <c r="BK166" t="s">
        <v>3902</v>
      </c>
    </row>
    <row r="167" spans="1:63" x14ac:dyDescent="0.25">
      <c r="A167">
        <v>4261</v>
      </c>
      <c r="B167" t="str">
        <f>"20200128150017072728"</f>
        <v>20200128150017072728</v>
      </c>
      <c r="C167">
        <v>1</v>
      </c>
      <c r="D167">
        <v>1</v>
      </c>
      <c r="E167" t="s">
        <v>3886</v>
      </c>
      <c r="F167">
        <v>2</v>
      </c>
      <c r="G167">
        <v>0</v>
      </c>
      <c r="H167" t="s">
        <v>66</v>
      </c>
      <c r="I167">
        <v>0</v>
      </c>
      <c r="J167" t="s">
        <v>66</v>
      </c>
      <c r="K167">
        <v>0</v>
      </c>
      <c r="L167" t="s">
        <v>66</v>
      </c>
      <c r="M167" t="s">
        <v>56</v>
      </c>
      <c r="N167">
        <v>0</v>
      </c>
      <c r="O167" t="s">
        <v>66</v>
      </c>
      <c r="P167" t="s">
        <v>56</v>
      </c>
      <c r="Q167">
        <v>0</v>
      </c>
      <c r="R167" t="s">
        <v>66</v>
      </c>
      <c r="S167" t="s">
        <v>56</v>
      </c>
      <c r="T167">
        <v>1</v>
      </c>
      <c r="U167" t="s">
        <v>1627</v>
      </c>
      <c r="V167" t="s">
        <v>56</v>
      </c>
      <c r="W167">
        <v>0</v>
      </c>
      <c r="X167" t="s">
        <v>66</v>
      </c>
      <c r="Y167" t="s">
        <v>56</v>
      </c>
      <c r="Z167">
        <v>0</v>
      </c>
      <c r="AA167" t="s">
        <v>66</v>
      </c>
      <c r="AB167" t="s">
        <v>56</v>
      </c>
      <c r="AC167">
        <v>1</v>
      </c>
      <c r="AD167" t="s">
        <v>1627</v>
      </c>
      <c r="AE167" t="s">
        <v>3887</v>
      </c>
      <c r="AF167">
        <v>0</v>
      </c>
      <c r="AG167" t="s">
        <v>66</v>
      </c>
      <c r="AH167" t="s">
        <v>56</v>
      </c>
      <c r="AI167">
        <v>1</v>
      </c>
      <c r="AJ167" t="s">
        <v>1627</v>
      </c>
      <c r="AK167" t="s">
        <v>56</v>
      </c>
      <c r="AL167" t="s">
        <v>56</v>
      </c>
      <c r="AM167" t="s">
        <v>56</v>
      </c>
      <c r="AN167" t="s">
        <v>56</v>
      </c>
      <c r="AO167" t="s">
        <v>4476</v>
      </c>
      <c r="AP167" t="s">
        <v>3889</v>
      </c>
      <c r="AQ167" t="s">
        <v>3890</v>
      </c>
      <c r="AR167" t="s">
        <v>2324</v>
      </c>
      <c r="AS167" t="s">
        <v>4266</v>
      </c>
      <c r="AT167" t="s">
        <v>4477</v>
      </c>
      <c r="AU167" t="s">
        <v>3944</v>
      </c>
      <c r="AV167" t="s">
        <v>3945</v>
      </c>
      <c r="AW167" t="s">
        <v>3946</v>
      </c>
      <c r="AX167">
        <v>30</v>
      </c>
      <c r="AY167">
        <v>3</v>
      </c>
      <c r="AZ167" t="s">
        <v>3911</v>
      </c>
      <c r="BA167">
        <v>10</v>
      </c>
      <c r="BB167" t="s">
        <v>3898</v>
      </c>
      <c r="BC167">
        <v>3</v>
      </c>
      <c r="BD167">
        <v>5</v>
      </c>
      <c r="BE167" t="s">
        <v>3899</v>
      </c>
      <c r="BF167">
        <v>6</v>
      </c>
      <c r="BG167" t="s">
        <v>3912</v>
      </c>
      <c r="BH167" t="s">
        <v>3913</v>
      </c>
      <c r="BI167" t="s">
        <v>4478</v>
      </c>
      <c r="BJ167">
        <v>1</v>
      </c>
      <c r="BK167" t="s">
        <v>3902</v>
      </c>
    </row>
    <row r="168" spans="1:63" x14ac:dyDescent="0.25">
      <c r="A168">
        <v>4262</v>
      </c>
      <c r="B168" t="str">
        <f>"20200128141017072944"</f>
        <v>20200128141017072944</v>
      </c>
      <c r="C168">
        <v>1</v>
      </c>
      <c r="D168">
        <v>1</v>
      </c>
      <c r="E168" t="s">
        <v>3886</v>
      </c>
      <c r="F168">
        <v>2</v>
      </c>
      <c r="G168">
        <v>0</v>
      </c>
      <c r="H168" t="s">
        <v>66</v>
      </c>
      <c r="I168">
        <v>0</v>
      </c>
      <c r="J168" t="s">
        <v>66</v>
      </c>
      <c r="K168">
        <v>1</v>
      </c>
      <c r="L168" t="s">
        <v>1627</v>
      </c>
      <c r="M168" t="s">
        <v>4116</v>
      </c>
      <c r="N168">
        <v>1</v>
      </c>
      <c r="O168" t="s">
        <v>1627</v>
      </c>
      <c r="P168" t="s">
        <v>4451</v>
      </c>
      <c r="Q168">
        <v>0</v>
      </c>
      <c r="R168" t="s">
        <v>66</v>
      </c>
      <c r="S168" t="s">
        <v>56</v>
      </c>
      <c r="T168" t="s">
        <v>56</v>
      </c>
      <c r="U168" t="s">
        <v>56</v>
      </c>
      <c r="V168" t="s">
        <v>56</v>
      </c>
      <c r="W168">
        <v>0</v>
      </c>
      <c r="X168" t="s">
        <v>66</v>
      </c>
      <c r="Y168" t="s">
        <v>56</v>
      </c>
      <c r="Z168">
        <v>0</v>
      </c>
      <c r="AA168" t="s">
        <v>66</v>
      </c>
      <c r="AB168" t="s">
        <v>56</v>
      </c>
      <c r="AC168">
        <v>0</v>
      </c>
      <c r="AD168" t="s">
        <v>66</v>
      </c>
      <c r="AE168" t="s">
        <v>56</v>
      </c>
      <c r="AF168">
        <v>0</v>
      </c>
      <c r="AG168" t="s">
        <v>66</v>
      </c>
      <c r="AH168" t="s">
        <v>56</v>
      </c>
      <c r="AI168">
        <v>1</v>
      </c>
      <c r="AJ168" t="s">
        <v>1627</v>
      </c>
      <c r="AK168" t="s">
        <v>56</v>
      </c>
      <c r="AL168" t="s">
        <v>56</v>
      </c>
      <c r="AM168" t="s">
        <v>56</v>
      </c>
      <c r="AN168" t="s">
        <v>56</v>
      </c>
      <c r="AO168" t="s">
        <v>3938</v>
      </c>
      <c r="AP168" t="s">
        <v>3939</v>
      </c>
      <c r="AQ168" t="s">
        <v>3940</v>
      </c>
      <c r="AR168" t="s">
        <v>3941</v>
      </c>
      <c r="AS168" t="s">
        <v>3942</v>
      </c>
      <c r="AT168" t="s">
        <v>4479</v>
      </c>
      <c r="AU168" t="s">
        <v>3944</v>
      </c>
      <c r="AV168" t="s">
        <v>3945</v>
      </c>
      <c r="AW168" t="s">
        <v>3946</v>
      </c>
      <c r="AX168">
        <v>12</v>
      </c>
      <c r="AY168">
        <v>2</v>
      </c>
      <c r="AZ168" t="s">
        <v>3897</v>
      </c>
      <c r="BA168">
        <v>1</v>
      </c>
      <c r="BB168" t="s">
        <v>4149</v>
      </c>
      <c r="BC168">
        <v>3</v>
      </c>
      <c r="BD168">
        <v>5</v>
      </c>
      <c r="BE168" t="s">
        <v>3899</v>
      </c>
      <c r="BF168">
        <v>180</v>
      </c>
      <c r="BG168">
        <v>66</v>
      </c>
      <c r="BH168" t="s">
        <v>3965</v>
      </c>
      <c r="BI168" t="s">
        <v>4480</v>
      </c>
      <c r="BJ168">
        <v>1</v>
      </c>
      <c r="BK168" t="s">
        <v>3902</v>
      </c>
    </row>
    <row r="169" spans="1:63" x14ac:dyDescent="0.25">
      <c r="A169">
        <v>4263</v>
      </c>
      <c r="B169" t="str">
        <f>"20200128175017072948"</f>
        <v>20200128175017072948</v>
      </c>
      <c r="C169">
        <v>1</v>
      </c>
      <c r="D169">
        <v>1</v>
      </c>
      <c r="E169" t="s">
        <v>3886</v>
      </c>
      <c r="F169">
        <v>2</v>
      </c>
      <c r="G169">
        <v>0</v>
      </c>
      <c r="H169" t="s">
        <v>66</v>
      </c>
      <c r="I169">
        <v>0</v>
      </c>
      <c r="J169" t="s">
        <v>66</v>
      </c>
      <c r="K169">
        <v>0</v>
      </c>
      <c r="L169" t="s">
        <v>66</v>
      </c>
      <c r="M169" t="s">
        <v>56</v>
      </c>
      <c r="N169">
        <v>0</v>
      </c>
      <c r="O169" t="s">
        <v>66</v>
      </c>
      <c r="P169" t="s">
        <v>56</v>
      </c>
      <c r="Q169">
        <v>0</v>
      </c>
      <c r="R169" t="s">
        <v>66</v>
      </c>
      <c r="S169" t="s">
        <v>56</v>
      </c>
      <c r="T169">
        <v>1</v>
      </c>
      <c r="U169" t="s">
        <v>1627</v>
      </c>
      <c r="V169" t="s">
        <v>56</v>
      </c>
      <c r="W169">
        <v>0</v>
      </c>
      <c r="X169" t="s">
        <v>66</v>
      </c>
      <c r="Y169" t="s">
        <v>56</v>
      </c>
      <c r="Z169">
        <v>0</v>
      </c>
      <c r="AA169" t="s">
        <v>66</v>
      </c>
      <c r="AB169" t="s">
        <v>56</v>
      </c>
      <c r="AC169">
        <v>1</v>
      </c>
      <c r="AD169" t="s">
        <v>1627</v>
      </c>
      <c r="AE169" t="s">
        <v>3887</v>
      </c>
      <c r="AF169">
        <v>0</v>
      </c>
      <c r="AG169" t="s">
        <v>66</v>
      </c>
      <c r="AH169" t="s">
        <v>56</v>
      </c>
      <c r="AI169">
        <v>1</v>
      </c>
      <c r="AJ169" t="s">
        <v>1627</v>
      </c>
      <c r="AK169" t="s">
        <v>56</v>
      </c>
      <c r="AL169" t="s">
        <v>56</v>
      </c>
      <c r="AM169" t="s">
        <v>56</v>
      </c>
      <c r="AN169" t="s">
        <v>56</v>
      </c>
      <c r="AO169" t="s">
        <v>4481</v>
      </c>
      <c r="AP169" t="s">
        <v>3971</v>
      </c>
      <c r="AQ169" t="s">
        <v>3972</v>
      </c>
      <c r="AR169" t="s">
        <v>4482</v>
      </c>
      <c r="AS169" t="s">
        <v>4483</v>
      </c>
      <c r="AT169" t="s">
        <v>4484</v>
      </c>
      <c r="AU169" t="s">
        <v>4026</v>
      </c>
      <c r="AV169" t="s">
        <v>4027</v>
      </c>
      <c r="AW169" t="s">
        <v>4028</v>
      </c>
      <c r="AX169">
        <v>1</v>
      </c>
      <c r="AY169">
        <v>7</v>
      </c>
      <c r="AZ169" t="s">
        <v>4308</v>
      </c>
      <c r="BA169">
        <v>10</v>
      </c>
      <c r="BB169" t="s">
        <v>3898</v>
      </c>
      <c r="BC169">
        <v>3</v>
      </c>
      <c r="BD169">
        <v>5</v>
      </c>
      <c r="BE169" t="s">
        <v>3899</v>
      </c>
      <c r="BF169">
        <v>2</v>
      </c>
      <c r="BG169" t="s">
        <v>3912</v>
      </c>
      <c r="BH169" t="s">
        <v>3913</v>
      </c>
      <c r="BI169" t="s">
        <v>4485</v>
      </c>
      <c r="BJ169">
        <v>1</v>
      </c>
      <c r="BK169" t="s">
        <v>3902</v>
      </c>
    </row>
    <row r="170" spans="1:63" x14ac:dyDescent="0.25">
      <c r="A170">
        <v>4264</v>
      </c>
      <c r="B170" t="str">
        <f>"20200128197017072984"</f>
        <v>20200128197017072984</v>
      </c>
      <c r="C170">
        <v>1</v>
      </c>
      <c r="D170">
        <v>1</v>
      </c>
      <c r="E170" t="s">
        <v>3886</v>
      </c>
      <c r="F170">
        <v>2</v>
      </c>
      <c r="G170">
        <v>0</v>
      </c>
      <c r="H170" t="s">
        <v>66</v>
      </c>
      <c r="I170">
        <v>0</v>
      </c>
      <c r="J170" t="s">
        <v>66</v>
      </c>
      <c r="K170">
        <v>1</v>
      </c>
      <c r="L170" t="s">
        <v>1627</v>
      </c>
      <c r="M170" t="s">
        <v>4223</v>
      </c>
      <c r="N170">
        <v>1</v>
      </c>
      <c r="O170" t="s">
        <v>1627</v>
      </c>
      <c r="P170" t="s">
        <v>4486</v>
      </c>
      <c r="Q170">
        <v>0</v>
      </c>
      <c r="R170" t="s">
        <v>66</v>
      </c>
      <c r="S170" t="s">
        <v>56</v>
      </c>
      <c r="T170" t="s">
        <v>56</v>
      </c>
      <c r="U170" t="s">
        <v>56</v>
      </c>
      <c r="V170" t="s">
        <v>56</v>
      </c>
      <c r="W170">
        <v>0</v>
      </c>
      <c r="X170" t="s">
        <v>66</v>
      </c>
      <c r="Y170" t="s">
        <v>56</v>
      </c>
      <c r="Z170">
        <v>0</v>
      </c>
      <c r="AA170" t="s">
        <v>66</v>
      </c>
      <c r="AB170" t="s">
        <v>56</v>
      </c>
      <c r="AC170">
        <v>0</v>
      </c>
      <c r="AD170" t="s">
        <v>66</v>
      </c>
      <c r="AE170" t="s">
        <v>56</v>
      </c>
      <c r="AF170">
        <v>0</v>
      </c>
      <c r="AG170" t="s">
        <v>66</v>
      </c>
      <c r="AH170" t="s">
        <v>56</v>
      </c>
      <c r="AI170">
        <v>1</v>
      </c>
      <c r="AJ170" t="s">
        <v>1627</v>
      </c>
      <c r="AK170" t="s">
        <v>56</v>
      </c>
      <c r="AL170" t="s">
        <v>56</v>
      </c>
      <c r="AM170" t="s">
        <v>56</v>
      </c>
      <c r="AN170" t="s">
        <v>56</v>
      </c>
      <c r="AO170" t="s">
        <v>4487</v>
      </c>
      <c r="AP170" t="s">
        <v>4488</v>
      </c>
      <c r="AQ170" t="s">
        <v>4489</v>
      </c>
      <c r="AR170" t="s">
        <v>4490</v>
      </c>
      <c r="AS170" t="s">
        <v>4491</v>
      </c>
      <c r="AT170" t="s">
        <v>4492</v>
      </c>
      <c r="AU170" t="s">
        <v>3944</v>
      </c>
      <c r="AV170" t="s">
        <v>3945</v>
      </c>
      <c r="AW170" t="s">
        <v>3946</v>
      </c>
      <c r="AX170">
        <v>24</v>
      </c>
      <c r="AY170">
        <v>2</v>
      </c>
      <c r="AZ170" t="s">
        <v>3897</v>
      </c>
      <c r="BA170">
        <v>10</v>
      </c>
      <c r="BB170" t="s">
        <v>3898</v>
      </c>
      <c r="BC170">
        <v>3</v>
      </c>
      <c r="BD170">
        <v>5</v>
      </c>
      <c r="BE170" t="s">
        <v>3899</v>
      </c>
      <c r="BF170">
        <v>84</v>
      </c>
      <c r="BG170">
        <v>49</v>
      </c>
      <c r="BH170" t="s">
        <v>4493</v>
      </c>
      <c r="BI170" t="s">
        <v>4494</v>
      </c>
      <c r="BJ170">
        <v>1</v>
      </c>
      <c r="BK170" t="s">
        <v>3902</v>
      </c>
    </row>
    <row r="171" spans="1:63" x14ac:dyDescent="0.25">
      <c r="A171">
        <v>4265</v>
      </c>
      <c r="B171" t="str">
        <f>"20200128142017073143"</f>
        <v>20200128142017073143</v>
      </c>
      <c r="C171">
        <v>1</v>
      </c>
      <c r="D171">
        <v>1</v>
      </c>
      <c r="E171" t="s">
        <v>3886</v>
      </c>
      <c r="F171">
        <v>2</v>
      </c>
      <c r="G171">
        <v>0</v>
      </c>
      <c r="H171" t="s">
        <v>66</v>
      </c>
      <c r="I171">
        <v>0</v>
      </c>
      <c r="J171" t="s">
        <v>66</v>
      </c>
      <c r="K171">
        <v>0</v>
      </c>
      <c r="L171" t="s">
        <v>66</v>
      </c>
      <c r="M171" t="s">
        <v>56</v>
      </c>
      <c r="N171">
        <v>0</v>
      </c>
      <c r="O171" t="s">
        <v>66</v>
      </c>
      <c r="P171" t="s">
        <v>56</v>
      </c>
      <c r="Q171">
        <v>0</v>
      </c>
      <c r="R171" t="s">
        <v>66</v>
      </c>
      <c r="S171" t="s">
        <v>56</v>
      </c>
      <c r="T171">
        <v>1</v>
      </c>
      <c r="U171" t="s">
        <v>1627</v>
      </c>
      <c r="V171" t="s">
        <v>56</v>
      </c>
      <c r="W171">
        <v>0</v>
      </c>
      <c r="X171" t="s">
        <v>66</v>
      </c>
      <c r="Y171" t="s">
        <v>56</v>
      </c>
      <c r="Z171">
        <v>0</v>
      </c>
      <c r="AA171" t="s">
        <v>66</v>
      </c>
      <c r="AB171" t="s">
        <v>56</v>
      </c>
      <c r="AC171">
        <v>1</v>
      </c>
      <c r="AD171" t="s">
        <v>1627</v>
      </c>
      <c r="AE171" t="s">
        <v>3887</v>
      </c>
      <c r="AF171">
        <v>0</v>
      </c>
      <c r="AG171" t="s">
        <v>66</v>
      </c>
      <c r="AH171" t="s">
        <v>56</v>
      </c>
      <c r="AI171">
        <v>1</v>
      </c>
      <c r="AJ171" t="s">
        <v>1627</v>
      </c>
      <c r="AK171" t="s">
        <v>56</v>
      </c>
      <c r="AL171" t="s">
        <v>56</v>
      </c>
      <c r="AM171" t="s">
        <v>56</v>
      </c>
      <c r="AN171" t="s">
        <v>56</v>
      </c>
      <c r="AO171" t="s">
        <v>4394</v>
      </c>
      <c r="AP171" t="s">
        <v>3889</v>
      </c>
      <c r="AQ171" t="s">
        <v>3890</v>
      </c>
      <c r="AR171" t="s">
        <v>3926</v>
      </c>
      <c r="AS171" t="s">
        <v>3927</v>
      </c>
      <c r="AT171" t="s">
        <v>4495</v>
      </c>
      <c r="AU171" t="s">
        <v>3894</v>
      </c>
      <c r="AV171" t="s">
        <v>3895</v>
      </c>
      <c r="AW171" t="s">
        <v>3896</v>
      </c>
      <c r="AX171">
        <v>24</v>
      </c>
      <c r="AY171">
        <v>2</v>
      </c>
      <c r="AZ171" t="s">
        <v>3897</v>
      </c>
      <c r="BA171">
        <v>10</v>
      </c>
      <c r="BB171" t="s">
        <v>3898</v>
      </c>
      <c r="BC171">
        <v>3</v>
      </c>
      <c r="BD171">
        <v>5</v>
      </c>
      <c r="BE171" t="s">
        <v>3899</v>
      </c>
      <c r="BF171">
        <v>3</v>
      </c>
      <c r="BG171">
        <v>13</v>
      </c>
      <c r="BH171" t="s">
        <v>3900</v>
      </c>
      <c r="BI171" t="s">
        <v>4496</v>
      </c>
      <c r="BJ171">
        <v>1</v>
      </c>
      <c r="BK171" t="s">
        <v>3902</v>
      </c>
    </row>
    <row r="172" spans="1:63" x14ac:dyDescent="0.25">
      <c r="A172">
        <v>4266</v>
      </c>
      <c r="B172" t="str">
        <f>"20200128132017073693"</f>
        <v>20200128132017073693</v>
      </c>
      <c r="C172">
        <v>1</v>
      </c>
      <c r="D172">
        <v>1</v>
      </c>
      <c r="E172" t="s">
        <v>3886</v>
      </c>
      <c r="F172">
        <v>2</v>
      </c>
      <c r="G172">
        <v>0</v>
      </c>
      <c r="H172" t="s">
        <v>66</v>
      </c>
      <c r="I172">
        <v>0</v>
      </c>
      <c r="J172" t="s">
        <v>66</v>
      </c>
      <c r="K172">
        <v>1</v>
      </c>
      <c r="L172" t="s">
        <v>1627</v>
      </c>
      <c r="M172" t="s">
        <v>4366</v>
      </c>
      <c r="N172">
        <v>1</v>
      </c>
      <c r="O172" t="s">
        <v>1627</v>
      </c>
      <c r="P172" t="s">
        <v>4497</v>
      </c>
      <c r="Q172">
        <v>0</v>
      </c>
      <c r="R172" t="s">
        <v>66</v>
      </c>
      <c r="S172" t="s">
        <v>56</v>
      </c>
      <c r="T172" t="s">
        <v>56</v>
      </c>
      <c r="U172" t="s">
        <v>56</v>
      </c>
      <c r="V172" t="s">
        <v>56</v>
      </c>
      <c r="W172">
        <v>0</v>
      </c>
      <c r="X172" t="s">
        <v>66</v>
      </c>
      <c r="Y172" t="s">
        <v>56</v>
      </c>
      <c r="Z172">
        <v>0</v>
      </c>
      <c r="AA172" t="s">
        <v>66</v>
      </c>
      <c r="AB172" t="s">
        <v>56</v>
      </c>
      <c r="AC172">
        <v>0</v>
      </c>
      <c r="AD172" t="s">
        <v>66</v>
      </c>
      <c r="AE172" t="s">
        <v>56</v>
      </c>
      <c r="AF172">
        <v>0</v>
      </c>
      <c r="AG172" t="s">
        <v>66</v>
      </c>
      <c r="AH172" t="s">
        <v>56</v>
      </c>
      <c r="AI172">
        <v>1</v>
      </c>
      <c r="AJ172" t="s">
        <v>1627</v>
      </c>
      <c r="AK172" t="s">
        <v>56</v>
      </c>
      <c r="AL172" t="s">
        <v>56</v>
      </c>
      <c r="AM172" t="s">
        <v>56</v>
      </c>
      <c r="AN172" t="s">
        <v>56</v>
      </c>
      <c r="AO172" t="s">
        <v>4118</v>
      </c>
      <c r="AP172" t="s">
        <v>3962</v>
      </c>
      <c r="AQ172" t="s">
        <v>3963</v>
      </c>
      <c r="AR172" t="s">
        <v>3941</v>
      </c>
      <c r="AS172" t="s">
        <v>3942</v>
      </c>
      <c r="AT172" t="s">
        <v>4498</v>
      </c>
      <c r="AU172" t="s">
        <v>4026</v>
      </c>
      <c r="AV172" t="s">
        <v>4027</v>
      </c>
      <c r="AW172" t="s">
        <v>4028</v>
      </c>
      <c r="AX172">
        <v>12</v>
      </c>
      <c r="AY172">
        <v>2</v>
      </c>
      <c r="AZ172" t="s">
        <v>3897</v>
      </c>
      <c r="BA172">
        <v>10</v>
      </c>
      <c r="BB172" t="s">
        <v>3898</v>
      </c>
      <c r="BC172">
        <v>4</v>
      </c>
      <c r="BD172">
        <v>5</v>
      </c>
      <c r="BE172" t="s">
        <v>3899</v>
      </c>
      <c r="BF172">
        <v>240</v>
      </c>
      <c r="BG172">
        <v>66</v>
      </c>
      <c r="BH172" t="s">
        <v>3965</v>
      </c>
      <c r="BI172" t="s">
        <v>4369</v>
      </c>
      <c r="BJ172">
        <v>1</v>
      </c>
      <c r="BK172" t="s">
        <v>3902</v>
      </c>
    </row>
    <row r="173" spans="1:63" x14ac:dyDescent="0.25">
      <c r="A173">
        <v>4267</v>
      </c>
      <c r="B173" t="str">
        <f>"20200128140017073749"</f>
        <v>20200128140017073749</v>
      </c>
      <c r="C173">
        <v>1</v>
      </c>
      <c r="D173">
        <v>1</v>
      </c>
      <c r="E173" t="s">
        <v>3886</v>
      </c>
      <c r="F173">
        <v>2</v>
      </c>
      <c r="G173">
        <v>0</v>
      </c>
      <c r="H173" t="s">
        <v>66</v>
      </c>
      <c r="I173">
        <v>0</v>
      </c>
      <c r="J173" t="s">
        <v>66</v>
      </c>
      <c r="K173">
        <v>0</v>
      </c>
      <c r="L173" t="s">
        <v>66</v>
      </c>
      <c r="M173" t="s">
        <v>56</v>
      </c>
      <c r="N173">
        <v>0</v>
      </c>
      <c r="O173" t="s">
        <v>66</v>
      </c>
      <c r="P173" t="s">
        <v>56</v>
      </c>
      <c r="Q173">
        <v>0</v>
      </c>
      <c r="R173" t="s">
        <v>66</v>
      </c>
      <c r="S173" t="s">
        <v>56</v>
      </c>
      <c r="T173">
        <v>1</v>
      </c>
      <c r="U173" t="s">
        <v>1627</v>
      </c>
      <c r="V173" t="s">
        <v>56</v>
      </c>
      <c r="W173">
        <v>0</v>
      </c>
      <c r="X173" t="s">
        <v>66</v>
      </c>
      <c r="Y173" t="s">
        <v>56</v>
      </c>
      <c r="Z173">
        <v>0</v>
      </c>
      <c r="AA173" t="s">
        <v>66</v>
      </c>
      <c r="AB173" t="s">
        <v>56</v>
      </c>
      <c r="AC173">
        <v>1</v>
      </c>
      <c r="AD173" t="s">
        <v>1627</v>
      </c>
      <c r="AE173" t="s">
        <v>3887</v>
      </c>
      <c r="AF173">
        <v>0</v>
      </c>
      <c r="AG173" t="s">
        <v>66</v>
      </c>
      <c r="AH173" t="s">
        <v>56</v>
      </c>
      <c r="AI173">
        <v>1</v>
      </c>
      <c r="AJ173" t="s">
        <v>1627</v>
      </c>
      <c r="AK173" t="s">
        <v>56</v>
      </c>
      <c r="AL173" t="s">
        <v>56</v>
      </c>
      <c r="AM173" t="s">
        <v>56</v>
      </c>
      <c r="AN173" t="s">
        <v>56</v>
      </c>
      <c r="AO173" t="s">
        <v>4499</v>
      </c>
      <c r="AP173" t="s">
        <v>3939</v>
      </c>
      <c r="AQ173" t="s">
        <v>3940</v>
      </c>
      <c r="AR173" t="s">
        <v>3941</v>
      </c>
      <c r="AS173" t="s">
        <v>3942</v>
      </c>
      <c r="AT173" t="s">
        <v>4500</v>
      </c>
      <c r="AU173">
        <v>9000</v>
      </c>
      <c r="AV173" t="s">
        <v>3956</v>
      </c>
      <c r="AW173" t="s">
        <v>3956</v>
      </c>
      <c r="AX173">
        <v>8</v>
      </c>
      <c r="AY173">
        <v>2</v>
      </c>
      <c r="AZ173" t="s">
        <v>3897</v>
      </c>
      <c r="BA173">
        <v>10</v>
      </c>
      <c r="BB173" t="s">
        <v>3898</v>
      </c>
      <c r="BC173">
        <v>6</v>
      </c>
      <c r="BD173">
        <v>5</v>
      </c>
      <c r="BE173" t="s">
        <v>3899</v>
      </c>
      <c r="BF173">
        <v>540</v>
      </c>
      <c r="BG173">
        <v>14</v>
      </c>
      <c r="BH173" t="s">
        <v>3947</v>
      </c>
      <c r="BI173" t="s">
        <v>4501</v>
      </c>
      <c r="BJ173">
        <v>1</v>
      </c>
      <c r="BK173" t="s">
        <v>3902</v>
      </c>
    </row>
    <row r="174" spans="1:63" x14ac:dyDescent="0.25">
      <c r="A174">
        <v>4223</v>
      </c>
      <c r="B174" t="str">
        <f>"20200127184017061566"</f>
        <v>20200127184017061566</v>
      </c>
      <c r="C174">
        <v>1</v>
      </c>
      <c r="D174">
        <v>1</v>
      </c>
      <c r="E174" t="s">
        <v>3886</v>
      </c>
      <c r="F174">
        <v>1</v>
      </c>
      <c r="G174">
        <v>0</v>
      </c>
      <c r="H174" t="s">
        <v>66</v>
      </c>
      <c r="I174">
        <v>0</v>
      </c>
      <c r="J174" t="s">
        <v>66</v>
      </c>
      <c r="K174">
        <v>0</v>
      </c>
      <c r="L174" t="s">
        <v>66</v>
      </c>
      <c r="M174" t="s">
        <v>56</v>
      </c>
      <c r="N174">
        <v>0</v>
      </c>
      <c r="O174" t="s">
        <v>66</v>
      </c>
      <c r="P174" t="s">
        <v>56</v>
      </c>
      <c r="Q174">
        <v>0</v>
      </c>
      <c r="R174" t="s">
        <v>66</v>
      </c>
      <c r="S174" t="s">
        <v>56</v>
      </c>
      <c r="T174">
        <v>1</v>
      </c>
      <c r="U174" t="s">
        <v>1627</v>
      </c>
      <c r="V174" t="s">
        <v>56</v>
      </c>
      <c r="W174">
        <v>0</v>
      </c>
      <c r="X174" t="s">
        <v>66</v>
      </c>
      <c r="Y174" t="s">
        <v>56</v>
      </c>
      <c r="Z174">
        <v>0</v>
      </c>
      <c r="AA174" t="s">
        <v>66</v>
      </c>
      <c r="AB174" t="s">
        <v>56</v>
      </c>
      <c r="AC174">
        <v>1</v>
      </c>
      <c r="AD174" t="s">
        <v>1627</v>
      </c>
      <c r="AE174" t="s">
        <v>3887</v>
      </c>
      <c r="AF174">
        <v>0</v>
      </c>
      <c r="AG174" t="s">
        <v>66</v>
      </c>
      <c r="AH174" t="s">
        <v>56</v>
      </c>
      <c r="AI174">
        <v>1</v>
      </c>
      <c r="AJ174" t="s">
        <v>1627</v>
      </c>
      <c r="AK174" t="s">
        <v>56</v>
      </c>
      <c r="AL174" t="s">
        <v>56</v>
      </c>
      <c r="AM174" t="s">
        <v>56</v>
      </c>
      <c r="AN174" t="s">
        <v>56</v>
      </c>
      <c r="AO174" t="s">
        <v>4502</v>
      </c>
      <c r="AP174" t="s">
        <v>3889</v>
      </c>
      <c r="AQ174" t="s">
        <v>3890</v>
      </c>
      <c r="AR174" t="s">
        <v>3891</v>
      </c>
      <c r="AS174" t="s">
        <v>3892</v>
      </c>
      <c r="AT174" t="s">
        <v>4503</v>
      </c>
      <c r="AU174" t="s">
        <v>3894</v>
      </c>
      <c r="AV174" t="s">
        <v>3895</v>
      </c>
      <c r="AW174" t="s">
        <v>3896</v>
      </c>
      <c r="AX174">
        <v>8</v>
      </c>
      <c r="AY174">
        <v>2</v>
      </c>
      <c r="AZ174" t="s">
        <v>3897</v>
      </c>
      <c r="BA174">
        <v>10</v>
      </c>
      <c r="BB174" t="s">
        <v>3898</v>
      </c>
      <c r="BC174">
        <v>1</v>
      </c>
      <c r="BD174">
        <v>5</v>
      </c>
      <c r="BE174" t="s">
        <v>3899</v>
      </c>
      <c r="BF174">
        <v>1</v>
      </c>
      <c r="BG174">
        <v>13</v>
      </c>
      <c r="BH174" t="s">
        <v>3900</v>
      </c>
      <c r="BI174" t="s">
        <v>4504</v>
      </c>
      <c r="BJ174">
        <v>1</v>
      </c>
      <c r="BK174" t="s">
        <v>3902</v>
      </c>
    </row>
    <row r="175" spans="1:63" x14ac:dyDescent="0.25">
      <c r="A175">
        <v>4224</v>
      </c>
      <c r="B175" t="str">
        <f>"20200127177017061586"</f>
        <v>20200127177017061586</v>
      </c>
      <c r="C175">
        <v>1</v>
      </c>
      <c r="D175">
        <v>1</v>
      </c>
      <c r="E175" t="s">
        <v>3886</v>
      </c>
      <c r="F175">
        <v>2</v>
      </c>
      <c r="G175">
        <v>0</v>
      </c>
      <c r="H175" t="s">
        <v>66</v>
      </c>
      <c r="I175">
        <v>0</v>
      </c>
      <c r="J175" t="s">
        <v>66</v>
      </c>
      <c r="K175">
        <v>0</v>
      </c>
      <c r="L175" t="s">
        <v>66</v>
      </c>
      <c r="M175" t="s">
        <v>56</v>
      </c>
      <c r="N175">
        <v>0</v>
      </c>
      <c r="O175" t="s">
        <v>66</v>
      </c>
      <c r="P175" t="s">
        <v>56</v>
      </c>
      <c r="Q175">
        <v>0</v>
      </c>
      <c r="R175" t="s">
        <v>66</v>
      </c>
      <c r="S175" t="s">
        <v>56</v>
      </c>
      <c r="T175">
        <v>1</v>
      </c>
      <c r="U175" t="s">
        <v>1627</v>
      </c>
      <c r="V175" t="s">
        <v>4019</v>
      </c>
      <c r="W175">
        <v>1</v>
      </c>
      <c r="X175" t="s">
        <v>1627</v>
      </c>
      <c r="Y175" t="s">
        <v>4439</v>
      </c>
      <c r="Z175">
        <v>0</v>
      </c>
      <c r="AA175" t="s">
        <v>66</v>
      </c>
      <c r="AB175" t="s">
        <v>56</v>
      </c>
      <c r="AC175">
        <v>0</v>
      </c>
      <c r="AD175" t="s">
        <v>66</v>
      </c>
      <c r="AE175" t="s">
        <v>56</v>
      </c>
      <c r="AF175">
        <v>0</v>
      </c>
      <c r="AG175" t="s">
        <v>66</v>
      </c>
      <c r="AH175" t="s">
        <v>56</v>
      </c>
      <c r="AI175">
        <v>1</v>
      </c>
      <c r="AJ175" t="s">
        <v>1627</v>
      </c>
      <c r="AK175" t="s">
        <v>56</v>
      </c>
      <c r="AL175" t="s">
        <v>56</v>
      </c>
      <c r="AM175" t="s">
        <v>56</v>
      </c>
      <c r="AN175" t="s">
        <v>56</v>
      </c>
      <c r="AO175" t="s">
        <v>4021</v>
      </c>
      <c r="AP175" t="s">
        <v>3962</v>
      </c>
      <c r="AQ175" t="s">
        <v>3963</v>
      </c>
      <c r="AR175" t="s">
        <v>3941</v>
      </c>
      <c r="AS175" t="s">
        <v>3942</v>
      </c>
      <c r="AT175" t="s">
        <v>4505</v>
      </c>
      <c r="AU175" t="s">
        <v>3944</v>
      </c>
      <c r="AV175" t="s">
        <v>3945</v>
      </c>
      <c r="AW175" t="s">
        <v>3946</v>
      </c>
      <c r="AX175">
        <v>24</v>
      </c>
      <c r="AY175">
        <v>2</v>
      </c>
      <c r="AZ175" t="s">
        <v>3897</v>
      </c>
      <c r="BA175">
        <v>10</v>
      </c>
      <c r="BB175" t="s">
        <v>3898</v>
      </c>
      <c r="BC175">
        <v>90</v>
      </c>
      <c r="BD175">
        <v>3</v>
      </c>
      <c r="BE175" t="s">
        <v>3911</v>
      </c>
      <c r="BF175">
        <v>90</v>
      </c>
      <c r="BG175">
        <v>66</v>
      </c>
      <c r="BH175" t="s">
        <v>3965</v>
      </c>
      <c r="BI175" t="s">
        <v>4506</v>
      </c>
      <c r="BJ175">
        <v>1</v>
      </c>
      <c r="BK175" t="s">
        <v>3902</v>
      </c>
    </row>
    <row r="176" spans="1:63" x14ac:dyDescent="0.25">
      <c r="A176">
        <v>4225</v>
      </c>
      <c r="B176" t="str">
        <f>"20200127117017061940"</f>
        <v>20200127117017061940</v>
      </c>
      <c r="C176">
        <v>1</v>
      </c>
      <c r="D176">
        <v>1</v>
      </c>
      <c r="E176" t="s">
        <v>3886</v>
      </c>
      <c r="F176">
        <v>2</v>
      </c>
      <c r="G176">
        <v>0</v>
      </c>
      <c r="H176" t="s">
        <v>66</v>
      </c>
      <c r="I176">
        <v>0</v>
      </c>
      <c r="J176" t="s">
        <v>66</v>
      </c>
      <c r="K176">
        <v>0</v>
      </c>
      <c r="L176" t="s">
        <v>66</v>
      </c>
      <c r="M176" t="s">
        <v>56</v>
      </c>
      <c r="N176">
        <v>0</v>
      </c>
      <c r="O176" t="s">
        <v>66</v>
      </c>
      <c r="P176" t="s">
        <v>56</v>
      </c>
      <c r="Q176">
        <v>0</v>
      </c>
      <c r="R176" t="s">
        <v>66</v>
      </c>
      <c r="S176" t="s">
        <v>56</v>
      </c>
      <c r="T176">
        <v>1</v>
      </c>
      <c r="U176" t="s">
        <v>1627</v>
      </c>
      <c r="V176" t="s">
        <v>56</v>
      </c>
      <c r="W176">
        <v>0</v>
      </c>
      <c r="X176" t="s">
        <v>66</v>
      </c>
      <c r="Y176" t="s">
        <v>56</v>
      </c>
      <c r="Z176">
        <v>0</v>
      </c>
      <c r="AA176" t="s">
        <v>66</v>
      </c>
      <c r="AB176" t="s">
        <v>56</v>
      </c>
      <c r="AC176">
        <v>1</v>
      </c>
      <c r="AD176" t="s">
        <v>1627</v>
      </c>
      <c r="AE176" t="s">
        <v>3887</v>
      </c>
      <c r="AF176">
        <v>0</v>
      </c>
      <c r="AG176" t="s">
        <v>66</v>
      </c>
      <c r="AH176" t="s">
        <v>56</v>
      </c>
      <c r="AI176">
        <v>1</v>
      </c>
      <c r="AJ176" t="s">
        <v>1627</v>
      </c>
      <c r="AK176" t="s">
        <v>56</v>
      </c>
      <c r="AL176" t="s">
        <v>56</v>
      </c>
      <c r="AM176" t="s">
        <v>56</v>
      </c>
      <c r="AN176" t="s">
        <v>56</v>
      </c>
      <c r="AO176" t="s">
        <v>3888</v>
      </c>
      <c r="AP176" t="s">
        <v>3889</v>
      </c>
      <c r="AQ176" t="s">
        <v>3890</v>
      </c>
      <c r="AR176" t="s">
        <v>3891</v>
      </c>
      <c r="AS176" t="s">
        <v>3892</v>
      </c>
      <c r="AT176" t="s">
        <v>3893</v>
      </c>
      <c r="AU176" t="s">
        <v>3894</v>
      </c>
      <c r="AV176" t="s">
        <v>3895</v>
      </c>
      <c r="AW176" t="s">
        <v>3896</v>
      </c>
      <c r="AX176">
        <v>6</v>
      </c>
      <c r="AY176">
        <v>2</v>
      </c>
      <c r="AZ176" t="s">
        <v>3897</v>
      </c>
      <c r="BA176">
        <v>10</v>
      </c>
      <c r="BB176" t="s">
        <v>3898</v>
      </c>
      <c r="BC176">
        <v>3</v>
      </c>
      <c r="BD176">
        <v>5</v>
      </c>
      <c r="BE176" t="s">
        <v>3899</v>
      </c>
      <c r="BF176">
        <v>3</v>
      </c>
      <c r="BG176">
        <v>13</v>
      </c>
      <c r="BH176" t="s">
        <v>3900</v>
      </c>
      <c r="BI176" t="s">
        <v>4405</v>
      </c>
      <c r="BJ176">
        <v>1</v>
      </c>
      <c r="BK176" t="s">
        <v>3902</v>
      </c>
    </row>
    <row r="177" spans="1:63" x14ac:dyDescent="0.25">
      <c r="A177">
        <v>4226</v>
      </c>
      <c r="B177" t="str">
        <f>"20200127117017061940"</f>
        <v>20200127117017061940</v>
      </c>
      <c r="C177">
        <v>2</v>
      </c>
      <c r="D177">
        <v>1</v>
      </c>
      <c r="E177" t="s">
        <v>3886</v>
      </c>
      <c r="F177">
        <v>2</v>
      </c>
      <c r="G177">
        <v>0</v>
      </c>
      <c r="H177" t="s">
        <v>66</v>
      </c>
      <c r="I177">
        <v>0</v>
      </c>
      <c r="J177" t="s">
        <v>66</v>
      </c>
      <c r="K177">
        <v>0</v>
      </c>
      <c r="L177" t="s">
        <v>66</v>
      </c>
      <c r="M177" t="s">
        <v>56</v>
      </c>
      <c r="N177">
        <v>0</v>
      </c>
      <c r="O177" t="s">
        <v>66</v>
      </c>
      <c r="P177" t="s">
        <v>56</v>
      </c>
      <c r="Q177">
        <v>0</v>
      </c>
      <c r="R177" t="s">
        <v>66</v>
      </c>
      <c r="S177" t="s">
        <v>56</v>
      </c>
      <c r="T177">
        <v>1</v>
      </c>
      <c r="U177" t="s">
        <v>1627</v>
      </c>
      <c r="V177" t="s">
        <v>56</v>
      </c>
      <c r="W177">
        <v>0</v>
      </c>
      <c r="X177" t="s">
        <v>66</v>
      </c>
      <c r="Y177" t="s">
        <v>56</v>
      </c>
      <c r="Z177">
        <v>0</v>
      </c>
      <c r="AA177" t="s">
        <v>66</v>
      </c>
      <c r="AB177" t="s">
        <v>56</v>
      </c>
      <c r="AC177">
        <v>1</v>
      </c>
      <c r="AD177" t="s">
        <v>1627</v>
      </c>
      <c r="AE177" t="s">
        <v>3887</v>
      </c>
      <c r="AF177">
        <v>0</v>
      </c>
      <c r="AG177" t="s">
        <v>66</v>
      </c>
      <c r="AH177" t="s">
        <v>56</v>
      </c>
      <c r="AI177">
        <v>1</v>
      </c>
      <c r="AJ177" t="s">
        <v>1627</v>
      </c>
      <c r="AK177" t="s">
        <v>56</v>
      </c>
      <c r="AL177" t="s">
        <v>56</v>
      </c>
      <c r="AM177" t="s">
        <v>56</v>
      </c>
      <c r="AN177" t="s">
        <v>56</v>
      </c>
      <c r="AO177" t="s">
        <v>4046</v>
      </c>
      <c r="AP177" t="s">
        <v>3889</v>
      </c>
      <c r="AQ177" t="s">
        <v>3890</v>
      </c>
      <c r="AR177" t="s">
        <v>3926</v>
      </c>
      <c r="AS177" t="s">
        <v>3927</v>
      </c>
      <c r="AT177" t="s">
        <v>4507</v>
      </c>
      <c r="AU177" t="s">
        <v>3894</v>
      </c>
      <c r="AV177" t="s">
        <v>3895</v>
      </c>
      <c r="AW177" t="s">
        <v>3896</v>
      </c>
      <c r="AX177">
        <v>24</v>
      </c>
      <c r="AY177">
        <v>2</v>
      </c>
      <c r="AZ177" t="s">
        <v>3897</v>
      </c>
      <c r="BA177">
        <v>10</v>
      </c>
      <c r="BB177" t="s">
        <v>3898</v>
      </c>
      <c r="BC177">
        <v>3</v>
      </c>
      <c r="BD177">
        <v>5</v>
      </c>
      <c r="BE177" t="s">
        <v>3899</v>
      </c>
      <c r="BF177">
        <v>3</v>
      </c>
      <c r="BG177">
        <v>13</v>
      </c>
      <c r="BH177" t="s">
        <v>3900</v>
      </c>
      <c r="BI177" t="s">
        <v>4508</v>
      </c>
      <c r="BJ177">
        <v>1</v>
      </c>
      <c r="BK177" t="s">
        <v>3902</v>
      </c>
    </row>
    <row r="178" spans="1:63" x14ac:dyDescent="0.25">
      <c r="A178">
        <v>4227</v>
      </c>
      <c r="B178" t="str">
        <f>"20200127116017062032"</f>
        <v>20200127116017062032</v>
      </c>
      <c r="C178">
        <v>1</v>
      </c>
      <c r="D178">
        <v>1</v>
      </c>
      <c r="E178" t="s">
        <v>3886</v>
      </c>
      <c r="F178">
        <v>2</v>
      </c>
      <c r="G178">
        <v>0</v>
      </c>
      <c r="H178" t="s">
        <v>66</v>
      </c>
      <c r="I178">
        <v>0</v>
      </c>
      <c r="J178" t="s">
        <v>66</v>
      </c>
      <c r="K178">
        <v>0</v>
      </c>
      <c r="L178" t="s">
        <v>66</v>
      </c>
      <c r="M178" t="s">
        <v>56</v>
      </c>
      <c r="N178">
        <v>0</v>
      </c>
      <c r="O178" t="s">
        <v>66</v>
      </c>
      <c r="P178" t="s">
        <v>56</v>
      </c>
      <c r="Q178">
        <v>0</v>
      </c>
      <c r="R178" t="s">
        <v>66</v>
      </c>
      <c r="S178" t="s">
        <v>56</v>
      </c>
      <c r="T178">
        <v>1</v>
      </c>
      <c r="U178" t="s">
        <v>1627</v>
      </c>
      <c r="V178" t="s">
        <v>56</v>
      </c>
      <c r="W178">
        <v>0</v>
      </c>
      <c r="X178" t="s">
        <v>66</v>
      </c>
      <c r="Y178" t="s">
        <v>56</v>
      </c>
      <c r="Z178">
        <v>0</v>
      </c>
      <c r="AA178" t="s">
        <v>66</v>
      </c>
      <c r="AB178" t="s">
        <v>56</v>
      </c>
      <c r="AC178">
        <v>1</v>
      </c>
      <c r="AD178" t="s">
        <v>1627</v>
      </c>
      <c r="AE178" t="s">
        <v>3887</v>
      </c>
      <c r="AF178">
        <v>0</v>
      </c>
      <c r="AG178" t="s">
        <v>66</v>
      </c>
      <c r="AH178" t="s">
        <v>56</v>
      </c>
      <c r="AI178">
        <v>1</v>
      </c>
      <c r="AJ178" t="s">
        <v>1627</v>
      </c>
      <c r="AK178" t="s">
        <v>56</v>
      </c>
      <c r="AL178" t="s">
        <v>56</v>
      </c>
      <c r="AM178" t="s">
        <v>56</v>
      </c>
      <c r="AN178" t="s">
        <v>56</v>
      </c>
      <c r="AO178" t="s">
        <v>3888</v>
      </c>
      <c r="AP178" t="s">
        <v>3889</v>
      </c>
      <c r="AQ178" t="s">
        <v>3890</v>
      </c>
      <c r="AR178" t="s">
        <v>3891</v>
      </c>
      <c r="AS178" t="s">
        <v>3892</v>
      </c>
      <c r="AT178" t="s">
        <v>3893</v>
      </c>
      <c r="AU178" t="s">
        <v>3894</v>
      </c>
      <c r="AV178" t="s">
        <v>3895</v>
      </c>
      <c r="AW178" t="s">
        <v>3896</v>
      </c>
      <c r="AX178">
        <v>4</v>
      </c>
      <c r="AY178">
        <v>2</v>
      </c>
      <c r="AZ178" t="s">
        <v>3897</v>
      </c>
      <c r="BA178">
        <v>10</v>
      </c>
      <c r="BB178" t="s">
        <v>3898</v>
      </c>
      <c r="BC178">
        <v>3</v>
      </c>
      <c r="BD178">
        <v>5</v>
      </c>
      <c r="BE178" t="s">
        <v>3899</v>
      </c>
      <c r="BF178">
        <v>6</v>
      </c>
      <c r="BG178">
        <v>13</v>
      </c>
      <c r="BH178" t="s">
        <v>3900</v>
      </c>
      <c r="BI178" t="s">
        <v>4509</v>
      </c>
      <c r="BJ178">
        <v>1</v>
      </c>
      <c r="BK178" t="s">
        <v>3902</v>
      </c>
    </row>
    <row r="179" spans="1:63" x14ac:dyDescent="0.25">
      <c r="A179">
        <v>4228</v>
      </c>
      <c r="B179" t="str">
        <f>"20200127113017062241"</f>
        <v>20200127113017062241</v>
      </c>
      <c r="C179">
        <v>1</v>
      </c>
      <c r="D179">
        <v>1</v>
      </c>
      <c r="E179" t="s">
        <v>3886</v>
      </c>
      <c r="F179">
        <v>2</v>
      </c>
      <c r="G179">
        <v>0</v>
      </c>
      <c r="H179" t="s">
        <v>66</v>
      </c>
      <c r="I179">
        <v>0</v>
      </c>
      <c r="J179" t="s">
        <v>66</v>
      </c>
      <c r="K179">
        <v>0</v>
      </c>
      <c r="L179" t="s">
        <v>66</v>
      </c>
      <c r="M179" t="s">
        <v>56</v>
      </c>
      <c r="N179">
        <v>0</v>
      </c>
      <c r="O179" t="s">
        <v>66</v>
      </c>
      <c r="P179" t="s">
        <v>56</v>
      </c>
      <c r="Q179">
        <v>0</v>
      </c>
      <c r="R179" t="s">
        <v>66</v>
      </c>
      <c r="S179" t="s">
        <v>56</v>
      </c>
      <c r="T179">
        <v>1</v>
      </c>
      <c r="U179" t="s">
        <v>1627</v>
      </c>
      <c r="V179" t="s">
        <v>56</v>
      </c>
      <c r="W179">
        <v>0</v>
      </c>
      <c r="X179" t="s">
        <v>66</v>
      </c>
      <c r="Y179" t="s">
        <v>56</v>
      </c>
      <c r="Z179">
        <v>0</v>
      </c>
      <c r="AA179" t="s">
        <v>66</v>
      </c>
      <c r="AB179" t="s">
        <v>56</v>
      </c>
      <c r="AC179">
        <v>1</v>
      </c>
      <c r="AD179" t="s">
        <v>1627</v>
      </c>
      <c r="AE179" t="s">
        <v>3887</v>
      </c>
      <c r="AF179">
        <v>0</v>
      </c>
      <c r="AG179" t="s">
        <v>66</v>
      </c>
      <c r="AH179" t="s">
        <v>56</v>
      </c>
      <c r="AI179">
        <v>1</v>
      </c>
      <c r="AJ179" t="s">
        <v>1627</v>
      </c>
      <c r="AK179" t="s">
        <v>56</v>
      </c>
      <c r="AL179" t="s">
        <v>56</v>
      </c>
      <c r="AM179" t="s">
        <v>56</v>
      </c>
      <c r="AN179" t="s">
        <v>56</v>
      </c>
      <c r="AO179" t="s">
        <v>3888</v>
      </c>
      <c r="AP179" t="s">
        <v>3889</v>
      </c>
      <c r="AQ179" t="s">
        <v>3890</v>
      </c>
      <c r="AR179" t="s">
        <v>3891</v>
      </c>
      <c r="AS179" t="s">
        <v>3892</v>
      </c>
      <c r="AT179" t="s">
        <v>3893</v>
      </c>
      <c r="AU179" t="s">
        <v>3894</v>
      </c>
      <c r="AV179" t="s">
        <v>3895</v>
      </c>
      <c r="AW179" t="s">
        <v>3896</v>
      </c>
      <c r="AX179">
        <v>6</v>
      </c>
      <c r="AY179">
        <v>2</v>
      </c>
      <c r="AZ179" t="s">
        <v>3897</v>
      </c>
      <c r="BA179">
        <v>10</v>
      </c>
      <c r="BB179" t="s">
        <v>3898</v>
      </c>
      <c r="BC179">
        <v>3</v>
      </c>
      <c r="BD179">
        <v>5</v>
      </c>
      <c r="BE179" t="s">
        <v>3899</v>
      </c>
      <c r="BF179">
        <v>3</v>
      </c>
      <c r="BG179">
        <v>13</v>
      </c>
      <c r="BH179" t="s">
        <v>3900</v>
      </c>
      <c r="BI179" t="s">
        <v>4405</v>
      </c>
      <c r="BJ179">
        <v>1</v>
      </c>
      <c r="BK179" t="s">
        <v>3902</v>
      </c>
    </row>
    <row r="180" spans="1:63" x14ac:dyDescent="0.25">
      <c r="A180">
        <v>4229</v>
      </c>
      <c r="B180" t="str">
        <f>"20200127117017062449"</f>
        <v>20200127117017062449</v>
      </c>
      <c r="C180">
        <v>1</v>
      </c>
      <c r="D180">
        <v>1</v>
      </c>
      <c r="E180" t="s">
        <v>3886</v>
      </c>
      <c r="F180">
        <v>2</v>
      </c>
      <c r="G180">
        <v>0</v>
      </c>
      <c r="H180" t="s">
        <v>66</v>
      </c>
      <c r="I180">
        <v>0</v>
      </c>
      <c r="J180" t="s">
        <v>66</v>
      </c>
      <c r="K180">
        <v>0</v>
      </c>
      <c r="L180" t="s">
        <v>66</v>
      </c>
      <c r="M180" t="s">
        <v>56</v>
      </c>
      <c r="N180">
        <v>0</v>
      </c>
      <c r="O180" t="s">
        <v>66</v>
      </c>
      <c r="P180" t="s">
        <v>56</v>
      </c>
      <c r="Q180">
        <v>0</v>
      </c>
      <c r="R180" t="s">
        <v>66</v>
      </c>
      <c r="S180" t="s">
        <v>56</v>
      </c>
      <c r="T180">
        <v>1</v>
      </c>
      <c r="U180" t="s">
        <v>1627</v>
      </c>
      <c r="V180" t="s">
        <v>56</v>
      </c>
      <c r="W180">
        <v>0</v>
      </c>
      <c r="X180" t="s">
        <v>66</v>
      </c>
      <c r="Y180" t="s">
        <v>56</v>
      </c>
      <c r="Z180">
        <v>0</v>
      </c>
      <c r="AA180" t="s">
        <v>66</v>
      </c>
      <c r="AB180" t="s">
        <v>56</v>
      </c>
      <c r="AC180">
        <v>1</v>
      </c>
      <c r="AD180" t="s">
        <v>1627</v>
      </c>
      <c r="AE180" t="s">
        <v>3887</v>
      </c>
      <c r="AF180">
        <v>0</v>
      </c>
      <c r="AG180" t="s">
        <v>66</v>
      </c>
      <c r="AH180" t="s">
        <v>56</v>
      </c>
      <c r="AI180">
        <v>1</v>
      </c>
      <c r="AJ180" t="s">
        <v>1627</v>
      </c>
      <c r="AK180" t="s">
        <v>56</v>
      </c>
      <c r="AL180" t="s">
        <v>56</v>
      </c>
      <c r="AM180" t="s">
        <v>56</v>
      </c>
      <c r="AN180" t="s">
        <v>56</v>
      </c>
      <c r="AO180" t="s">
        <v>3888</v>
      </c>
      <c r="AP180" t="s">
        <v>3889</v>
      </c>
      <c r="AQ180" t="s">
        <v>3890</v>
      </c>
      <c r="AR180" t="s">
        <v>3891</v>
      </c>
      <c r="AS180" t="s">
        <v>3892</v>
      </c>
      <c r="AT180" t="s">
        <v>3893</v>
      </c>
      <c r="AU180" t="s">
        <v>3894</v>
      </c>
      <c r="AV180" t="s">
        <v>3895</v>
      </c>
      <c r="AW180" t="s">
        <v>3896</v>
      </c>
      <c r="AX180">
        <v>6</v>
      </c>
      <c r="AY180">
        <v>2</v>
      </c>
      <c r="AZ180" t="s">
        <v>3897</v>
      </c>
      <c r="BA180">
        <v>10</v>
      </c>
      <c r="BB180" t="s">
        <v>3898</v>
      </c>
      <c r="BC180">
        <v>3</v>
      </c>
      <c r="BD180">
        <v>5</v>
      </c>
      <c r="BE180" t="s">
        <v>3899</v>
      </c>
      <c r="BF180">
        <v>4</v>
      </c>
      <c r="BG180">
        <v>13</v>
      </c>
      <c r="BH180" t="s">
        <v>3900</v>
      </c>
      <c r="BI180" t="s">
        <v>4510</v>
      </c>
      <c r="BJ180">
        <v>1</v>
      </c>
      <c r="BK180" t="s">
        <v>3902</v>
      </c>
    </row>
    <row r="181" spans="1:63" x14ac:dyDescent="0.25">
      <c r="A181">
        <v>4230</v>
      </c>
      <c r="B181" t="str">
        <f>"20200127136017062893"</f>
        <v>20200127136017062893</v>
      </c>
      <c r="C181">
        <v>1</v>
      </c>
      <c r="D181">
        <v>1</v>
      </c>
      <c r="E181" t="s">
        <v>3886</v>
      </c>
      <c r="F181">
        <v>2</v>
      </c>
      <c r="G181">
        <v>0</v>
      </c>
      <c r="H181" t="s">
        <v>66</v>
      </c>
      <c r="I181">
        <v>0</v>
      </c>
      <c r="J181" t="s">
        <v>66</v>
      </c>
      <c r="K181">
        <v>1</v>
      </c>
      <c r="L181" t="s">
        <v>1627</v>
      </c>
      <c r="M181" t="s">
        <v>4511</v>
      </c>
      <c r="N181">
        <v>1</v>
      </c>
      <c r="O181" t="s">
        <v>1627</v>
      </c>
      <c r="P181" t="s">
        <v>4512</v>
      </c>
      <c r="Q181">
        <v>0</v>
      </c>
      <c r="R181" t="s">
        <v>66</v>
      </c>
      <c r="S181" t="s">
        <v>56</v>
      </c>
      <c r="T181" t="s">
        <v>56</v>
      </c>
      <c r="U181" t="s">
        <v>56</v>
      </c>
      <c r="V181" t="s">
        <v>56</v>
      </c>
      <c r="W181">
        <v>0</v>
      </c>
      <c r="X181" t="s">
        <v>66</v>
      </c>
      <c r="Y181" t="s">
        <v>56</v>
      </c>
      <c r="Z181">
        <v>0</v>
      </c>
      <c r="AA181" t="s">
        <v>66</v>
      </c>
      <c r="AB181" t="s">
        <v>56</v>
      </c>
      <c r="AC181">
        <v>0</v>
      </c>
      <c r="AD181" t="s">
        <v>66</v>
      </c>
      <c r="AE181" t="s">
        <v>56</v>
      </c>
      <c r="AF181">
        <v>0</v>
      </c>
      <c r="AG181" t="s">
        <v>66</v>
      </c>
      <c r="AH181" t="s">
        <v>56</v>
      </c>
      <c r="AI181">
        <v>1</v>
      </c>
      <c r="AJ181" t="s">
        <v>1627</v>
      </c>
      <c r="AK181" t="s">
        <v>56</v>
      </c>
      <c r="AL181" t="s">
        <v>56</v>
      </c>
      <c r="AM181" t="s">
        <v>56</v>
      </c>
      <c r="AN181" t="s">
        <v>56</v>
      </c>
      <c r="AO181" t="s">
        <v>4513</v>
      </c>
      <c r="AP181" t="s">
        <v>4069</v>
      </c>
      <c r="AQ181" t="s">
        <v>4070</v>
      </c>
      <c r="AR181" t="s">
        <v>4071</v>
      </c>
      <c r="AS181" t="s">
        <v>4072</v>
      </c>
      <c r="AT181" t="s">
        <v>4514</v>
      </c>
      <c r="AU181" t="s">
        <v>3944</v>
      </c>
      <c r="AV181" t="s">
        <v>3945</v>
      </c>
      <c r="AW181" t="s">
        <v>3946</v>
      </c>
      <c r="AX181">
        <v>2</v>
      </c>
      <c r="AY181">
        <v>3</v>
      </c>
      <c r="AZ181" t="s">
        <v>3911</v>
      </c>
      <c r="BA181">
        <v>10</v>
      </c>
      <c r="BB181" t="s">
        <v>3898</v>
      </c>
      <c r="BC181">
        <v>60</v>
      </c>
      <c r="BD181">
        <v>3</v>
      </c>
      <c r="BE181" t="s">
        <v>3911</v>
      </c>
      <c r="BF181">
        <v>2</v>
      </c>
      <c r="BG181">
        <v>73</v>
      </c>
      <c r="BH181" t="s">
        <v>3999</v>
      </c>
      <c r="BI181" t="s">
        <v>4515</v>
      </c>
      <c r="BJ181">
        <v>1</v>
      </c>
      <c r="BK181" t="s">
        <v>3902</v>
      </c>
    </row>
    <row r="182" spans="1:63" x14ac:dyDescent="0.25">
      <c r="A182">
        <v>4231</v>
      </c>
      <c r="B182" t="str">
        <f>"20200127128017063049"</f>
        <v>20200127128017063049</v>
      </c>
      <c r="C182">
        <v>1</v>
      </c>
      <c r="D182">
        <v>1</v>
      </c>
      <c r="E182" t="s">
        <v>3886</v>
      </c>
      <c r="F182">
        <v>2</v>
      </c>
      <c r="G182">
        <v>0</v>
      </c>
      <c r="H182" t="s">
        <v>66</v>
      </c>
      <c r="I182">
        <v>0</v>
      </c>
      <c r="J182" t="s">
        <v>66</v>
      </c>
      <c r="K182">
        <v>0</v>
      </c>
      <c r="L182" t="s">
        <v>66</v>
      </c>
      <c r="M182" t="s">
        <v>56</v>
      </c>
      <c r="N182">
        <v>0</v>
      </c>
      <c r="O182" t="s">
        <v>66</v>
      </c>
      <c r="P182" t="s">
        <v>56</v>
      </c>
      <c r="Q182">
        <v>0</v>
      </c>
      <c r="R182" t="s">
        <v>66</v>
      </c>
      <c r="S182" t="s">
        <v>56</v>
      </c>
      <c r="T182">
        <v>1</v>
      </c>
      <c r="U182" t="s">
        <v>1627</v>
      </c>
      <c r="V182" t="s">
        <v>56</v>
      </c>
      <c r="W182">
        <v>0</v>
      </c>
      <c r="X182" t="s">
        <v>66</v>
      </c>
      <c r="Y182" t="s">
        <v>56</v>
      </c>
      <c r="Z182">
        <v>0</v>
      </c>
      <c r="AA182" t="s">
        <v>66</v>
      </c>
      <c r="AB182" t="s">
        <v>56</v>
      </c>
      <c r="AC182">
        <v>1</v>
      </c>
      <c r="AD182" t="s">
        <v>1627</v>
      </c>
      <c r="AE182" t="s">
        <v>3887</v>
      </c>
      <c r="AF182">
        <v>0</v>
      </c>
      <c r="AG182" t="s">
        <v>66</v>
      </c>
      <c r="AH182" t="s">
        <v>56</v>
      </c>
      <c r="AI182">
        <v>1</v>
      </c>
      <c r="AJ182" t="s">
        <v>1627</v>
      </c>
      <c r="AK182" t="s">
        <v>56</v>
      </c>
      <c r="AL182" t="s">
        <v>56</v>
      </c>
      <c r="AM182" t="s">
        <v>56</v>
      </c>
      <c r="AN182" t="s">
        <v>56</v>
      </c>
      <c r="AO182" t="s">
        <v>3888</v>
      </c>
      <c r="AP182" t="s">
        <v>3889</v>
      </c>
      <c r="AQ182" t="s">
        <v>3890</v>
      </c>
      <c r="AR182" t="s">
        <v>3891</v>
      </c>
      <c r="AS182" t="s">
        <v>3892</v>
      </c>
      <c r="AT182" t="s">
        <v>4276</v>
      </c>
      <c r="AU182" t="s">
        <v>3894</v>
      </c>
      <c r="AV182" t="s">
        <v>3895</v>
      </c>
      <c r="AW182" t="s">
        <v>3896</v>
      </c>
      <c r="AX182">
        <v>8</v>
      </c>
      <c r="AY182">
        <v>2</v>
      </c>
      <c r="AZ182" t="s">
        <v>3897</v>
      </c>
      <c r="BA182">
        <v>10</v>
      </c>
      <c r="BB182" t="s">
        <v>3898</v>
      </c>
      <c r="BC182">
        <v>3</v>
      </c>
      <c r="BD182">
        <v>5</v>
      </c>
      <c r="BE182" t="s">
        <v>3899</v>
      </c>
      <c r="BF182">
        <v>3</v>
      </c>
      <c r="BG182">
        <v>13</v>
      </c>
      <c r="BH182" t="s">
        <v>3900</v>
      </c>
      <c r="BI182" t="s">
        <v>4516</v>
      </c>
      <c r="BJ182">
        <v>1</v>
      </c>
      <c r="BK182" t="s">
        <v>3902</v>
      </c>
    </row>
    <row r="183" spans="1:63" x14ac:dyDescent="0.25">
      <c r="A183">
        <v>4232</v>
      </c>
      <c r="B183" t="str">
        <f>"20200127110017063071"</f>
        <v>20200127110017063071</v>
      </c>
      <c r="C183">
        <v>1</v>
      </c>
      <c r="D183">
        <v>1</v>
      </c>
      <c r="E183" t="s">
        <v>3886</v>
      </c>
      <c r="F183">
        <v>2</v>
      </c>
      <c r="G183">
        <v>0</v>
      </c>
      <c r="H183" t="s">
        <v>66</v>
      </c>
      <c r="I183">
        <v>0</v>
      </c>
      <c r="J183" t="s">
        <v>66</v>
      </c>
      <c r="K183">
        <v>1</v>
      </c>
      <c r="L183" t="s">
        <v>1627</v>
      </c>
      <c r="M183" t="s">
        <v>4517</v>
      </c>
      <c r="N183">
        <v>1</v>
      </c>
      <c r="O183" t="s">
        <v>1627</v>
      </c>
      <c r="P183" t="s">
        <v>4518</v>
      </c>
      <c r="Q183">
        <v>0</v>
      </c>
      <c r="R183" t="s">
        <v>66</v>
      </c>
      <c r="S183" t="s">
        <v>56</v>
      </c>
      <c r="T183" t="s">
        <v>56</v>
      </c>
      <c r="U183" t="s">
        <v>56</v>
      </c>
      <c r="V183" t="s">
        <v>56</v>
      </c>
      <c r="W183">
        <v>0</v>
      </c>
      <c r="X183" t="s">
        <v>66</v>
      </c>
      <c r="Y183" t="s">
        <v>56</v>
      </c>
      <c r="Z183">
        <v>0</v>
      </c>
      <c r="AA183" t="s">
        <v>66</v>
      </c>
      <c r="AB183" t="s">
        <v>56</v>
      </c>
      <c r="AC183">
        <v>0</v>
      </c>
      <c r="AD183" t="s">
        <v>66</v>
      </c>
      <c r="AE183" t="s">
        <v>56</v>
      </c>
      <c r="AF183">
        <v>0</v>
      </c>
      <c r="AG183" t="s">
        <v>66</v>
      </c>
      <c r="AH183" t="s">
        <v>56</v>
      </c>
      <c r="AI183">
        <v>1</v>
      </c>
      <c r="AJ183" t="s">
        <v>1627</v>
      </c>
      <c r="AK183" t="s">
        <v>56</v>
      </c>
      <c r="AL183" t="s">
        <v>56</v>
      </c>
      <c r="AM183" t="s">
        <v>56</v>
      </c>
      <c r="AN183" t="s">
        <v>56</v>
      </c>
      <c r="AO183" t="s">
        <v>4076</v>
      </c>
      <c r="AP183" t="s">
        <v>3962</v>
      </c>
      <c r="AQ183" t="s">
        <v>3963</v>
      </c>
      <c r="AR183" t="s">
        <v>3941</v>
      </c>
      <c r="AS183" t="s">
        <v>3942</v>
      </c>
      <c r="AT183" t="s">
        <v>4519</v>
      </c>
      <c r="AU183" t="s">
        <v>3944</v>
      </c>
      <c r="AV183" t="s">
        <v>3945</v>
      </c>
      <c r="AW183" t="s">
        <v>3946</v>
      </c>
      <c r="AX183">
        <v>12</v>
      </c>
      <c r="AY183">
        <v>2</v>
      </c>
      <c r="AZ183" t="s">
        <v>3897</v>
      </c>
      <c r="BA183">
        <v>10</v>
      </c>
      <c r="BB183" t="s">
        <v>3898</v>
      </c>
      <c r="BC183">
        <v>6</v>
      </c>
      <c r="BD183">
        <v>5</v>
      </c>
      <c r="BE183" t="s">
        <v>3899</v>
      </c>
      <c r="BF183">
        <v>360</v>
      </c>
      <c r="BG183">
        <v>66</v>
      </c>
      <c r="BH183" t="s">
        <v>3965</v>
      </c>
      <c r="BI183" t="s">
        <v>4520</v>
      </c>
      <c r="BJ183">
        <v>1</v>
      </c>
      <c r="BK183" t="s">
        <v>3902</v>
      </c>
    </row>
    <row r="184" spans="1:63" x14ac:dyDescent="0.25">
      <c r="A184">
        <v>4233</v>
      </c>
      <c r="B184" t="str">
        <f>"20200127110017063071"</f>
        <v>20200127110017063071</v>
      </c>
      <c r="C184">
        <v>2</v>
      </c>
      <c r="D184">
        <v>1</v>
      </c>
      <c r="E184" t="s">
        <v>3886</v>
      </c>
      <c r="F184">
        <v>2</v>
      </c>
      <c r="G184">
        <v>0</v>
      </c>
      <c r="H184" t="s">
        <v>66</v>
      </c>
      <c r="I184">
        <v>0</v>
      </c>
      <c r="J184" t="s">
        <v>66</v>
      </c>
      <c r="K184">
        <v>1</v>
      </c>
      <c r="L184" t="s">
        <v>1627</v>
      </c>
      <c r="M184" t="s">
        <v>4241</v>
      </c>
      <c r="N184">
        <v>1</v>
      </c>
      <c r="O184" t="s">
        <v>1627</v>
      </c>
      <c r="P184" t="s">
        <v>4521</v>
      </c>
      <c r="Q184">
        <v>0</v>
      </c>
      <c r="R184" t="s">
        <v>66</v>
      </c>
      <c r="S184" t="s">
        <v>56</v>
      </c>
      <c r="T184" t="s">
        <v>56</v>
      </c>
      <c r="U184" t="s">
        <v>56</v>
      </c>
      <c r="V184" t="s">
        <v>56</v>
      </c>
      <c r="W184">
        <v>0</v>
      </c>
      <c r="X184" t="s">
        <v>66</v>
      </c>
      <c r="Y184" t="s">
        <v>56</v>
      </c>
      <c r="Z184">
        <v>0</v>
      </c>
      <c r="AA184" t="s">
        <v>66</v>
      </c>
      <c r="AB184" t="s">
        <v>56</v>
      </c>
      <c r="AC184">
        <v>0</v>
      </c>
      <c r="AD184" t="s">
        <v>66</v>
      </c>
      <c r="AE184" t="s">
        <v>56</v>
      </c>
      <c r="AF184">
        <v>0</v>
      </c>
      <c r="AG184" t="s">
        <v>66</v>
      </c>
      <c r="AH184" t="s">
        <v>56</v>
      </c>
      <c r="AI184">
        <v>1</v>
      </c>
      <c r="AJ184" t="s">
        <v>1627</v>
      </c>
      <c r="AK184" t="s">
        <v>56</v>
      </c>
      <c r="AL184" t="s">
        <v>56</v>
      </c>
      <c r="AM184" t="s">
        <v>56</v>
      </c>
      <c r="AN184" t="s">
        <v>56</v>
      </c>
      <c r="AO184" t="s">
        <v>3988</v>
      </c>
      <c r="AP184" t="s">
        <v>3918</v>
      </c>
      <c r="AQ184" t="s">
        <v>3919</v>
      </c>
      <c r="AR184" t="s">
        <v>3920</v>
      </c>
      <c r="AS184" t="s">
        <v>3921</v>
      </c>
      <c r="AT184" t="s">
        <v>4522</v>
      </c>
      <c r="AU184">
        <v>9000</v>
      </c>
      <c r="AV184" t="s">
        <v>3956</v>
      </c>
      <c r="AW184" t="s">
        <v>3956</v>
      </c>
      <c r="AX184">
        <v>12</v>
      </c>
      <c r="AY184">
        <v>2</v>
      </c>
      <c r="AZ184" t="s">
        <v>3897</v>
      </c>
      <c r="BA184">
        <v>10</v>
      </c>
      <c r="BB184" t="s">
        <v>3898</v>
      </c>
      <c r="BC184">
        <v>6</v>
      </c>
      <c r="BD184">
        <v>5</v>
      </c>
      <c r="BE184" t="s">
        <v>3899</v>
      </c>
      <c r="BF184">
        <v>6</v>
      </c>
      <c r="BG184">
        <v>27</v>
      </c>
      <c r="BH184" t="s">
        <v>3990</v>
      </c>
      <c r="BI184" t="s">
        <v>4523</v>
      </c>
      <c r="BJ184">
        <v>1</v>
      </c>
      <c r="BK184" t="s">
        <v>3902</v>
      </c>
    </row>
    <row r="185" spans="1:63" x14ac:dyDescent="0.25">
      <c r="A185">
        <v>4234</v>
      </c>
      <c r="B185" t="str">
        <f>"20200127110017063071"</f>
        <v>20200127110017063071</v>
      </c>
      <c r="C185">
        <v>3</v>
      </c>
      <c r="D185">
        <v>1</v>
      </c>
      <c r="E185" t="s">
        <v>3886</v>
      </c>
      <c r="F185">
        <v>2</v>
      </c>
      <c r="G185">
        <v>0</v>
      </c>
      <c r="H185" t="s">
        <v>66</v>
      </c>
      <c r="I185">
        <v>0</v>
      </c>
      <c r="J185" t="s">
        <v>66</v>
      </c>
      <c r="K185">
        <v>1</v>
      </c>
      <c r="L185" t="s">
        <v>1627</v>
      </c>
      <c r="M185" t="s">
        <v>4524</v>
      </c>
      <c r="N185">
        <v>1</v>
      </c>
      <c r="O185" t="s">
        <v>1627</v>
      </c>
      <c r="P185" t="s">
        <v>4525</v>
      </c>
      <c r="Q185">
        <v>0</v>
      </c>
      <c r="R185" t="s">
        <v>66</v>
      </c>
      <c r="S185" t="s">
        <v>56</v>
      </c>
      <c r="T185" t="s">
        <v>56</v>
      </c>
      <c r="U185" t="s">
        <v>56</v>
      </c>
      <c r="V185" t="s">
        <v>56</v>
      </c>
      <c r="W185">
        <v>0</v>
      </c>
      <c r="X185" t="s">
        <v>66</v>
      </c>
      <c r="Y185" t="s">
        <v>56</v>
      </c>
      <c r="Z185">
        <v>0</v>
      </c>
      <c r="AA185" t="s">
        <v>66</v>
      </c>
      <c r="AB185" t="s">
        <v>56</v>
      </c>
      <c r="AC185">
        <v>0</v>
      </c>
      <c r="AD185" t="s">
        <v>66</v>
      </c>
      <c r="AE185" t="s">
        <v>56</v>
      </c>
      <c r="AF185">
        <v>0</v>
      </c>
      <c r="AG185" t="s">
        <v>66</v>
      </c>
      <c r="AH185" t="s">
        <v>56</v>
      </c>
      <c r="AI185">
        <v>1</v>
      </c>
      <c r="AJ185" t="s">
        <v>1627</v>
      </c>
      <c r="AK185">
        <v>0</v>
      </c>
      <c r="AL185" t="s">
        <v>66</v>
      </c>
      <c r="AM185" t="s">
        <v>56</v>
      </c>
      <c r="AN185" t="s">
        <v>56</v>
      </c>
      <c r="AO185" t="s">
        <v>4526</v>
      </c>
      <c r="AP185" t="s">
        <v>3962</v>
      </c>
      <c r="AQ185" t="s">
        <v>3963</v>
      </c>
      <c r="AR185" t="s">
        <v>3941</v>
      </c>
      <c r="AS185" t="s">
        <v>3942</v>
      </c>
      <c r="AT185" t="s">
        <v>4527</v>
      </c>
      <c r="AU185" t="s">
        <v>3944</v>
      </c>
      <c r="AV185" t="s">
        <v>3945</v>
      </c>
      <c r="AW185" t="s">
        <v>3946</v>
      </c>
      <c r="AX185">
        <v>24</v>
      </c>
      <c r="AY185">
        <v>2</v>
      </c>
      <c r="AZ185" t="s">
        <v>3897</v>
      </c>
      <c r="BA185">
        <v>10</v>
      </c>
      <c r="BB185" t="s">
        <v>3898</v>
      </c>
      <c r="BC185">
        <v>6</v>
      </c>
      <c r="BD185">
        <v>5</v>
      </c>
      <c r="BE185" t="s">
        <v>3899</v>
      </c>
      <c r="BF185">
        <v>180</v>
      </c>
      <c r="BG185">
        <v>66</v>
      </c>
      <c r="BH185" t="s">
        <v>3965</v>
      </c>
      <c r="BI185" t="s">
        <v>4528</v>
      </c>
      <c r="BJ185">
        <v>1</v>
      </c>
      <c r="BK185" t="s">
        <v>3902</v>
      </c>
    </row>
    <row r="186" spans="1:63" x14ac:dyDescent="0.25">
      <c r="A186">
        <v>4221</v>
      </c>
      <c r="B186" t="str">
        <f>"20200127175017061519"</f>
        <v>20200127175017061519</v>
      </c>
      <c r="C186">
        <v>1</v>
      </c>
      <c r="D186">
        <v>1</v>
      </c>
      <c r="E186" t="s">
        <v>3886</v>
      </c>
      <c r="F186">
        <v>2</v>
      </c>
      <c r="G186">
        <v>0</v>
      </c>
      <c r="H186" t="s">
        <v>66</v>
      </c>
      <c r="I186">
        <v>0</v>
      </c>
      <c r="J186" t="s">
        <v>66</v>
      </c>
      <c r="K186">
        <v>0</v>
      </c>
      <c r="L186" t="s">
        <v>66</v>
      </c>
      <c r="M186" t="s">
        <v>56</v>
      </c>
      <c r="N186">
        <v>0</v>
      </c>
      <c r="O186" t="s">
        <v>66</v>
      </c>
      <c r="P186" t="s">
        <v>56</v>
      </c>
      <c r="Q186">
        <v>0</v>
      </c>
      <c r="R186" t="s">
        <v>66</v>
      </c>
      <c r="S186" t="s">
        <v>56</v>
      </c>
      <c r="T186">
        <v>1</v>
      </c>
      <c r="U186" t="s">
        <v>1627</v>
      </c>
      <c r="V186" t="s">
        <v>56</v>
      </c>
      <c r="W186">
        <v>0</v>
      </c>
      <c r="X186" t="s">
        <v>66</v>
      </c>
      <c r="Y186" t="s">
        <v>56</v>
      </c>
      <c r="Z186">
        <v>0</v>
      </c>
      <c r="AA186" t="s">
        <v>66</v>
      </c>
      <c r="AB186" t="s">
        <v>56</v>
      </c>
      <c r="AC186">
        <v>1</v>
      </c>
      <c r="AD186" t="s">
        <v>1627</v>
      </c>
      <c r="AE186" t="s">
        <v>3887</v>
      </c>
      <c r="AF186">
        <v>0</v>
      </c>
      <c r="AG186" t="s">
        <v>66</v>
      </c>
      <c r="AH186" t="s">
        <v>56</v>
      </c>
      <c r="AI186">
        <v>1</v>
      </c>
      <c r="AJ186" t="s">
        <v>1627</v>
      </c>
      <c r="AK186" t="s">
        <v>56</v>
      </c>
      <c r="AL186" t="s">
        <v>56</v>
      </c>
      <c r="AM186" t="s">
        <v>56</v>
      </c>
      <c r="AN186" t="s">
        <v>56</v>
      </c>
      <c r="AO186" t="s">
        <v>4139</v>
      </c>
      <c r="AP186" t="s">
        <v>3889</v>
      </c>
      <c r="AQ186" t="s">
        <v>3890</v>
      </c>
      <c r="AR186" t="s">
        <v>3891</v>
      </c>
      <c r="AS186" t="s">
        <v>3892</v>
      </c>
      <c r="AT186" t="s">
        <v>4529</v>
      </c>
      <c r="AU186">
        <v>9000</v>
      </c>
      <c r="AV186" t="s">
        <v>3956</v>
      </c>
      <c r="AW186" t="s">
        <v>3956</v>
      </c>
      <c r="AX186">
        <v>12</v>
      </c>
      <c r="AY186">
        <v>2</v>
      </c>
      <c r="AZ186" t="s">
        <v>3897</v>
      </c>
      <c r="BA186">
        <v>4</v>
      </c>
      <c r="BB186" t="s">
        <v>4530</v>
      </c>
      <c r="BC186">
        <v>6</v>
      </c>
      <c r="BD186">
        <v>5</v>
      </c>
      <c r="BE186" t="s">
        <v>3899</v>
      </c>
      <c r="BF186">
        <v>6</v>
      </c>
      <c r="BG186">
        <v>13</v>
      </c>
      <c r="BH186" t="s">
        <v>3900</v>
      </c>
      <c r="BI186" t="s">
        <v>4531</v>
      </c>
      <c r="BJ186">
        <v>1</v>
      </c>
      <c r="BK186" t="s">
        <v>3902</v>
      </c>
    </row>
    <row r="187" spans="1:63" x14ac:dyDescent="0.25">
      <c r="A187">
        <v>4222</v>
      </c>
      <c r="B187" t="str">
        <f>"20200127127017061544"</f>
        <v>20200127127017061544</v>
      </c>
      <c r="C187">
        <v>1</v>
      </c>
      <c r="D187">
        <v>1</v>
      </c>
      <c r="E187" t="s">
        <v>3886</v>
      </c>
      <c r="F187">
        <v>2</v>
      </c>
      <c r="G187">
        <v>0</v>
      </c>
      <c r="H187" t="s">
        <v>66</v>
      </c>
      <c r="I187">
        <v>0</v>
      </c>
      <c r="J187" t="s">
        <v>66</v>
      </c>
      <c r="K187">
        <v>0</v>
      </c>
      <c r="L187" t="s">
        <v>66</v>
      </c>
      <c r="M187" t="s">
        <v>56</v>
      </c>
      <c r="N187">
        <v>0</v>
      </c>
      <c r="O187" t="s">
        <v>66</v>
      </c>
      <c r="P187" t="s">
        <v>56</v>
      </c>
      <c r="Q187">
        <v>0</v>
      </c>
      <c r="R187" t="s">
        <v>66</v>
      </c>
      <c r="S187" t="s">
        <v>56</v>
      </c>
      <c r="T187">
        <v>1</v>
      </c>
      <c r="U187" t="s">
        <v>1627</v>
      </c>
      <c r="V187" t="s">
        <v>56</v>
      </c>
      <c r="W187">
        <v>0</v>
      </c>
      <c r="X187" t="s">
        <v>66</v>
      </c>
      <c r="Y187" t="s">
        <v>56</v>
      </c>
      <c r="Z187">
        <v>0</v>
      </c>
      <c r="AA187" t="s">
        <v>66</v>
      </c>
      <c r="AB187" t="s">
        <v>56</v>
      </c>
      <c r="AC187">
        <v>1</v>
      </c>
      <c r="AD187" t="s">
        <v>1627</v>
      </c>
      <c r="AE187" t="s">
        <v>3887</v>
      </c>
      <c r="AF187">
        <v>0</v>
      </c>
      <c r="AG187" t="s">
        <v>66</v>
      </c>
      <c r="AH187" t="s">
        <v>56</v>
      </c>
      <c r="AI187">
        <v>1</v>
      </c>
      <c r="AJ187" t="s">
        <v>1627</v>
      </c>
      <c r="AK187" t="s">
        <v>56</v>
      </c>
      <c r="AL187" t="s">
        <v>56</v>
      </c>
      <c r="AM187" t="s">
        <v>56</v>
      </c>
      <c r="AN187" t="s">
        <v>56</v>
      </c>
      <c r="AO187" t="s">
        <v>3949</v>
      </c>
      <c r="AP187" t="s">
        <v>3889</v>
      </c>
      <c r="AQ187" t="s">
        <v>3890</v>
      </c>
      <c r="AR187" t="s">
        <v>3891</v>
      </c>
      <c r="AS187" t="s">
        <v>3892</v>
      </c>
      <c r="AT187" t="s">
        <v>4532</v>
      </c>
      <c r="AU187" t="s">
        <v>3894</v>
      </c>
      <c r="AV187" t="s">
        <v>3895</v>
      </c>
      <c r="AW187" t="s">
        <v>3896</v>
      </c>
      <c r="AX187">
        <v>8</v>
      </c>
      <c r="AY187">
        <v>2</v>
      </c>
      <c r="AZ187" t="s">
        <v>3897</v>
      </c>
      <c r="BA187">
        <v>4</v>
      </c>
      <c r="BB187" t="s">
        <v>4530</v>
      </c>
      <c r="BC187">
        <v>90</v>
      </c>
      <c r="BD187">
        <v>3</v>
      </c>
      <c r="BE187" t="s">
        <v>3911</v>
      </c>
      <c r="BF187">
        <v>3</v>
      </c>
      <c r="BG187">
        <v>13</v>
      </c>
      <c r="BH187" t="s">
        <v>3900</v>
      </c>
      <c r="BI187" t="s">
        <v>4533</v>
      </c>
      <c r="BJ187">
        <v>1</v>
      </c>
      <c r="BK187" t="s">
        <v>3902</v>
      </c>
    </row>
    <row r="188" spans="1:63" x14ac:dyDescent="0.25">
      <c r="A188">
        <v>4235</v>
      </c>
      <c r="B188" t="str">
        <f>"20200127158017063149"</f>
        <v>20200127158017063149</v>
      </c>
      <c r="C188">
        <v>1</v>
      </c>
      <c r="D188">
        <v>1</v>
      </c>
      <c r="E188" t="s">
        <v>3886</v>
      </c>
      <c r="F188">
        <v>1</v>
      </c>
      <c r="G188">
        <v>0</v>
      </c>
      <c r="H188" t="s">
        <v>66</v>
      </c>
      <c r="I188">
        <v>0</v>
      </c>
      <c r="J188" t="s">
        <v>66</v>
      </c>
      <c r="K188">
        <v>1</v>
      </c>
      <c r="L188" t="s">
        <v>1627</v>
      </c>
      <c r="M188" t="s">
        <v>4534</v>
      </c>
      <c r="N188">
        <v>1</v>
      </c>
      <c r="O188" t="s">
        <v>1627</v>
      </c>
      <c r="P188" t="s">
        <v>4535</v>
      </c>
      <c r="Q188">
        <v>0</v>
      </c>
      <c r="R188" t="s">
        <v>66</v>
      </c>
      <c r="S188" t="s">
        <v>56</v>
      </c>
      <c r="T188" t="s">
        <v>56</v>
      </c>
      <c r="U188" t="s">
        <v>56</v>
      </c>
      <c r="V188" t="s">
        <v>56</v>
      </c>
      <c r="W188">
        <v>0</v>
      </c>
      <c r="X188" t="s">
        <v>66</v>
      </c>
      <c r="Y188" t="s">
        <v>56</v>
      </c>
      <c r="Z188">
        <v>0</v>
      </c>
      <c r="AA188" t="s">
        <v>66</v>
      </c>
      <c r="AB188" t="s">
        <v>56</v>
      </c>
      <c r="AC188">
        <v>0</v>
      </c>
      <c r="AD188" t="s">
        <v>66</v>
      </c>
      <c r="AE188" t="s">
        <v>56</v>
      </c>
      <c r="AF188">
        <v>0</v>
      </c>
      <c r="AG188" t="s">
        <v>66</v>
      </c>
      <c r="AH188" t="s">
        <v>56</v>
      </c>
      <c r="AI188">
        <v>1</v>
      </c>
      <c r="AJ188" t="s">
        <v>1627</v>
      </c>
      <c r="AK188" t="s">
        <v>56</v>
      </c>
      <c r="AL188" t="s">
        <v>56</v>
      </c>
      <c r="AM188" t="s">
        <v>56</v>
      </c>
      <c r="AN188" t="s">
        <v>56</v>
      </c>
      <c r="AO188" t="s">
        <v>4536</v>
      </c>
      <c r="AP188" t="s">
        <v>3971</v>
      </c>
      <c r="AQ188" t="s">
        <v>3972</v>
      </c>
      <c r="AR188" t="s">
        <v>3904</v>
      </c>
      <c r="AS188" t="s">
        <v>3905</v>
      </c>
      <c r="AT188" t="s">
        <v>4537</v>
      </c>
      <c r="AU188" t="s">
        <v>3944</v>
      </c>
      <c r="AV188" t="s">
        <v>3945</v>
      </c>
      <c r="AW188" t="s">
        <v>3946</v>
      </c>
      <c r="AX188">
        <v>12</v>
      </c>
      <c r="AY188">
        <v>2</v>
      </c>
      <c r="AZ188" t="s">
        <v>3897</v>
      </c>
      <c r="BA188">
        <v>10</v>
      </c>
      <c r="BB188" t="s">
        <v>3898</v>
      </c>
      <c r="BC188">
        <v>14</v>
      </c>
      <c r="BD188">
        <v>3</v>
      </c>
      <c r="BE188" t="s">
        <v>3911</v>
      </c>
      <c r="BF188">
        <v>62</v>
      </c>
      <c r="BG188" t="s">
        <v>3912</v>
      </c>
      <c r="BH188" t="s">
        <v>3913</v>
      </c>
      <c r="BI188" t="s">
        <v>4538</v>
      </c>
      <c r="BJ188">
        <v>1</v>
      </c>
      <c r="BK188" t="s">
        <v>3902</v>
      </c>
    </row>
    <row r="189" spans="1:63" x14ac:dyDescent="0.25">
      <c r="A189">
        <v>4236</v>
      </c>
      <c r="B189" t="str">
        <f>"20200127165017063238"</f>
        <v>20200127165017063238</v>
      </c>
      <c r="C189">
        <v>1</v>
      </c>
      <c r="D189">
        <v>1</v>
      </c>
      <c r="E189" t="s">
        <v>3886</v>
      </c>
      <c r="F189">
        <v>2</v>
      </c>
      <c r="G189">
        <v>0</v>
      </c>
      <c r="H189" t="s">
        <v>66</v>
      </c>
      <c r="I189">
        <v>0</v>
      </c>
      <c r="J189" t="s">
        <v>66</v>
      </c>
      <c r="K189">
        <v>1</v>
      </c>
      <c r="L189" t="s">
        <v>1627</v>
      </c>
      <c r="M189" t="s">
        <v>4539</v>
      </c>
      <c r="N189">
        <v>0</v>
      </c>
      <c r="O189" t="s">
        <v>66</v>
      </c>
      <c r="P189" t="s">
        <v>56</v>
      </c>
      <c r="Q189">
        <v>1</v>
      </c>
      <c r="R189" t="s">
        <v>1627</v>
      </c>
      <c r="S189" t="s">
        <v>4540</v>
      </c>
      <c r="T189" t="s">
        <v>56</v>
      </c>
      <c r="U189" t="s">
        <v>56</v>
      </c>
      <c r="V189" t="s">
        <v>56</v>
      </c>
      <c r="W189">
        <v>0</v>
      </c>
      <c r="X189" t="s">
        <v>66</v>
      </c>
      <c r="Y189" t="s">
        <v>56</v>
      </c>
      <c r="Z189">
        <v>0</v>
      </c>
      <c r="AA189" t="s">
        <v>66</v>
      </c>
      <c r="AB189" t="s">
        <v>56</v>
      </c>
      <c r="AC189">
        <v>0</v>
      </c>
      <c r="AD189" t="s">
        <v>66</v>
      </c>
      <c r="AE189" t="s">
        <v>56</v>
      </c>
      <c r="AF189">
        <v>0</v>
      </c>
      <c r="AG189" t="s">
        <v>66</v>
      </c>
      <c r="AH189" t="s">
        <v>56</v>
      </c>
      <c r="AI189">
        <v>1</v>
      </c>
      <c r="AJ189" t="s">
        <v>1627</v>
      </c>
      <c r="AK189" t="s">
        <v>56</v>
      </c>
      <c r="AL189" t="s">
        <v>56</v>
      </c>
      <c r="AM189" t="s">
        <v>56</v>
      </c>
      <c r="AN189" t="s">
        <v>56</v>
      </c>
      <c r="AO189" t="s">
        <v>3992</v>
      </c>
      <c r="AP189" t="s">
        <v>3889</v>
      </c>
      <c r="AQ189" t="s">
        <v>3890</v>
      </c>
      <c r="AR189" t="s">
        <v>3926</v>
      </c>
      <c r="AS189" t="s">
        <v>3927</v>
      </c>
      <c r="AT189" t="s">
        <v>4541</v>
      </c>
      <c r="AU189">
        <v>9000</v>
      </c>
      <c r="AV189" t="s">
        <v>3956</v>
      </c>
      <c r="AW189" t="s">
        <v>3956</v>
      </c>
      <c r="AX189">
        <v>12</v>
      </c>
      <c r="AY189">
        <v>2</v>
      </c>
      <c r="AZ189" t="s">
        <v>3897</v>
      </c>
      <c r="BA189">
        <v>4</v>
      </c>
      <c r="BB189" t="s">
        <v>4530</v>
      </c>
      <c r="BC189">
        <v>4</v>
      </c>
      <c r="BD189">
        <v>5</v>
      </c>
      <c r="BE189" t="s">
        <v>3899</v>
      </c>
      <c r="BF189">
        <v>4</v>
      </c>
      <c r="BG189">
        <v>13</v>
      </c>
      <c r="BH189" t="s">
        <v>3900</v>
      </c>
      <c r="BI189" t="s">
        <v>4542</v>
      </c>
      <c r="BJ189">
        <v>1</v>
      </c>
      <c r="BK189" t="s">
        <v>3902</v>
      </c>
    </row>
    <row r="190" spans="1:63" x14ac:dyDescent="0.25">
      <c r="A190">
        <v>4237</v>
      </c>
      <c r="B190" t="str">
        <f>"20200127193017063618"</f>
        <v>20200127193017063618</v>
      </c>
      <c r="C190">
        <v>1</v>
      </c>
      <c r="D190">
        <v>1</v>
      </c>
      <c r="E190" t="s">
        <v>3886</v>
      </c>
      <c r="F190">
        <v>2</v>
      </c>
      <c r="G190">
        <v>0</v>
      </c>
      <c r="H190" t="s">
        <v>66</v>
      </c>
      <c r="I190">
        <v>0</v>
      </c>
      <c r="J190" t="s">
        <v>66</v>
      </c>
      <c r="K190">
        <v>0</v>
      </c>
      <c r="L190" t="s">
        <v>66</v>
      </c>
      <c r="M190" t="s">
        <v>56</v>
      </c>
      <c r="N190">
        <v>0</v>
      </c>
      <c r="O190" t="s">
        <v>66</v>
      </c>
      <c r="P190" t="s">
        <v>56</v>
      </c>
      <c r="Q190">
        <v>0</v>
      </c>
      <c r="R190" t="s">
        <v>66</v>
      </c>
      <c r="S190" t="s">
        <v>56</v>
      </c>
      <c r="T190">
        <v>1</v>
      </c>
      <c r="U190" t="s">
        <v>1627</v>
      </c>
      <c r="V190" t="s">
        <v>56</v>
      </c>
      <c r="W190">
        <v>0</v>
      </c>
      <c r="X190" t="s">
        <v>66</v>
      </c>
      <c r="Y190" t="s">
        <v>56</v>
      </c>
      <c r="Z190">
        <v>0</v>
      </c>
      <c r="AA190" t="s">
        <v>66</v>
      </c>
      <c r="AB190" t="s">
        <v>56</v>
      </c>
      <c r="AC190">
        <v>1</v>
      </c>
      <c r="AD190" t="s">
        <v>1627</v>
      </c>
      <c r="AE190" t="s">
        <v>3887</v>
      </c>
      <c r="AF190">
        <v>0</v>
      </c>
      <c r="AG190" t="s">
        <v>66</v>
      </c>
      <c r="AH190" t="s">
        <v>56</v>
      </c>
      <c r="AI190">
        <v>1</v>
      </c>
      <c r="AJ190" t="s">
        <v>1627</v>
      </c>
      <c r="AK190" t="s">
        <v>56</v>
      </c>
      <c r="AL190" t="s">
        <v>56</v>
      </c>
      <c r="AM190" t="s">
        <v>56</v>
      </c>
      <c r="AN190" t="s">
        <v>56</v>
      </c>
      <c r="AO190" t="s">
        <v>4282</v>
      </c>
      <c r="AP190" t="s">
        <v>4283</v>
      </c>
      <c r="AQ190" t="s">
        <v>4284</v>
      </c>
      <c r="AR190" t="s">
        <v>3891</v>
      </c>
      <c r="AS190" t="s">
        <v>3892</v>
      </c>
      <c r="AT190" t="s">
        <v>4276</v>
      </c>
      <c r="AU190" t="s">
        <v>3894</v>
      </c>
      <c r="AV190" t="s">
        <v>3895</v>
      </c>
      <c r="AW190" t="s">
        <v>3896</v>
      </c>
      <c r="AX190">
        <v>12</v>
      </c>
      <c r="AY190">
        <v>2</v>
      </c>
      <c r="AZ190" t="s">
        <v>3897</v>
      </c>
      <c r="BA190">
        <v>10</v>
      </c>
      <c r="BB190" t="s">
        <v>3898</v>
      </c>
      <c r="BC190">
        <v>3</v>
      </c>
      <c r="BD190">
        <v>5</v>
      </c>
      <c r="BE190" t="s">
        <v>3899</v>
      </c>
      <c r="BF190">
        <v>3</v>
      </c>
      <c r="BG190">
        <v>13</v>
      </c>
      <c r="BH190" t="s">
        <v>3900</v>
      </c>
      <c r="BI190" t="s">
        <v>4543</v>
      </c>
      <c r="BJ190">
        <v>1</v>
      </c>
      <c r="BK190" t="s">
        <v>3902</v>
      </c>
    </row>
    <row r="191" spans="1:63" x14ac:dyDescent="0.25">
      <c r="A191">
        <v>4238</v>
      </c>
      <c r="B191" t="str">
        <f>"20200127193017063618"</f>
        <v>20200127193017063618</v>
      </c>
      <c r="C191">
        <v>2</v>
      </c>
      <c r="D191">
        <v>1</v>
      </c>
      <c r="E191" t="s">
        <v>3886</v>
      </c>
      <c r="F191">
        <v>2</v>
      </c>
      <c r="G191">
        <v>0</v>
      </c>
      <c r="H191" t="s">
        <v>66</v>
      </c>
      <c r="I191">
        <v>0</v>
      </c>
      <c r="J191" t="s">
        <v>66</v>
      </c>
      <c r="K191">
        <v>0</v>
      </c>
      <c r="L191" t="s">
        <v>66</v>
      </c>
      <c r="M191" t="s">
        <v>56</v>
      </c>
      <c r="N191">
        <v>0</v>
      </c>
      <c r="O191" t="s">
        <v>66</v>
      </c>
      <c r="P191" t="s">
        <v>56</v>
      </c>
      <c r="Q191">
        <v>0</v>
      </c>
      <c r="R191" t="s">
        <v>66</v>
      </c>
      <c r="S191" t="s">
        <v>56</v>
      </c>
      <c r="T191">
        <v>1</v>
      </c>
      <c r="U191" t="s">
        <v>1627</v>
      </c>
      <c r="V191" t="s">
        <v>56</v>
      </c>
      <c r="W191">
        <v>0</v>
      </c>
      <c r="X191" t="s">
        <v>66</v>
      </c>
      <c r="Y191" t="s">
        <v>56</v>
      </c>
      <c r="Z191">
        <v>0</v>
      </c>
      <c r="AA191" t="s">
        <v>66</v>
      </c>
      <c r="AB191" t="s">
        <v>56</v>
      </c>
      <c r="AC191">
        <v>1</v>
      </c>
      <c r="AD191" t="s">
        <v>1627</v>
      </c>
      <c r="AE191" t="s">
        <v>3887</v>
      </c>
      <c r="AF191">
        <v>0</v>
      </c>
      <c r="AG191" t="s">
        <v>66</v>
      </c>
      <c r="AH191" t="s">
        <v>56</v>
      </c>
      <c r="AI191">
        <v>1</v>
      </c>
      <c r="AJ191" t="s">
        <v>1627</v>
      </c>
      <c r="AK191" t="s">
        <v>56</v>
      </c>
      <c r="AL191" t="s">
        <v>56</v>
      </c>
      <c r="AM191" t="s">
        <v>56</v>
      </c>
      <c r="AN191" t="s">
        <v>56</v>
      </c>
      <c r="AO191" t="s">
        <v>3888</v>
      </c>
      <c r="AP191" t="s">
        <v>3889</v>
      </c>
      <c r="AQ191" t="s">
        <v>3890</v>
      </c>
      <c r="AR191" t="s">
        <v>3891</v>
      </c>
      <c r="AS191" t="s">
        <v>3892</v>
      </c>
      <c r="AT191" t="s">
        <v>4276</v>
      </c>
      <c r="AU191" t="s">
        <v>3894</v>
      </c>
      <c r="AV191" t="s">
        <v>3895</v>
      </c>
      <c r="AW191" t="s">
        <v>3896</v>
      </c>
      <c r="AX191">
        <v>4</v>
      </c>
      <c r="AY191">
        <v>2</v>
      </c>
      <c r="AZ191" t="s">
        <v>3897</v>
      </c>
      <c r="BA191">
        <v>10</v>
      </c>
      <c r="BB191" t="s">
        <v>3898</v>
      </c>
      <c r="BC191">
        <v>3</v>
      </c>
      <c r="BD191">
        <v>5</v>
      </c>
      <c r="BE191" t="s">
        <v>3899</v>
      </c>
      <c r="BF191">
        <v>4</v>
      </c>
      <c r="BG191">
        <v>13</v>
      </c>
      <c r="BH191" t="s">
        <v>3900</v>
      </c>
      <c r="BI191" t="s">
        <v>4544</v>
      </c>
      <c r="BJ191">
        <v>1</v>
      </c>
      <c r="BK191" t="s">
        <v>3902</v>
      </c>
    </row>
    <row r="192" spans="1:63" x14ac:dyDescent="0.25">
      <c r="A192">
        <v>4239</v>
      </c>
      <c r="B192" t="str">
        <f>"20200127181017063743"</f>
        <v>20200127181017063743</v>
      </c>
      <c r="C192">
        <v>1</v>
      </c>
      <c r="D192">
        <v>1</v>
      </c>
      <c r="E192" t="s">
        <v>3886</v>
      </c>
      <c r="F192">
        <v>2</v>
      </c>
      <c r="G192">
        <v>0</v>
      </c>
      <c r="H192" t="s">
        <v>66</v>
      </c>
      <c r="I192">
        <v>0</v>
      </c>
      <c r="J192" t="s">
        <v>66</v>
      </c>
      <c r="K192">
        <v>0</v>
      </c>
      <c r="L192" t="s">
        <v>66</v>
      </c>
      <c r="M192" t="s">
        <v>56</v>
      </c>
      <c r="N192">
        <v>0</v>
      </c>
      <c r="O192" t="s">
        <v>66</v>
      </c>
      <c r="P192" t="s">
        <v>56</v>
      </c>
      <c r="Q192">
        <v>0</v>
      </c>
      <c r="R192" t="s">
        <v>66</v>
      </c>
      <c r="S192" t="s">
        <v>56</v>
      </c>
      <c r="T192">
        <v>1</v>
      </c>
      <c r="U192" t="s">
        <v>1627</v>
      </c>
      <c r="V192" t="s">
        <v>56</v>
      </c>
      <c r="W192">
        <v>0</v>
      </c>
      <c r="X192" t="s">
        <v>66</v>
      </c>
      <c r="Y192" t="s">
        <v>56</v>
      </c>
      <c r="Z192">
        <v>0</v>
      </c>
      <c r="AA192" t="s">
        <v>66</v>
      </c>
      <c r="AB192" t="s">
        <v>56</v>
      </c>
      <c r="AC192">
        <v>1</v>
      </c>
      <c r="AD192" t="s">
        <v>1627</v>
      </c>
      <c r="AE192" t="s">
        <v>3887</v>
      </c>
      <c r="AF192">
        <v>0</v>
      </c>
      <c r="AG192" t="s">
        <v>66</v>
      </c>
      <c r="AH192" t="s">
        <v>56</v>
      </c>
      <c r="AI192">
        <v>1</v>
      </c>
      <c r="AJ192" t="s">
        <v>1627</v>
      </c>
      <c r="AK192" t="s">
        <v>56</v>
      </c>
      <c r="AL192" t="s">
        <v>56</v>
      </c>
      <c r="AM192" t="s">
        <v>56</v>
      </c>
      <c r="AN192" t="s">
        <v>56</v>
      </c>
      <c r="AO192" t="s">
        <v>3888</v>
      </c>
      <c r="AP192" t="s">
        <v>3889</v>
      </c>
      <c r="AQ192" t="s">
        <v>3890</v>
      </c>
      <c r="AR192" t="s">
        <v>3891</v>
      </c>
      <c r="AS192" t="s">
        <v>3892</v>
      </c>
      <c r="AT192" t="s">
        <v>4276</v>
      </c>
      <c r="AU192" t="s">
        <v>3894</v>
      </c>
      <c r="AV192" t="s">
        <v>3895</v>
      </c>
      <c r="AW192" t="s">
        <v>3896</v>
      </c>
      <c r="AX192">
        <v>6</v>
      </c>
      <c r="AY192">
        <v>2</v>
      </c>
      <c r="AZ192" t="s">
        <v>3897</v>
      </c>
      <c r="BA192">
        <v>10</v>
      </c>
      <c r="BB192" t="s">
        <v>3898</v>
      </c>
      <c r="BC192">
        <v>3</v>
      </c>
      <c r="BD192">
        <v>5</v>
      </c>
      <c r="BE192" t="s">
        <v>3899</v>
      </c>
      <c r="BF192">
        <v>3</v>
      </c>
      <c r="BG192">
        <v>13</v>
      </c>
      <c r="BH192" t="s">
        <v>3900</v>
      </c>
      <c r="BI192" t="s">
        <v>4405</v>
      </c>
      <c r="BJ192">
        <v>1</v>
      </c>
      <c r="BK192" t="s">
        <v>3902</v>
      </c>
    </row>
    <row r="193" spans="1:63" x14ac:dyDescent="0.25">
      <c r="A193">
        <v>4240</v>
      </c>
      <c r="B193" t="str">
        <f>"20200127187017063890"</f>
        <v>20200127187017063890</v>
      </c>
      <c r="C193">
        <v>1</v>
      </c>
      <c r="D193">
        <v>1</v>
      </c>
      <c r="E193" t="s">
        <v>3886</v>
      </c>
      <c r="F193">
        <v>2</v>
      </c>
      <c r="G193">
        <v>0</v>
      </c>
      <c r="H193" t="s">
        <v>66</v>
      </c>
      <c r="I193">
        <v>0</v>
      </c>
      <c r="J193" t="s">
        <v>66</v>
      </c>
      <c r="K193">
        <v>0</v>
      </c>
      <c r="L193" t="s">
        <v>66</v>
      </c>
      <c r="M193" t="s">
        <v>56</v>
      </c>
      <c r="N193">
        <v>0</v>
      </c>
      <c r="O193" t="s">
        <v>66</v>
      </c>
      <c r="P193" t="s">
        <v>56</v>
      </c>
      <c r="Q193">
        <v>0</v>
      </c>
      <c r="R193" t="s">
        <v>66</v>
      </c>
      <c r="S193" t="s">
        <v>56</v>
      </c>
      <c r="T193">
        <v>1</v>
      </c>
      <c r="U193" t="s">
        <v>1627</v>
      </c>
      <c r="V193" t="s">
        <v>56</v>
      </c>
      <c r="W193">
        <v>0</v>
      </c>
      <c r="X193" t="s">
        <v>66</v>
      </c>
      <c r="Y193" t="s">
        <v>56</v>
      </c>
      <c r="Z193">
        <v>0</v>
      </c>
      <c r="AA193" t="s">
        <v>66</v>
      </c>
      <c r="AB193" t="s">
        <v>56</v>
      </c>
      <c r="AC193">
        <v>1</v>
      </c>
      <c r="AD193" t="s">
        <v>1627</v>
      </c>
      <c r="AE193" t="s">
        <v>3887</v>
      </c>
      <c r="AF193">
        <v>0</v>
      </c>
      <c r="AG193" t="s">
        <v>66</v>
      </c>
      <c r="AH193" t="s">
        <v>56</v>
      </c>
      <c r="AI193">
        <v>1</v>
      </c>
      <c r="AJ193" t="s">
        <v>1627</v>
      </c>
      <c r="AK193" t="s">
        <v>56</v>
      </c>
      <c r="AL193" t="s">
        <v>56</v>
      </c>
      <c r="AM193" t="s">
        <v>56</v>
      </c>
      <c r="AN193" t="s">
        <v>56</v>
      </c>
      <c r="AO193" t="s">
        <v>3888</v>
      </c>
      <c r="AP193" t="s">
        <v>3889</v>
      </c>
      <c r="AQ193" t="s">
        <v>3890</v>
      </c>
      <c r="AR193" t="s">
        <v>3891</v>
      </c>
      <c r="AS193" t="s">
        <v>3892</v>
      </c>
      <c r="AT193" t="s">
        <v>4276</v>
      </c>
      <c r="AU193" t="s">
        <v>3894</v>
      </c>
      <c r="AV193" t="s">
        <v>3895</v>
      </c>
      <c r="AW193" t="s">
        <v>3896</v>
      </c>
      <c r="AX193">
        <v>6</v>
      </c>
      <c r="AY193">
        <v>2</v>
      </c>
      <c r="AZ193" t="s">
        <v>3897</v>
      </c>
      <c r="BA193">
        <v>10</v>
      </c>
      <c r="BB193" t="s">
        <v>3898</v>
      </c>
      <c r="BC193">
        <v>3</v>
      </c>
      <c r="BD193">
        <v>5</v>
      </c>
      <c r="BE193" t="s">
        <v>3899</v>
      </c>
      <c r="BF193">
        <v>3</v>
      </c>
      <c r="BG193">
        <v>13</v>
      </c>
      <c r="BH193" t="s">
        <v>3900</v>
      </c>
      <c r="BI193" t="s">
        <v>4405</v>
      </c>
      <c r="BJ193">
        <v>1</v>
      </c>
      <c r="BK193" t="s">
        <v>3902</v>
      </c>
    </row>
    <row r="194" spans="1:63" x14ac:dyDescent="0.25">
      <c r="A194">
        <v>4241</v>
      </c>
      <c r="B194" t="str">
        <f>"20200127187017063890"</f>
        <v>20200127187017063890</v>
      </c>
      <c r="C194">
        <v>2</v>
      </c>
      <c r="D194">
        <v>1</v>
      </c>
      <c r="E194" t="s">
        <v>3886</v>
      </c>
      <c r="F194">
        <v>2</v>
      </c>
      <c r="G194">
        <v>0</v>
      </c>
      <c r="H194" t="s">
        <v>66</v>
      </c>
      <c r="I194">
        <v>0</v>
      </c>
      <c r="J194" t="s">
        <v>66</v>
      </c>
      <c r="K194">
        <v>0</v>
      </c>
      <c r="L194" t="s">
        <v>66</v>
      </c>
      <c r="M194" t="s">
        <v>56</v>
      </c>
      <c r="N194">
        <v>0</v>
      </c>
      <c r="O194" t="s">
        <v>66</v>
      </c>
      <c r="P194" t="s">
        <v>56</v>
      </c>
      <c r="Q194">
        <v>0</v>
      </c>
      <c r="R194" t="s">
        <v>66</v>
      </c>
      <c r="S194" t="s">
        <v>56</v>
      </c>
      <c r="T194">
        <v>1</v>
      </c>
      <c r="U194" t="s">
        <v>1627</v>
      </c>
      <c r="V194" t="s">
        <v>56</v>
      </c>
      <c r="W194">
        <v>0</v>
      </c>
      <c r="X194" t="s">
        <v>66</v>
      </c>
      <c r="Y194" t="s">
        <v>56</v>
      </c>
      <c r="Z194">
        <v>0</v>
      </c>
      <c r="AA194" t="s">
        <v>66</v>
      </c>
      <c r="AB194" t="s">
        <v>56</v>
      </c>
      <c r="AC194">
        <v>1</v>
      </c>
      <c r="AD194" t="s">
        <v>1627</v>
      </c>
      <c r="AE194" t="s">
        <v>3887</v>
      </c>
      <c r="AF194">
        <v>0</v>
      </c>
      <c r="AG194" t="s">
        <v>66</v>
      </c>
      <c r="AH194" t="s">
        <v>56</v>
      </c>
      <c r="AI194">
        <v>1</v>
      </c>
      <c r="AJ194" t="s">
        <v>1627</v>
      </c>
      <c r="AK194" t="s">
        <v>56</v>
      </c>
      <c r="AL194" t="s">
        <v>56</v>
      </c>
      <c r="AM194" t="s">
        <v>56</v>
      </c>
      <c r="AN194" t="s">
        <v>56</v>
      </c>
      <c r="AO194" t="s">
        <v>4046</v>
      </c>
      <c r="AP194" t="s">
        <v>3889</v>
      </c>
      <c r="AQ194" t="s">
        <v>3890</v>
      </c>
      <c r="AR194" t="s">
        <v>3926</v>
      </c>
      <c r="AS194" t="s">
        <v>3927</v>
      </c>
      <c r="AT194" t="s">
        <v>4507</v>
      </c>
      <c r="AU194" t="s">
        <v>3894</v>
      </c>
      <c r="AV194" t="s">
        <v>3895</v>
      </c>
      <c r="AW194" t="s">
        <v>3896</v>
      </c>
      <c r="AX194">
        <v>24</v>
      </c>
      <c r="AY194">
        <v>2</v>
      </c>
      <c r="AZ194" t="s">
        <v>3897</v>
      </c>
      <c r="BA194">
        <v>10</v>
      </c>
      <c r="BB194" t="s">
        <v>3898</v>
      </c>
      <c r="BC194">
        <v>3</v>
      </c>
      <c r="BD194">
        <v>5</v>
      </c>
      <c r="BE194" t="s">
        <v>3899</v>
      </c>
      <c r="BF194">
        <v>3</v>
      </c>
      <c r="BG194">
        <v>13</v>
      </c>
      <c r="BH194" t="s">
        <v>3900</v>
      </c>
      <c r="BI194" t="s">
        <v>4508</v>
      </c>
      <c r="BJ194">
        <v>1</v>
      </c>
      <c r="BK194" t="s">
        <v>3902</v>
      </c>
    </row>
    <row r="195" spans="1:63" x14ac:dyDescent="0.25">
      <c r="A195">
        <v>4242</v>
      </c>
      <c r="B195" t="str">
        <f>"20200127149017063990"</f>
        <v>20200127149017063990</v>
      </c>
      <c r="C195">
        <v>1</v>
      </c>
      <c r="D195">
        <v>1</v>
      </c>
      <c r="E195" t="s">
        <v>3886</v>
      </c>
      <c r="F195">
        <v>2</v>
      </c>
      <c r="G195">
        <v>0</v>
      </c>
      <c r="H195" t="s">
        <v>66</v>
      </c>
      <c r="I195">
        <v>0</v>
      </c>
      <c r="J195" t="s">
        <v>66</v>
      </c>
      <c r="K195">
        <v>0</v>
      </c>
      <c r="L195" t="s">
        <v>66</v>
      </c>
      <c r="M195" t="s">
        <v>56</v>
      </c>
      <c r="N195">
        <v>0</v>
      </c>
      <c r="O195" t="s">
        <v>66</v>
      </c>
      <c r="P195" t="s">
        <v>56</v>
      </c>
      <c r="Q195">
        <v>0</v>
      </c>
      <c r="R195" t="s">
        <v>66</v>
      </c>
      <c r="S195" t="s">
        <v>56</v>
      </c>
      <c r="T195">
        <v>1</v>
      </c>
      <c r="U195" t="s">
        <v>1627</v>
      </c>
      <c r="V195" t="s">
        <v>56</v>
      </c>
      <c r="W195">
        <v>0</v>
      </c>
      <c r="X195" t="s">
        <v>66</v>
      </c>
      <c r="Y195" t="s">
        <v>56</v>
      </c>
      <c r="Z195">
        <v>0</v>
      </c>
      <c r="AA195" t="s">
        <v>66</v>
      </c>
      <c r="AB195" t="s">
        <v>56</v>
      </c>
      <c r="AC195">
        <v>1</v>
      </c>
      <c r="AD195" t="s">
        <v>1627</v>
      </c>
      <c r="AE195" t="s">
        <v>3887</v>
      </c>
      <c r="AF195">
        <v>0</v>
      </c>
      <c r="AG195" t="s">
        <v>66</v>
      </c>
      <c r="AH195" t="s">
        <v>56</v>
      </c>
      <c r="AI195">
        <v>1</v>
      </c>
      <c r="AJ195" t="s">
        <v>1627</v>
      </c>
      <c r="AK195" t="s">
        <v>56</v>
      </c>
      <c r="AL195" t="s">
        <v>56</v>
      </c>
      <c r="AM195" t="s">
        <v>56</v>
      </c>
      <c r="AN195" t="s">
        <v>56</v>
      </c>
      <c r="AO195" t="s">
        <v>3888</v>
      </c>
      <c r="AP195" t="s">
        <v>3889</v>
      </c>
      <c r="AQ195" t="s">
        <v>3890</v>
      </c>
      <c r="AR195" t="s">
        <v>3891</v>
      </c>
      <c r="AS195" t="s">
        <v>3892</v>
      </c>
      <c r="AT195" t="s">
        <v>3893</v>
      </c>
      <c r="AU195" t="s">
        <v>3894</v>
      </c>
      <c r="AV195" t="s">
        <v>3895</v>
      </c>
      <c r="AW195" t="s">
        <v>3896</v>
      </c>
      <c r="AX195">
        <v>4</v>
      </c>
      <c r="AY195">
        <v>2</v>
      </c>
      <c r="AZ195" t="s">
        <v>3897</v>
      </c>
      <c r="BA195">
        <v>10</v>
      </c>
      <c r="BB195" t="s">
        <v>3898</v>
      </c>
      <c r="BC195">
        <v>3</v>
      </c>
      <c r="BD195">
        <v>5</v>
      </c>
      <c r="BE195" t="s">
        <v>3899</v>
      </c>
      <c r="BF195">
        <v>6</v>
      </c>
      <c r="BG195">
        <v>13</v>
      </c>
      <c r="BH195" t="s">
        <v>3900</v>
      </c>
      <c r="BI195" t="s">
        <v>4545</v>
      </c>
      <c r="BJ195">
        <v>1</v>
      </c>
      <c r="BK195" t="s">
        <v>3902</v>
      </c>
    </row>
    <row r="196" spans="1:63" x14ac:dyDescent="0.25">
      <c r="A196">
        <v>4243</v>
      </c>
      <c r="B196" t="str">
        <f>"20200127120017064178"</f>
        <v>20200127120017064178</v>
      </c>
      <c r="C196">
        <v>1</v>
      </c>
      <c r="D196">
        <v>1</v>
      </c>
      <c r="E196" t="s">
        <v>3886</v>
      </c>
      <c r="F196">
        <v>2</v>
      </c>
      <c r="G196">
        <v>0</v>
      </c>
      <c r="H196" t="s">
        <v>66</v>
      </c>
      <c r="I196">
        <v>0</v>
      </c>
      <c r="J196" t="s">
        <v>66</v>
      </c>
      <c r="K196">
        <v>1</v>
      </c>
      <c r="L196" t="s">
        <v>1627</v>
      </c>
      <c r="M196" t="s">
        <v>4199</v>
      </c>
      <c r="N196">
        <v>1</v>
      </c>
      <c r="O196" t="s">
        <v>1627</v>
      </c>
      <c r="P196" t="s">
        <v>4200</v>
      </c>
      <c r="Q196">
        <v>0</v>
      </c>
      <c r="R196" t="s">
        <v>66</v>
      </c>
      <c r="S196" t="s">
        <v>56</v>
      </c>
      <c r="T196" t="s">
        <v>56</v>
      </c>
      <c r="U196" t="s">
        <v>56</v>
      </c>
      <c r="V196" t="s">
        <v>56</v>
      </c>
      <c r="W196">
        <v>0</v>
      </c>
      <c r="X196" t="s">
        <v>66</v>
      </c>
      <c r="Y196" t="s">
        <v>56</v>
      </c>
      <c r="Z196">
        <v>0</v>
      </c>
      <c r="AA196" t="s">
        <v>66</v>
      </c>
      <c r="AB196" t="s">
        <v>56</v>
      </c>
      <c r="AC196">
        <v>0</v>
      </c>
      <c r="AD196" t="s">
        <v>66</v>
      </c>
      <c r="AE196" t="s">
        <v>56</v>
      </c>
      <c r="AF196">
        <v>0</v>
      </c>
      <c r="AG196" t="s">
        <v>66</v>
      </c>
      <c r="AH196" t="s">
        <v>56</v>
      </c>
      <c r="AI196">
        <v>1</v>
      </c>
      <c r="AJ196" t="s">
        <v>1627</v>
      </c>
      <c r="AK196" t="s">
        <v>56</v>
      </c>
      <c r="AL196" t="s">
        <v>56</v>
      </c>
      <c r="AM196" t="s">
        <v>56</v>
      </c>
      <c r="AN196" t="s">
        <v>56</v>
      </c>
      <c r="AO196" t="s">
        <v>4201</v>
      </c>
      <c r="AP196" t="s">
        <v>3962</v>
      </c>
      <c r="AQ196" t="s">
        <v>3963</v>
      </c>
      <c r="AR196" t="s">
        <v>3941</v>
      </c>
      <c r="AS196" t="s">
        <v>3942</v>
      </c>
      <c r="AT196" t="s">
        <v>4427</v>
      </c>
      <c r="AU196" t="s">
        <v>3944</v>
      </c>
      <c r="AV196" t="s">
        <v>3945</v>
      </c>
      <c r="AW196" t="s">
        <v>3946</v>
      </c>
      <c r="AX196">
        <v>12</v>
      </c>
      <c r="AY196">
        <v>2</v>
      </c>
      <c r="AZ196" t="s">
        <v>3897</v>
      </c>
      <c r="BA196">
        <v>10</v>
      </c>
      <c r="BB196" t="s">
        <v>3898</v>
      </c>
      <c r="BC196">
        <v>3</v>
      </c>
      <c r="BD196">
        <v>5</v>
      </c>
      <c r="BE196" t="s">
        <v>3899</v>
      </c>
      <c r="BF196">
        <v>180</v>
      </c>
      <c r="BG196">
        <v>66</v>
      </c>
      <c r="BH196" t="s">
        <v>3965</v>
      </c>
      <c r="BI196" t="s">
        <v>4546</v>
      </c>
      <c r="BJ196">
        <v>1</v>
      </c>
      <c r="BK196" t="s">
        <v>3902</v>
      </c>
    </row>
    <row r="197" spans="1:63" x14ac:dyDescent="0.25">
      <c r="A197">
        <v>4244</v>
      </c>
      <c r="B197" t="str">
        <f>"20200127183017064844"</f>
        <v>20200127183017064844</v>
      </c>
      <c r="C197">
        <v>1</v>
      </c>
      <c r="D197">
        <v>1</v>
      </c>
      <c r="E197" t="s">
        <v>3886</v>
      </c>
      <c r="F197">
        <v>2</v>
      </c>
      <c r="G197">
        <v>0</v>
      </c>
      <c r="H197" t="s">
        <v>66</v>
      </c>
      <c r="I197">
        <v>0</v>
      </c>
      <c r="J197" t="s">
        <v>66</v>
      </c>
      <c r="K197">
        <v>1</v>
      </c>
      <c r="L197" t="s">
        <v>1627</v>
      </c>
      <c r="M197" t="s">
        <v>4547</v>
      </c>
      <c r="N197">
        <v>1</v>
      </c>
      <c r="O197" t="s">
        <v>1627</v>
      </c>
      <c r="P197" t="s">
        <v>4548</v>
      </c>
      <c r="Q197">
        <v>0</v>
      </c>
      <c r="R197" t="s">
        <v>66</v>
      </c>
      <c r="S197" t="s">
        <v>56</v>
      </c>
      <c r="T197" t="s">
        <v>56</v>
      </c>
      <c r="U197" t="s">
        <v>56</v>
      </c>
      <c r="V197" t="s">
        <v>56</v>
      </c>
      <c r="W197">
        <v>0</v>
      </c>
      <c r="X197" t="s">
        <v>66</v>
      </c>
      <c r="Y197" t="s">
        <v>56</v>
      </c>
      <c r="Z197">
        <v>0</v>
      </c>
      <c r="AA197" t="s">
        <v>66</v>
      </c>
      <c r="AB197" t="s">
        <v>56</v>
      </c>
      <c r="AC197">
        <v>0</v>
      </c>
      <c r="AD197" t="s">
        <v>66</v>
      </c>
      <c r="AE197" t="s">
        <v>56</v>
      </c>
      <c r="AF197">
        <v>0</v>
      </c>
      <c r="AG197" t="s">
        <v>66</v>
      </c>
      <c r="AH197" t="s">
        <v>56</v>
      </c>
      <c r="AI197">
        <v>1</v>
      </c>
      <c r="AJ197" t="s">
        <v>1627</v>
      </c>
      <c r="AK197" t="s">
        <v>56</v>
      </c>
      <c r="AL197" t="s">
        <v>56</v>
      </c>
      <c r="AM197" t="s">
        <v>56</v>
      </c>
      <c r="AN197" t="s">
        <v>56</v>
      </c>
      <c r="AO197" t="s">
        <v>4139</v>
      </c>
      <c r="AP197" t="s">
        <v>3889</v>
      </c>
      <c r="AQ197" t="s">
        <v>3890</v>
      </c>
      <c r="AR197" t="s">
        <v>3891</v>
      </c>
      <c r="AS197" t="s">
        <v>3892</v>
      </c>
      <c r="AT197" t="s">
        <v>4549</v>
      </c>
      <c r="AU197" t="s">
        <v>3894</v>
      </c>
      <c r="AV197" t="s">
        <v>3895</v>
      </c>
      <c r="AW197" t="s">
        <v>3896</v>
      </c>
      <c r="AX197">
        <v>12</v>
      </c>
      <c r="AY197">
        <v>2</v>
      </c>
      <c r="AZ197" t="s">
        <v>3897</v>
      </c>
      <c r="BA197">
        <v>10</v>
      </c>
      <c r="BB197" t="s">
        <v>3898</v>
      </c>
      <c r="BC197">
        <v>3</v>
      </c>
      <c r="BD197">
        <v>5</v>
      </c>
      <c r="BE197" t="s">
        <v>3899</v>
      </c>
      <c r="BF197">
        <v>3</v>
      </c>
      <c r="BG197">
        <v>13</v>
      </c>
      <c r="BH197" t="s">
        <v>3900</v>
      </c>
      <c r="BI197" t="s">
        <v>4550</v>
      </c>
      <c r="BJ197">
        <v>1</v>
      </c>
      <c r="BK197" t="s">
        <v>3902</v>
      </c>
    </row>
    <row r="198" spans="1:63" x14ac:dyDescent="0.25">
      <c r="A198">
        <v>4245</v>
      </c>
      <c r="B198" t="str">
        <f>"20200127127017065194"</f>
        <v>20200127127017065194</v>
      </c>
      <c r="C198">
        <v>1</v>
      </c>
      <c r="D198">
        <v>1</v>
      </c>
      <c r="E198" t="s">
        <v>3886</v>
      </c>
      <c r="F198">
        <v>1</v>
      </c>
      <c r="G198">
        <v>0</v>
      </c>
      <c r="H198" t="s">
        <v>66</v>
      </c>
      <c r="I198">
        <v>0</v>
      </c>
      <c r="J198" t="s">
        <v>66</v>
      </c>
      <c r="K198">
        <v>1</v>
      </c>
      <c r="L198" t="s">
        <v>1627</v>
      </c>
      <c r="M198" t="s">
        <v>4551</v>
      </c>
      <c r="N198">
        <v>1</v>
      </c>
      <c r="O198" t="s">
        <v>1627</v>
      </c>
      <c r="P198" t="s">
        <v>4552</v>
      </c>
      <c r="Q198">
        <v>0</v>
      </c>
      <c r="R198" t="s">
        <v>66</v>
      </c>
      <c r="S198" t="s">
        <v>56</v>
      </c>
      <c r="T198" t="s">
        <v>56</v>
      </c>
      <c r="U198" t="s">
        <v>56</v>
      </c>
      <c r="V198" t="s">
        <v>56</v>
      </c>
      <c r="W198">
        <v>0</v>
      </c>
      <c r="X198" t="s">
        <v>66</v>
      </c>
      <c r="Y198" t="s">
        <v>56</v>
      </c>
      <c r="Z198">
        <v>0</v>
      </c>
      <c r="AA198" t="s">
        <v>66</v>
      </c>
      <c r="AB198" t="s">
        <v>56</v>
      </c>
      <c r="AC198">
        <v>0</v>
      </c>
      <c r="AD198" t="s">
        <v>66</v>
      </c>
      <c r="AE198" t="s">
        <v>56</v>
      </c>
      <c r="AF198">
        <v>0</v>
      </c>
      <c r="AG198" t="s">
        <v>66</v>
      </c>
      <c r="AH198" t="s">
        <v>56</v>
      </c>
      <c r="AI198">
        <v>1</v>
      </c>
      <c r="AJ198" t="s">
        <v>1627</v>
      </c>
      <c r="AK198" t="s">
        <v>56</v>
      </c>
      <c r="AL198" t="s">
        <v>56</v>
      </c>
      <c r="AM198" t="s">
        <v>56</v>
      </c>
      <c r="AN198" t="s">
        <v>56</v>
      </c>
      <c r="AO198" t="s">
        <v>4553</v>
      </c>
      <c r="AP198" t="s">
        <v>4077</v>
      </c>
      <c r="AQ198" t="s">
        <v>4078</v>
      </c>
      <c r="AR198" t="s">
        <v>3941</v>
      </c>
      <c r="AS198" t="s">
        <v>3942</v>
      </c>
      <c r="AT198" t="s">
        <v>4554</v>
      </c>
      <c r="AU198" t="s">
        <v>3944</v>
      </c>
      <c r="AV198" t="s">
        <v>3945</v>
      </c>
      <c r="AW198" t="s">
        <v>3946</v>
      </c>
      <c r="AX198">
        <v>24</v>
      </c>
      <c r="AY198">
        <v>2</v>
      </c>
      <c r="AZ198" t="s">
        <v>3897</v>
      </c>
      <c r="BA198">
        <v>1</v>
      </c>
      <c r="BB198" t="s">
        <v>4149</v>
      </c>
      <c r="BC198">
        <v>90</v>
      </c>
      <c r="BD198">
        <v>3</v>
      </c>
      <c r="BE198" t="s">
        <v>3911</v>
      </c>
      <c r="BF198">
        <v>90</v>
      </c>
      <c r="BG198">
        <v>66</v>
      </c>
      <c r="BH198" t="s">
        <v>3965</v>
      </c>
      <c r="BI198" t="s">
        <v>4555</v>
      </c>
      <c r="BJ198">
        <v>1</v>
      </c>
      <c r="BK198" t="s">
        <v>3902</v>
      </c>
    </row>
    <row r="199" spans="1:63" x14ac:dyDescent="0.25">
      <c r="A199">
        <v>4248</v>
      </c>
      <c r="B199" t="str">
        <f>"20200127190017066084"</f>
        <v>20200127190017066084</v>
      </c>
      <c r="C199">
        <v>1</v>
      </c>
      <c r="D199">
        <v>1</v>
      </c>
      <c r="E199" t="s">
        <v>3886</v>
      </c>
      <c r="F199">
        <v>2</v>
      </c>
      <c r="G199">
        <v>0</v>
      </c>
      <c r="H199" t="s">
        <v>66</v>
      </c>
      <c r="I199">
        <v>0</v>
      </c>
      <c r="J199" t="s">
        <v>66</v>
      </c>
      <c r="K199">
        <v>0</v>
      </c>
      <c r="L199" t="s">
        <v>66</v>
      </c>
      <c r="M199" t="s">
        <v>56</v>
      </c>
      <c r="N199">
        <v>0</v>
      </c>
      <c r="O199" t="s">
        <v>66</v>
      </c>
      <c r="P199" t="s">
        <v>56</v>
      </c>
      <c r="Q199">
        <v>0</v>
      </c>
      <c r="R199" t="s">
        <v>66</v>
      </c>
      <c r="S199" t="s">
        <v>56</v>
      </c>
      <c r="T199">
        <v>1</v>
      </c>
      <c r="U199" t="s">
        <v>1627</v>
      </c>
      <c r="V199" t="s">
        <v>56</v>
      </c>
      <c r="W199">
        <v>0</v>
      </c>
      <c r="X199" t="s">
        <v>66</v>
      </c>
      <c r="Y199" t="s">
        <v>56</v>
      </c>
      <c r="Z199">
        <v>0</v>
      </c>
      <c r="AA199" t="s">
        <v>66</v>
      </c>
      <c r="AB199" t="s">
        <v>56</v>
      </c>
      <c r="AC199">
        <v>1</v>
      </c>
      <c r="AD199" t="s">
        <v>1627</v>
      </c>
      <c r="AE199" t="s">
        <v>3887</v>
      </c>
      <c r="AF199">
        <v>0</v>
      </c>
      <c r="AG199" t="s">
        <v>66</v>
      </c>
      <c r="AH199" t="s">
        <v>56</v>
      </c>
      <c r="AI199">
        <v>1</v>
      </c>
      <c r="AJ199" t="s">
        <v>1627</v>
      </c>
      <c r="AK199" t="s">
        <v>56</v>
      </c>
      <c r="AL199" t="s">
        <v>56</v>
      </c>
      <c r="AM199" t="s">
        <v>56</v>
      </c>
      <c r="AN199" t="s">
        <v>56</v>
      </c>
      <c r="AO199" t="s">
        <v>4556</v>
      </c>
      <c r="AP199" t="s">
        <v>3939</v>
      </c>
      <c r="AQ199" t="s">
        <v>3940</v>
      </c>
      <c r="AR199" t="s">
        <v>3941</v>
      </c>
      <c r="AS199" t="s">
        <v>3942</v>
      </c>
      <c r="AT199" t="s">
        <v>4557</v>
      </c>
      <c r="AU199" t="s">
        <v>3944</v>
      </c>
      <c r="AV199" t="s">
        <v>3945</v>
      </c>
      <c r="AW199" t="s">
        <v>3946</v>
      </c>
      <c r="AX199">
        <v>12</v>
      </c>
      <c r="AY199">
        <v>2</v>
      </c>
      <c r="AZ199" t="s">
        <v>3897</v>
      </c>
      <c r="BA199">
        <v>10</v>
      </c>
      <c r="BB199" t="s">
        <v>3898</v>
      </c>
      <c r="BC199">
        <v>3</v>
      </c>
      <c r="BD199">
        <v>5</v>
      </c>
      <c r="BE199" t="s">
        <v>3899</v>
      </c>
      <c r="BF199">
        <v>180</v>
      </c>
      <c r="BG199">
        <v>14</v>
      </c>
      <c r="BH199" t="s">
        <v>3947</v>
      </c>
      <c r="BI199" t="s">
        <v>4558</v>
      </c>
      <c r="BJ199">
        <v>1</v>
      </c>
      <c r="BK199" t="s">
        <v>3902</v>
      </c>
    </row>
    <row r="200" spans="1:63" x14ac:dyDescent="0.25">
      <c r="A200">
        <v>4249</v>
      </c>
      <c r="B200" t="str">
        <f>"20200127164017066635"</f>
        <v>20200127164017066635</v>
      </c>
      <c r="C200">
        <v>1</v>
      </c>
      <c r="D200">
        <v>1</v>
      </c>
      <c r="E200" t="s">
        <v>3886</v>
      </c>
      <c r="F200">
        <v>2</v>
      </c>
      <c r="G200">
        <v>0</v>
      </c>
      <c r="H200" t="s">
        <v>66</v>
      </c>
      <c r="I200">
        <v>0</v>
      </c>
      <c r="J200" t="s">
        <v>66</v>
      </c>
      <c r="K200">
        <v>1</v>
      </c>
      <c r="L200" t="s">
        <v>1627</v>
      </c>
      <c r="M200" t="s">
        <v>4112</v>
      </c>
      <c r="N200">
        <v>1</v>
      </c>
      <c r="O200" t="s">
        <v>1627</v>
      </c>
      <c r="P200" t="s">
        <v>4367</v>
      </c>
      <c r="Q200">
        <v>0</v>
      </c>
      <c r="R200" t="s">
        <v>66</v>
      </c>
      <c r="S200" t="s">
        <v>56</v>
      </c>
      <c r="T200" t="s">
        <v>56</v>
      </c>
      <c r="U200" t="s">
        <v>56</v>
      </c>
      <c r="V200" t="s">
        <v>56</v>
      </c>
      <c r="W200">
        <v>0</v>
      </c>
      <c r="X200" t="s">
        <v>66</v>
      </c>
      <c r="Y200" t="s">
        <v>56</v>
      </c>
      <c r="Z200">
        <v>0</v>
      </c>
      <c r="AA200" t="s">
        <v>66</v>
      </c>
      <c r="AB200" t="s">
        <v>56</v>
      </c>
      <c r="AC200">
        <v>0</v>
      </c>
      <c r="AD200" t="s">
        <v>66</v>
      </c>
      <c r="AE200" t="s">
        <v>56</v>
      </c>
      <c r="AF200">
        <v>0</v>
      </c>
      <c r="AG200" t="s">
        <v>66</v>
      </c>
      <c r="AH200" t="s">
        <v>56</v>
      </c>
      <c r="AI200">
        <v>1</v>
      </c>
      <c r="AJ200" t="s">
        <v>1627</v>
      </c>
      <c r="AK200" t="s">
        <v>56</v>
      </c>
      <c r="AL200" t="s">
        <v>56</v>
      </c>
      <c r="AM200" t="s">
        <v>56</v>
      </c>
      <c r="AN200" t="s">
        <v>56</v>
      </c>
      <c r="AO200" t="s">
        <v>3985</v>
      </c>
      <c r="AP200" t="s">
        <v>3962</v>
      </c>
      <c r="AQ200" t="s">
        <v>3963</v>
      </c>
      <c r="AR200" t="s">
        <v>3941</v>
      </c>
      <c r="AS200" t="s">
        <v>3942</v>
      </c>
      <c r="AT200" t="s">
        <v>4559</v>
      </c>
      <c r="AU200" t="s">
        <v>3944</v>
      </c>
      <c r="AV200" t="s">
        <v>3945</v>
      </c>
      <c r="AW200" t="s">
        <v>3946</v>
      </c>
      <c r="AX200">
        <v>24</v>
      </c>
      <c r="AY200">
        <v>2</v>
      </c>
      <c r="AZ200" t="s">
        <v>3897</v>
      </c>
      <c r="BA200">
        <v>10</v>
      </c>
      <c r="BB200" t="s">
        <v>3898</v>
      </c>
      <c r="BC200">
        <v>3</v>
      </c>
      <c r="BD200">
        <v>5</v>
      </c>
      <c r="BE200" t="s">
        <v>3899</v>
      </c>
      <c r="BF200">
        <v>90</v>
      </c>
      <c r="BG200">
        <v>66</v>
      </c>
      <c r="BH200" t="s">
        <v>3965</v>
      </c>
      <c r="BI200" t="s">
        <v>4560</v>
      </c>
      <c r="BJ200">
        <v>1</v>
      </c>
      <c r="BK200" t="s">
        <v>3902</v>
      </c>
    </row>
    <row r="201" spans="1:63" x14ac:dyDescent="0.25">
      <c r="A201">
        <v>4250</v>
      </c>
      <c r="B201" t="str">
        <f>"20200127164017066635"</f>
        <v>20200127164017066635</v>
      </c>
      <c r="C201">
        <v>2</v>
      </c>
      <c r="D201">
        <v>1</v>
      </c>
      <c r="E201" t="s">
        <v>3886</v>
      </c>
      <c r="F201">
        <v>2</v>
      </c>
      <c r="G201">
        <v>0</v>
      </c>
      <c r="H201" t="s">
        <v>66</v>
      </c>
      <c r="I201">
        <v>0</v>
      </c>
      <c r="J201" t="s">
        <v>66</v>
      </c>
      <c r="K201">
        <v>1</v>
      </c>
      <c r="L201" t="s">
        <v>1627</v>
      </c>
      <c r="M201" t="s">
        <v>4551</v>
      </c>
      <c r="N201">
        <v>1</v>
      </c>
      <c r="O201" t="s">
        <v>1627</v>
      </c>
      <c r="P201" t="s">
        <v>4367</v>
      </c>
      <c r="Q201">
        <v>0</v>
      </c>
      <c r="R201" t="s">
        <v>66</v>
      </c>
      <c r="S201" t="s">
        <v>56</v>
      </c>
      <c r="T201" t="s">
        <v>56</v>
      </c>
      <c r="U201" t="s">
        <v>56</v>
      </c>
      <c r="V201" t="s">
        <v>56</v>
      </c>
      <c r="W201">
        <v>0</v>
      </c>
      <c r="X201" t="s">
        <v>66</v>
      </c>
      <c r="Y201" t="s">
        <v>56</v>
      </c>
      <c r="Z201">
        <v>0</v>
      </c>
      <c r="AA201" t="s">
        <v>66</v>
      </c>
      <c r="AB201" t="s">
        <v>56</v>
      </c>
      <c r="AC201">
        <v>0</v>
      </c>
      <c r="AD201" t="s">
        <v>66</v>
      </c>
      <c r="AE201" t="s">
        <v>56</v>
      </c>
      <c r="AF201">
        <v>0</v>
      </c>
      <c r="AG201" t="s">
        <v>66</v>
      </c>
      <c r="AH201" t="s">
        <v>56</v>
      </c>
      <c r="AI201">
        <v>1</v>
      </c>
      <c r="AJ201" t="s">
        <v>1627</v>
      </c>
      <c r="AK201" t="s">
        <v>56</v>
      </c>
      <c r="AL201" t="s">
        <v>56</v>
      </c>
      <c r="AM201" t="s">
        <v>56</v>
      </c>
      <c r="AN201" t="s">
        <v>56</v>
      </c>
      <c r="AO201" t="s">
        <v>4561</v>
      </c>
      <c r="AP201" t="s">
        <v>3962</v>
      </c>
      <c r="AQ201" t="s">
        <v>3963</v>
      </c>
      <c r="AR201" t="s">
        <v>3941</v>
      </c>
      <c r="AS201" t="s">
        <v>3942</v>
      </c>
      <c r="AT201" t="s">
        <v>4562</v>
      </c>
      <c r="AU201" t="s">
        <v>3944</v>
      </c>
      <c r="AV201" t="s">
        <v>3945</v>
      </c>
      <c r="AW201" t="s">
        <v>3946</v>
      </c>
      <c r="AX201">
        <v>24</v>
      </c>
      <c r="AY201">
        <v>2</v>
      </c>
      <c r="AZ201" t="s">
        <v>3897</v>
      </c>
      <c r="BA201">
        <v>10</v>
      </c>
      <c r="BB201" t="s">
        <v>3898</v>
      </c>
      <c r="BC201">
        <v>3</v>
      </c>
      <c r="BD201">
        <v>5</v>
      </c>
      <c r="BE201" t="s">
        <v>3899</v>
      </c>
      <c r="BF201">
        <v>90</v>
      </c>
      <c r="BG201">
        <v>66</v>
      </c>
      <c r="BH201" t="s">
        <v>3965</v>
      </c>
      <c r="BI201" t="s">
        <v>4563</v>
      </c>
      <c r="BJ201">
        <v>1</v>
      </c>
      <c r="BK201" t="s">
        <v>3902</v>
      </c>
    </row>
    <row r="202" spans="1:63" x14ac:dyDescent="0.25">
      <c r="A202">
        <v>4251</v>
      </c>
      <c r="B202" t="str">
        <f>"20200127194017066794"</f>
        <v>20200127194017066794</v>
      </c>
      <c r="C202">
        <v>1</v>
      </c>
      <c r="D202">
        <v>1</v>
      </c>
      <c r="E202" t="s">
        <v>3886</v>
      </c>
      <c r="F202">
        <v>1</v>
      </c>
      <c r="G202">
        <v>0</v>
      </c>
      <c r="H202" t="s">
        <v>66</v>
      </c>
      <c r="I202">
        <v>0</v>
      </c>
      <c r="J202" t="s">
        <v>66</v>
      </c>
      <c r="K202">
        <v>1</v>
      </c>
      <c r="L202" t="s">
        <v>1627</v>
      </c>
      <c r="M202" t="s">
        <v>4218</v>
      </c>
      <c r="N202">
        <v>1</v>
      </c>
      <c r="O202" t="s">
        <v>1627</v>
      </c>
      <c r="P202" t="s">
        <v>4564</v>
      </c>
      <c r="Q202">
        <v>0</v>
      </c>
      <c r="R202" t="s">
        <v>66</v>
      </c>
      <c r="S202" t="s">
        <v>56</v>
      </c>
      <c r="T202" t="s">
        <v>56</v>
      </c>
      <c r="U202" t="s">
        <v>56</v>
      </c>
      <c r="V202" t="s">
        <v>56</v>
      </c>
      <c r="W202">
        <v>0</v>
      </c>
      <c r="X202" t="s">
        <v>66</v>
      </c>
      <c r="Y202" t="s">
        <v>56</v>
      </c>
      <c r="Z202">
        <v>0</v>
      </c>
      <c r="AA202" t="s">
        <v>66</v>
      </c>
      <c r="AB202" t="s">
        <v>56</v>
      </c>
      <c r="AC202">
        <v>0</v>
      </c>
      <c r="AD202" t="s">
        <v>66</v>
      </c>
      <c r="AE202" t="s">
        <v>56</v>
      </c>
      <c r="AF202">
        <v>0</v>
      </c>
      <c r="AG202" t="s">
        <v>66</v>
      </c>
      <c r="AH202" t="s">
        <v>56</v>
      </c>
      <c r="AI202">
        <v>1</v>
      </c>
      <c r="AJ202" t="s">
        <v>1627</v>
      </c>
      <c r="AK202" t="s">
        <v>56</v>
      </c>
      <c r="AL202" t="s">
        <v>56</v>
      </c>
      <c r="AM202" t="s">
        <v>56</v>
      </c>
      <c r="AN202" t="s">
        <v>56</v>
      </c>
      <c r="AO202" t="s">
        <v>4220</v>
      </c>
      <c r="AP202" t="s">
        <v>3889</v>
      </c>
      <c r="AQ202" t="s">
        <v>3890</v>
      </c>
      <c r="AR202" t="s">
        <v>3904</v>
      </c>
      <c r="AS202" t="s">
        <v>3905</v>
      </c>
      <c r="AT202" t="s">
        <v>4565</v>
      </c>
      <c r="AU202" t="s">
        <v>4026</v>
      </c>
      <c r="AV202" t="s">
        <v>4027</v>
      </c>
      <c r="AW202" t="s">
        <v>4028</v>
      </c>
      <c r="AX202">
        <v>1</v>
      </c>
      <c r="AY202">
        <v>2</v>
      </c>
      <c r="AZ202" t="s">
        <v>3897</v>
      </c>
      <c r="BA202">
        <v>5</v>
      </c>
      <c r="BB202" t="s">
        <v>3910</v>
      </c>
      <c r="BC202">
        <v>5</v>
      </c>
      <c r="BD202">
        <v>3</v>
      </c>
      <c r="BE202" t="s">
        <v>3911</v>
      </c>
      <c r="BF202">
        <v>20</v>
      </c>
      <c r="BG202" t="s">
        <v>3912</v>
      </c>
      <c r="BH202" t="s">
        <v>3913</v>
      </c>
      <c r="BI202" t="s">
        <v>4566</v>
      </c>
      <c r="BJ202">
        <v>1</v>
      </c>
      <c r="BK202" t="s">
        <v>3902</v>
      </c>
    </row>
    <row r="203" spans="1:63" x14ac:dyDescent="0.25">
      <c r="A203">
        <v>4246</v>
      </c>
      <c r="B203" t="str">
        <f>"20200127127017065194"</f>
        <v>20200127127017065194</v>
      </c>
      <c r="C203">
        <v>2</v>
      </c>
      <c r="D203">
        <v>1</v>
      </c>
      <c r="E203" t="s">
        <v>3886</v>
      </c>
      <c r="F203">
        <v>1</v>
      </c>
      <c r="G203">
        <v>0</v>
      </c>
      <c r="H203" t="s">
        <v>66</v>
      </c>
      <c r="I203">
        <v>0</v>
      </c>
      <c r="J203" t="s">
        <v>66</v>
      </c>
      <c r="K203">
        <v>1</v>
      </c>
      <c r="L203" t="s">
        <v>1627</v>
      </c>
      <c r="M203" t="s">
        <v>4063</v>
      </c>
      <c r="N203">
        <v>1</v>
      </c>
      <c r="O203" t="s">
        <v>1627</v>
      </c>
      <c r="P203" t="s">
        <v>4409</v>
      </c>
      <c r="Q203">
        <v>0</v>
      </c>
      <c r="R203" t="s">
        <v>66</v>
      </c>
      <c r="S203" t="s">
        <v>56</v>
      </c>
      <c r="T203" t="s">
        <v>56</v>
      </c>
      <c r="U203" t="s">
        <v>56</v>
      </c>
      <c r="V203" t="s">
        <v>56</v>
      </c>
      <c r="W203">
        <v>0</v>
      </c>
      <c r="X203" t="s">
        <v>66</v>
      </c>
      <c r="Y203" t="s">
        <v>56</v>
      </c>
      <c r="Z203">
        <v>0</v>
      </c>
      <c r="AA203" t="s">
        <v>66</v>
      </c>
      <c r="AB203" t="s">
        <v>56</v>
      </c>
      <c r="AC203">
        <v>0</v>
      </c>
      <c r="AD203" t="s">
        <v>66</v>
      </c>
      <c r="AE203" t="s">
        <v>56</v>
      </c>
      <c r="AF203">
        <v>0</v>
      </c>
      <c r="AG203" t="s">
        <v>66</v>
      </c>
      <c r="AH203" t="s">
        <v>56</v>
      </c>
      <c r="AI203">
        <v>1</v>
      </c>
      <c r="AJ203" t="s">
        <v>1627</v>
      </c>
      <c r="AK203" t="s">
        <v>56</v>
      </c>
      <c r="AL203" t="s">
        <v>56</v>
      </c>
      <c r="AM203" t="s">
        <v>56</v>
      </c>
      <c r="AN203" t="s">
        <v>56</v>
      </c>
      <c r="AO203" t="s">
        <v>4567</v>
      </c>
      <c r="AP203" t="s">
        <v>3939</v>
      </c>
      <c r="AQ203" t="s">
        <v>3940</v>
      </c>
      <c r="AR203" t="s">
        <v>3941</v>
      </c>
      <c r="AS203" t="s">
        <v>3942</v>
      </c>
      <c r="AT203" t="s">
        <v>4554</v>
      </c>
      <c r="AU203" t="s">
        <v>3944</v>
      </c>
      <c r="AV203" t="s">
        <v>3945</v>
      </c>
      <c r="AW203" t="s">
        <v>3946</v>
      </c>
      <c r="AX203">
        <v>12</v>
      </c>
      <c r="AY203">
        <v>3</v>
      </c>
      <c r="AZ203" t="s">
        <v>3911</v>
      </c>
      <c r="BA203">
        <v>1</v>
      </c>
      <c r="BB203" t="s">
        <v>4149</v>
      </c>
      <c r="BC203">
        <v>90</v>
      </c>
      <c r="BD203">
        <v>3</v>
      </c>
      <c r="BE203" t="s">
        <v>3911</v>
      </c>
      <c r="BF203">
        <v>180</v>
      </c>
      <c r="BG203">
        <v>66</v>
      </c>
      <c r="BH203" t="s">
        <v>3965</v>
      </c>
      <c r="BI203" t="s">
        <v>4555</v>
      </c>
      <c r="BJ203">
        <v>1</v>
      </c>
      <c r="BK203" t="s">
        <v>3902</v>
      </c>
    </row>
    <row r="204" spans="1:63" x14ac:dyDescent="0.25">
      <c r="A204">
        <v>4247</v>
      </c>
      <c r="B204" t="str">
        <f>"20200127140017065971"</f>
        <v>20200127140017065971</v>
      </c>
      <c r="C204">
        <v>1</v>
      </c>
      <c r="D204">
        <v>1</v>
      </c>
      <c r="E204" t="s">
        <v>3886</v>
      </c>
      <c r="F204">
        <v>2</v>
      </c>
      <c r="G204">
        <v>0</v>
      </c>
      <c r="H204" t="s">
        <v>66</v>
      </c>
      <c r="I204">
        <v>0</v>
      </c>
      <c r="J204" t="s">
        <v>66</v>
      </c>
      <c r="K204">
        <v>0</v>
      </c>
      <c r="L204" t="s">
        <v>66</v>
      </c>
      <c r="M204" t="s">
        <v>56</v>
      </c>
      <c r="N204">
        <v>0</v>
      </c>
      <c r="O204" t="s">
        <v>66</v>
      </c>
      <c r="P204" t="s">
        <v>56</v>
      </c>
      <c r="Q204">
        <v>0</v>
      </c>
      <c r="R204" t="s">
        <v>66</v>
      </c>
      <c r="S204" t="s">
        <v>56</v>
      </c>
      <c r="T204">
        <v>1</v>
      </c>
      <c r="U204" t="s">
        <v>1627</v>
      </c>
      <c r="V204" t="s">
        <v>56</v>
      </c>
      <c r="W204">
        <v>0</v>
      </c>
      <c r="X204" t="s">
        <v>66</v>
      </c>
      <c r="Y204" t="s">
        <v>56</v>
      </c>
      <c r="Z204">
        <v>0</v>
      </c>
      <c r="AA204" t="s">
        <v>66</v>
      </c>
      <c r="AB204" t="s">
        <v>56</v>
      </c>
      <c r="AC204">
        <v>1</v>
      </c>
      <c r="AD204" t="s">
        <v>1627</v>
      </c>
      <c r="AE204" t="s">
        <v>3887</v>
      </c>
      <c r="AF204">
        <v>0</v>
      </c>
      <c r="AG204" t="s">
        <v>66</v>
      </c>
      <c r="AH204" t="s">
        <v>56</v>
      </c>
      <c r="AI204">
        <v>1</v>
      </c>
      <c r="AJ204" t="s">
        <v>1627</v>
      </c>
      <c r="AK204" t="s">
        <v>56</v>
      </c>
      <c r="AL204" t="s">
        <v>56</v>
      </c>
      <c r="AM204" t="s">
        <v>56</v>
      </c>
      <c r="AN204" t="s">
        <v>56</v>
      </c>
      <c r="AO204" t="s">
        <v>4568</v>
      </c>
      <c r="AP204" t="s">
        <v>3962</v>
      </c>
      <c r="AQ204" t="s">
        <v>3963</v>
      </c>
      <c r="AR204" t="s">
        <v>3941</v>
      </c>
      <c r="AS204" t="s">
        <v>3942</v>
      </c>
      <c r="AT204" t="s">
        <v>4557</v>
      </c>
      <c r="AU204" t="s">
        <v>3944</v>
      </c>
      <c r="AV204" t="s">
        <v>3945</v>
      </c>
      <c r="AW204" t="s">
        <v>3946</v>
      </c>
      <c r="AX204">
        <v>8</v>
      </c>
      <c r="AY204">
        <v>2</v>
      </c>
      <c r="AZ204" t="s">
        <v>3897</v>
      </c>
      <c r="BA204">
        <v>10</v>
      </c>
      <c r="BB204" t="s">
        <v>3898</v>
      </c>
      <c r="BC204">
        <v>3</v>
      </c>
      <c r="BD204">
        <v>5</v>
      </c>
      <c r="BE204" t="s">
        <v>3899</v>
      </c>
      <c r="BF204">
        <v>270</v>
      </c>
      <c r="BG204">
        <v>66</v>
      </c>
      <c r="BH204" t="s">
        <v>3965</v>
      </c>
      <c r="BI204" t="s">
        <v>4569</v>
      </c>
      <c r="BJ204">
        <v>1</v>
      </c>
      <c r="BK204" t="s">
        <v>3902</v>
      </c>
    </row>
    <row r="205" spans="1:63" x14ac:dyDescent="0.25">
      <c r="A205">
        <v>4268</v>
      </c>
      <c r="B205" t="str">
        <f>"20200128120017074067"</f>
        <v>20200128120017074067</v>
      </c>
      <c r="C205">
        <v>1</v>
      </c>
      <c r="D205">
        <v>1</v>
      </c>
      <c r="E205" t="s">
        <v>3886</v>
      </c>
      <c r="F205">
        <v>2</v>
      </c>
      <c r="G205">
        <v>0</v>
      </c>
      <c r="H205" t="s">
        <v>66</v>
      </c>
      <c r="I205">
        <v>0</v>
      </c>
      <c r="J205" t="s">
        <v>66</v>
      </c>
      <c r="K205">
        <v>0</v>
      </c>
      <c r="L205" t="s">
        <v>66</v>
      </c>
      <c r="M205" t="s">
        <v>56</v>
      </c>
      <c r="N205">
        <v>0</v>
      </c>
      <c r="O205" t="s">
        <v>66</v>
      </c>
      <c r="P205" t="s">
        <v>56</v>
      </c>
      <c r="Q205">
        <v>0</v>
      </c>
      <c r="R205" t="s">
        <v>66</v>
      </c>
      <c r="S205" t="s">
        <v>56</v>
      </c>
      <c r="T205">
        <v>1</v>
      </c>
      <c r="U205" t="s">
        <v>1627</v>
      </c>
      <c r="V205" t="s">
        <v>56</v>
      </c>
      <c r="W205">
        <v>0</v>
      </c>
      <c r="X205" t="s">
        <v>66</v>
      </c>
      <c r="Y205" t="s">
        <v>56</v>
      </c>
      <c r="Z205">
        <v>0</v>
      </c>
      <c r="AA205" t="s">
        <v>66</v>
      </c>
      <c r="AB205" t="s">
        <v>56</v>
      </c>
      <c r="AC205">
        <v>1</v>
      </c>
      <c r="AD205" t="s">
        <v>1627</v>
      </c>
      <c r="AE205" t="s">
        <v>3887</v>
      </c>
      <c r="AF205">
        <v>0</v>
      </c>
      <c r="AG205" t="s">
        <v>66</v>
      </c>
      <c r="AH205" t="s">
        <v>56</v>
      </c>
      <c r="AI205">
        <v>1</v>
      </c>
      <c r="AJ205" t="s">
        <v>1627</v>
      </c>
      <c r="AK205" t="s">
        <v>56</v>
      </c>
      <c r="AL205" t="s">
        <v>56</v>
      </c>
      <c r="AM205" t="s">
        <v>56</v>
      </c>
      <c r="AN205" t="s">
        <v>56</v>
      </c>
      <c r="AO205" t="s">
        <v>4139</v>
      </c>
      <c r="AP205" t="s">
        <v>3889</v>
      </c>
      <c r="AQ205" t="s">
        <v>3890</v>
      </c>
      <c r="AR205" t="s">
        <v>3891</v>
      </c>
      <c r="AS205" t="s">
        <v>3892</v>
      </c>
      <c r="AT205" t="s">
        <v>4495</v>
      </c>
      <c r="AU205" t="s">
        <v>3894</v>
      </c>
      <c r="AV205" t="s">
        <v>3895</v>
      </c>
      <c r="AW205" t="s">
        <v>3896</v>
      </c>
      <c r="AX205">
        <v>12</v>
      </c>
      <c r="AY205">
        <v>2</v>
      </c>
      <c r="AZ205" t="s">
        <v>3897</v>
      </c>
      <c r="BA205">
        <v>10</v>
      </c>
      <c r="BB205" t="s">
        <v>3898</v>
      </c>
      <c r="BC205">
        <v>3</v>
      </c>
      <c r="BD205">
        <v>5</v>
      </c>
      <c r="BE205" t="s">
        <v>3899</v>
      </c>
      <c r="BF205">
        <v>3</v>
      </c>
      <c r="BG205">
        <v>13</v>
      </c>
      <c r="BH205" t="s">
        <v>3900</v>
      </c>
      <c r="BI205" t="s">
        <v>4570</v>
      </c>
      <c r="BJ205">
        <v>1</v>
      </c>
      <c r="BK205" t="s">
        <v>3902</v>
      </c>
    </row>
    <row r="206" spans="1:63" x14ac:dyDescent="0.25">
      <c r="A206">
        <v>4269</v>
      </c>
      <c r="B206" t="str">
        <f>"20200128140017074507"</f>
        <v>20200128140017074507</v>
      </c>
      <c r="C206">
        <v>1</v>
      </c>
      <c r="D206">
        <v>1</v>
      </c>
      <c r="E206" t="s">
        <v>3886</v>
      </c>
      <c r="F206">
        <v>1</v>
      </c>
      <c r="G206">
        <v>0</v>
      </c>
      <c r="H206" t="s">
        <v>66</v>
      </c>
      <c r="I206">
        <v>0</v>
      </c>
      <c r="J206" t="s">
        <v>66</v>
      </c>
      <c r="K206">
        <v>1</v>
      </c>
      <c r="L206" t="s">
        <v>1627</v>
      </c>
      <c r="M206" t="s">
        <v>4095</v>
      </c>
      <c r="N206">
        <v>1</v>
      </c>
      <c r="O206" t="s">
        <v>1627</v>
      </c>
      <c r="P206" t="s">
        <v>4571</v>
      </c>
      <c r="Q206">
        <v>0</v>
      </c>
      <c r="R206" t="s">
        <v>66</v>
      </c>
      <c r="S206" t="s">
        <v>56</v>
      </c>
      <c r="T206" t="s">
        <v>56</v>
      </c>
      <c r="U206" t="s">
        <v>56</v>
      </c>
      <c r="V206" t="s">
        <v>56</v>
      </c>
      <c r="W206">
        <v>0</v>
      </c>
      <c r="X206" t="s">
        <v>66</v>
      </c>
      <c r="Y206" t="s">
        <v>56</v>
      </c>
      <c r="Z206">
        <v>0</v>
      </c>
      <c r="AA206" t="s">
        <v>66</v>
      </c>
      <c r="AB206" t="s">
        <v>56</v>
      </c>
      <c r="AC206">
        <v>0</v>
      </c>
      <c r="AD206" t="s">
        <v>66</v>
      </c>
      <c r="AE206" t="s">
        <v>56</v>
      </c>
      <c r="AF206">
        <v>0</v>
      </c>
      <c r="AG206" t="s">
        <v>66</v>
      </c>
      <c r="AH206" t="s">
        <v>56</v>
      </c>
      <c r="AI206">
        <v>1</v>
      </c>
      <c r="AJ206" t="s">
        <v>1627</v>
      </c>
      <c r="AK206" t="s">
        <v>56</v>
      </c>
      <c r="AL206" t="s">
        <v>56</v>
      </c>
      <c r="AM206" t="s">
        <v>56</v>
      </c>
      <c r="AN206" t="s">
        <v>56</v>
      </c>
      <c r="AO206" t="s">
        <v>4572</v>
      </c>
      <c r="AP206" t="s">
        <v>3889</v>
      </c>
      <c r="AQ206" t="s">
        <v>3890</v>
      </c>
      <c r="AR206" t="s">
        <v>3891</v>
      </c>
      <c r="AS206" t="s">
        <v>3892</v>
      </c>
      <c r="AT206" t="s">
        <v>4573</v>
      </c>
      <c r="AU206" t="s">
        <v>3894</v>
      </c>
      <c r="AV206" t="s">
        <v>3895</v>
      </c>
      <c r="AW206" t="s">
        <v>3896</v>
      </c>
      <c r="AX206">
        <v>24</v>
      </c>
      <c r="AY206">
        <v>2</v>
      </c>
      <c r="AZ206" t="s">
        <v>3897</v>
      </c>
      <c r="BA206">
        <v>1</v>
      </c>
      <c r="BB206" t="s">
        <v>4149</v>
      </c>
      <c r="BC206">
        <v>1</v>
      </c>
      <c r="BD206">
        <v>3</v>
      </c>
      <c r="BE206" t="s">
        <v>3911</v>
      </c>
      <c r="BF206">
        <v>1</v>
      </c>
      <c r="BG206">
        <v>13</v>
      </c>
      <c r="BH206" t="s">
        <v>3900</v>
      </c>
      <c r="BI206" t="s">
        <v>4574</v>
      </c>
      <c r="BJ206">
        <v>1</v>
      </c>
      <c r="BK206" t="s">
        <v>3902</v>
      </c>
    </row>
    <row r="207" spans="1:63" x14ac:dyDescent="0.25">
      <c r="A207">
        <v>4270</v>
      </c>
      <c r="B207" t="str">
        <f>"20200128111017074667"</f>
        <v>20200128111017074667</v>
      </c>
      <c r="C207">
        <v>1</v>
      </c>
      <c r="D207">
        <v>1</v>
      </c>
      <c r="E207" t="s">
        <v>3886</v>
      </c>
      <c r="F207">
        <v>2</v>
      </c>
      <c r="G207">
        <v>0</v>
      </c>
      <c r="H207" t="s">
        <v>66</v>
      </c>
      <c r="I207">
        <v>0</v>
      </c>
      <c r="J207" t="s">
        <v>66</v>
      </c>
      <c r="K207">
        <v>0</v>
      </c>
      <c r="L207" t="s">
        <v>66</v>
      </c>
      <c r="M207" t="s">
        <v>56</v>
      </c>
      <c r="N207">
        <v>0</v>
      </c>
      <c r="O207" t="s">
        <v>66</v>
      </c>
      <c r="P207" t="s">
        <v>56</v>
      </c>
      <c r="Q207">
        <v>0</v>
      </c>
      <c r="R207" t="s">
        <v>66</v>
      </c>
      <c r="S207" t="s">
        <v>56</v>
      </c>
      <c r="T207">
        <v>1</v>
      </c>
      <c r="U207" t="s">
        <v>1627</v>
      </c>
      <c r="V207" t="s">
        <v>56</v>
      </c>
      <c r="W207">
        <v>0</v>
      </c>
      <c r="X207" t="s">
        <v>66</v>
      </c>
      <c r="Y207" t="s">
        <v>56</v>
      </c>
      <c r="Z207">
        <v>0</v>
      </c>
      <c r="AA207" t="s">
        <v>66</v>
      </c>
      <c r="AB207" t="s">
        <v>56</v>
      </c>
      <c r="AC207">
        <v>1</v>
      </c>
      <c r="AD207" t="s">
        <v>1627</v>
      </c>
      <c r="AE207" t="s">
        <v>3887</v>
      </c>
      <c r="AF207">
        <v>0</v>
      </c>
      <c r="AG207" t="s">
        <v>66</v>
      </c>
      <c r="AH207" t="s">
        <v>56</v>
      </c>
      <c r="AI207">
        <v>1</v>
      </c>
      <c r="AJ207" t="s">
        <v>1627</v>
      </c>
      <c r="AK207" t="s">
        <v>56</v>
      </c>
      <c r="AL207" t="s">
        <v>56</v>
      </c>
      <c r="AM207" t="s">
        <v>56</v>
      </c>
      <c r="AN207" t="s">
        <v>56</v>
      </c>
      <c r="AO207" t="s">
        <v>3949</v>
      </c>
      <c r="AP207" t="s">
        <v>3889</v>
      </c>
      <c r="AQ207" t="s">
        <v>3890</v>
      </c>
      <c r="AR207" t="s">
        <v>3926</v>
      </c>
      <c r="AS207" t="s">
        <v>3927</v>
      </c>
      <c r="AT207" t="s">
        <v>4575</v>
      </c>
      <c r="AU207" t="s">
        <v>3894</v>
      </c>
      <c r="AV207" t="s">
        <v>3895</v>
      </c>
      <c r="AW207" t="s">
        <v>3896</v>
      </c>
      <c r="AX207">
        <v>6</v>
      </c>
      <c r="AY207">
        <v>2</v>
      </c>
      <c r="AZ207" t="s">
        <v>3897</v>
      </c>
      <c r="BA207">
        <v>10</v>
      </c>
      <c r="BB207" t="s">
        <v>3898</v>
      </c>
      <c r="BC207">
        <v>3</v>
      </c>
      <c r="BD207">
        <v>5</v>
      </c>
      <c r="BE207" t="s">
        <v>3899</v>
      </c>
      <c r="BF207">
        <v>3</v>
      </c>
      <c r="BG207">
        <v>13</v>
      </c>
      <c r="BH207" t="s">
        <v>3900</v>
      </c>
      <c r="BI207" t="s">
        <v>4576</v>
      </c>
      <c r="BJ207">
        <v>1</v>
      </c>
      <c r="BK207" t="s">
        <v>3902</v>
      </c>
    </row>
    <row r="208" spans="1:63" x14ac:dyDescent="0.25">
      <c r="A208">
        <v>4271</v>
      </c>
      <c r="B208" t="str">
        <f>"20200128156017074775"</f>
        <v>20200128156017074775</v>
      </c>
      <c r="C208">
        <v>1</v>
      </c>
      <c r="D208">
        <v>1</v>
      </c>
      <c r="E208" t="s">
        <v>3886</v>
      </c>
      <c r="F208">
        <v>2</v>
      </c>
      <c r="G208">
        <v>0</v>
      </c>
      <c r="H208" t="s">
        <v>66</v>
      </c>
      <c r="I208">
        <v>0</v>
      </c>
      <c r="J208" t="s">
        <v>66</v>
      </c>
      <c r="K208">
        <v>0</v>
      </c>
      <c r="L208" t="s">
        <v>66</v>
      </c>
      <c r="M208" t="s">
        <v>56</v>
      </c>
      <c r="N208">
        <v>0</v>
      </c>
      <c r="O208" t="s">
        <v>66</v>
      </c>
      <c r="P208" t="s">
        <v>56</v>
      </c>
      <c r="Q208">
        <v>0</v>
      </c>
      <c r="R208" t="s">
        <v>66</v>
      </c>
      <c r="S208" t="s">
        <v>56</v>
      </c>
      <c r="T208">
        <v>1</v>
      </c>
      <c r="U208" t="s">
        <v>1627</v>
      </c>
      <c r="V208" t="s">
        <v>56</v>
      </c>
      <c r="W208">
        <v>0</v>
      </c>
      <c r="X208" t="s">
        <v>66</v>
      </c>
      <c r="Y208" t="s">
        <v>56</v>
      </c>
      <c r="Z208">
        <v>0</v>
      </c>
      <c r="AA208" t="s">
        <v>66</v>
      </c>
      <c r="AB208" t="s">
        <v>56</v>
      </c>
      <c r="AC208">
        <v>1</v>
      </c>
      <c r="AD208" t="s">
        <v>1627</v>
      </c>
      <c r="AE208" t="s">
        <v>3887</v>
      </c>
      <c r="AF208">
        <v>0</v>
      </c>
      <c r="AG208" t="s">
        <v>66</v>
      </c>
      <c r="AH208" t="s">
        <v>56</v>
      </c>
      <c r="AI208">
        <v>1</v>
      </c>
      <c r="AJ208" t="s">
        <v>1627</v>
      </c>
      <c r="AK208">
        <v>0</v>
      </c>
      <c r="AL208" t="s">
        <v>66</v>
      </c>
      <c r="AM208" t="s">
        <v>56</v>
      </c>
      <c r="AN208" t="s">
        <v>56</v>
      </c>
      <c r="AO208" t="s">
        <v>4577</v>
      </c>
      <c r="AP208" t="s">
        <v>3889</v>
      </c>
      <c r="AQ208" t="s">
        <v>3890</v>
      </c>
      <c r="AR208" t="s">
        <v>3904</v>
      </c>
      <c r="AS208" t="s">
        <v>3905</v>
      </c>
      <c r="AT208" t="s">
        <v>4578</v>
      </c>
      <c r="AU208" t="s">
        <v>3944</v>
      </c>
      <c r="AV208" t="s">
        <v>3945</v>
      </c>
      <c r="AW208" t="s">
        <v>3946</v>
      </c>
      <c r="AX208">
        <v>8</v>
      </c>
      <c r="AY208">
        <v>3</v>
      </c>
      <c r="AZ208" t="s">
        <v>3911</v>
      </c>
      <c r="BA208">
        <v>10</v>
      </c>
      <c r="BB208" t="s">
        <v>3898</v>
      </c>
      <c r="BC208">
        <v>8</v>
      </c>
      <c r="BD208">
        <v>3</v>
      </c>
      <c r="BE208" t="s">
        <v>3911</v>
      </c>
      <c r="BF208">
        <v>16</v>
      </c>
      <c r="BG208" t="s">
        <v>3912</v>
      </c>
      <c r="BH208" t="s">
        <v>3913</v>
      </c>
      <c r="BI208" t="s">
        <v>4579</v>
      </c>
      <c r="BJ208">
        <v>1</v>
      </c>
      <c r="BK208" t="s">
        <v>3902</v>
      </c>
    </row>
    <row r="209" spans="1:63" x14ac:dyDescent="0.25">
      <c r="A209">
        <v>4272</v>
      </c>
      <c r="B209" t="str">
        <f>"20200128156017075318"</f>
        <v>20200128156017075318</v>
      </c>
      <c r="C209">
        <v>1</v>
      </c>
      <c r="D209">
        <v>1</v>
      </c>
      <c r="E209" t="s">
        <v>3886</v>
      </c>
      <c r="F209">
        <v>2</v>
      </c>
      <c r="G209">
        <v>0</v>
      </c>
      <c r="H209" t="s">
        <v>66</v>
      </c>
      <c r="I209">
        <v>0</v>
      </c>
      <c r="J209" t="s">
        <v>66</v>
      </c>
      <c r="K209">
        <v>1</v>
      </c>
      <c r="L209" t="s">
        <v>1627</v>
      </c>
      <c r="M209" t="s">
        <v>4236</v>
      </c>
      <c r="N209">
        <v>1</v>
      </c>
      <c r="O209" t="s">
        <v>1627</v>
      </c>
      <c r="P209" t="s">
        <v>4451</v>
      </c>
      <c r="Q209">
        <v>0</v>
      </c>
      <c r="R209" t="s">
        <v>66</v>
      </c>
      <c r="S209" t="s">
        <v>56</v>
      </c>
      <c r="T209" t="s">
        <v>56</v>
      </c>
      <c r="U209" t="s">
        <v>56</v>
      </c>
      <c r="V209" t="s">
        <v>56</v>
      </c>
      <c r="W209">
        <v>0</v>
      </c>
      <c r="X209" t="s">
        <v>66</v>
      </c>
      <c r="Y209" t="s">
        <v>56</v>
      </c>
      <c r="Z209">
        <v>0</v>
      </c>
      <c r="AA209" t="s">
        <v>66</v>
      </c>
      <c r="AB209" t="s">
        <v>56</v>
      </c>
      <c r="AC209">
        <v>0</v>
      </c>
      <c r="AD209" t="s">
        <v>66</v>
      </c>
      <c r="AE209" t="s">
        <v>56</v>
      </c>
      <c r="AF209">
        <v>0</v>
      </c>
      <c r="AG209" t="s">
        <v>66</v>
      </c>
      <c r="AH209" t="s">
        <v>56</v>
      </c>
      <c r="AI209">
        <v>1</v>
      </c>
      <c r="AJ209" t="s">
        <v>1627</v>
      </c>
      <c r="AK209" t="s">
        <v>56</v>
      </c>
      <c r="AL209" t="s">
        <v>56</v>
      </c>
      <c r="AM209" t="s">
        <v>56</v>
      </c>
      <c r="AN209" t="s">
        <v>56</v>
      </c>
      <c r="AO209" t="s">
        <v>4076</v>
      </c>
      <c r="AP209" t="s">
        <v>3962</v>
      </c>
      <c r="AQ209" t="s">
        <v>3963</v>
      </c>
      <c r="AR209" t="s">
        <v>3941</v>
      </c>
      <c r="AS209" t="s">
        <v>3942</v>
      </c>
      <c r="AT209" t="s">
        <v>4580</v>
      </c>
      <c r="AU209" t="s">
        <v>3944</v>
      </c>
      <c r="AV209" t="s">
        <v>3945</v>
      </c>
      <c r="AW209" t="s">
        <v>3946</v>
      </c>
      <c r="AX209">
        <v>12</v>
      </c>
      <c r="AY209">
        <v>2</v>
      </c>
      <c r="AZ209" t="s">
        <v>3897</v>
      </c>
      <c r="BA209">
        <v>1</v>
      </c>
      <c r="BB209" t="s">
        <v>4149</v>
      </c>
      <c r="BC209">
        <v>3</v>
      </c>
      <c r="BD209">
        <v>5</v>
      </c>
      <c r="BE209" t="s">
        <v>3899</v>
      </c>
      <c r="BF209">
        <v>180</v>
      </c>
      <c r="BG209">
        <v>66</v>
      </c>
      <c r="BH209" t="s">
        <v>3965</v>
      </c>
      <c r="BI209" t="s">
        <v>4480</v>
      </c>
      <c r="BJ209">
        <v>1</v>
      </c>
      <c r="BK209" t="s">
        <v>3902</v>
      </c>
    </row>
    <row r="210" spans="1:63" x14ac:dyDescent="0.25">
      <c r="A210">
        <v>4273</v>
      </c>
      <c r="B210" t="str">
        <f>"20200128173017076268"</f>
        <v>20200128173017076268</v>
      </c>
      <c r="C210">
        <v>1</v>
      </c>
      <c r="D210">
        <v>1</v>
      </c>
      <c r="E210" t="s">
        <v>3886</v>
      </c>
      <c r="F210">
        <v>1</v>
      </c>
      <c r="G210">
        <v>0</v>
      </c>
      <c r="H210" t="s">
        <v>66</v>
      </c>
      <c r="I210">
        <v>0</v>
      </c>
      <c r="J210" t="s">
        <v>66</v>
      </c>
      <c r="K210">
        <v>0</v>
      </c>
      <c r="L210" t="s">
        <v>66</v>
      </c>
      <c r="M210" t="s">
        <v>56</v>
      </c>
      <c r="N210">
        <v>0</v>
      </c>
      <c r="O210" t="s">
        <v>66</v>
      </c>
      <c r="P210" t="s">
        <v>56</v>
      </c>
      <c r="Q210">
        <v>0</v>
      </c>
      <c r="R210" t="s">
        <v>66</v>
      </c>
      <c r="S210" t="s">
        <v>56</v>
      </c>
      <c r="T210">
        <v>1</v>
      </c>
      <c r="U210" t="s">
        <v>1627</v>
      </c>
      <c r="V210" t="s">
        <v>56</v>
      </c>
      <c r="W210">
        <v>0</v>
      </c>
      <c r="X210" t="s">
        <v>66</v>
      </c>
      <c r="Y210" t="s">
        <v>56</v>
      </c>
      <c r="Z210">
        <v>0</v>
      </c>
      <c r="AA210" t="s">
        <v>66</v>
      </c>
      <c r="AB210" t="s">
        <v>56</v>
      </c>
      <c r="AC210">
        <v>1</v>
      </c>
      <c r="AD210" t="s">
        <v>1627</v>
      </c>
      <c r="AE210" t="s">
        <v>3887</v>
      </c>
      <c r="AF210">
        <v>0</v>
      </c>
      <c r="AG210" t="s">
        <v>66</v>
      </c>
      <c r="AH210" t="s">
        <v>56</v>
      </c>
      <c r="AI210">
        <v>1</v>
      </c>
      <c r="AJ210" t="s">
        <v>1627</v>
      </c>
      <c r="AK210" t="s">
        <v>56</v>
      </c>
      <c r="AL210" t="s">
        <v>56</v>
      </c>
      <c r="AM210" t="s">
        <v>56</v>
      </c>
      <c r="AN210" t="s">
        <v>56</v>
      </c>
      <c r="AO210" t="s">
        <v>4581</v>
      </c>
      <c r="AP210" t="s">
        <v>3971</v>
      </c>
      <c r="AQ210" t="s">
        <v>3972</v>
      </c>
      <c r="AR210" t="s">
        <v>3904</v>
      </c>
      <c r="AS210" t="s">
        <v>3905</v>
      </c>
      <c r="AT210" t="s">
        <v>4582</v>
      </c>
      <c r="AU210" t="s">
        <v>3944</v>
      </c>
      <c r="AV210" t="s">
        <v>3945</v>
      </c>
      <c r="AW210" t="s">
        <v>3946</v>
      </c>
      <c r="AX210">
        <v>4</v>
      </c>
      <c r="AY210">
        <v>3</v>
      </c>
      <c r="AZ210" t="s">
        <v>3911</v>
      </c>
      <c r="BA210">
        <v>10</v>
      </c>
      <c r="BB210" t="s">
        <v>3898</v>
      </c>
      <c r="BC210">
        <v>21</v>
      </c>
      <c r="BD210">
        <v>3</v>
      </c>
      <c r="BE210" t="s">
        <v>3911</v>
      </c>
      <c r="BF210">
        <v>4</v>
      </c>
      <c r="BG210" t="s">
        <v>3912</v>
      </c>
      <c r="BH210" t="s">
        <v>3913</v>
      </c>
      <c r="BI210" t="s">
        <v>4583</v>
      </c>
      <c r="BJ210">
        <v>1</v>
      </c>
      <c r="BK210" t="s">
        <v>3902</v>
      </c>
    </row>
    <row r="211" spans="1:63" x14ac:dyDescent="0.25">
      <c r="A211">
        <v>4274</v>
      </c>
      <c r="B211" t="str">
        <f>"20200128171017076686"</f>
        <v>20200128171017076686</v>
      </c>
      <c r="C211">
        <v>1</v>
      </c>
      <c r="D211">
        <v>1</v>
      </c>
      <c r="E211" t="s">
        <v>3886</v>
      </c>
      <c r="F211">
        <v>2</v>
      </c>
      <c r="G211">
        <v>0</v>
      </c>
      <c r="H211" t="s">
        <v>66</v>
      </c>
      <c r="I211">
        <v>0</v>
      </c>
      <c r="J211" t="s">
        <v>66</v>
      </c>
      <c r="K211">
        <v>1</v>
      </c>
      <c r="L211" t="s">
        <v>1627</v>
      </c>
      <c r="M211" t="s">
        <v>4584</v>
      </c>
      <c r="N211">
        <v>0</v>
      </c>
      <c r="O211" t="s">
        <v>66</v>
      </c>
      <c r="P211" t="s">
        <v>56</v>
      </c>
      <c r="Q211">
        <v>1</v>
      </c>
      <c r="R211" t="s">
        <v>1627</v>
      </c>
      <c r="S211" t="s">
        <v>4585</v>
      </c>
      <c r="T211" t="s">
        <v>56</v>
      </c>
      <c r="U211" t="s">
        <v>56</v>
      </c>
      <c r="V211" t="s">
        <v>56</v>
      </c>
      <c r="W211">
        <v>0</v>
      </c>
      <c r="X211" t="s">
        <v>66</v>
      </c>
      <c r="Y211" t="s">
        <v>56</v>
      </c>
      <c r="Z211">
        <v>0</v>
      </c>
      <c r="AA211" t="s">
        <v>66</v>
      </c>
      <c r="AB211" t="s">
        <v>56</v>
      </c>
      <c r="AC211">
        <v>0</v>
      </c>
      <c r="AD211" t="s">
        <v>66</v>
      </c>
      <c r="AE211" t="s">
        <v>56</v>
      </c>
      <c r="AF211">
        <v>0</v>
      </c>
      <c r="AG211" t="s">
        <v>66</v>
      </c>
      <c r="AH211" t="s">
        <v>56</v>
      </c>
      <c r="AI211">
        <v>1</v>
      </c>
      <c r="AJ211" t="s">
        <v>1627</v>
      </c>
      <c r="AK211" t="s">
        <v>56</v>
      </c>
      <c r="AL211" t="s">
        <v>56</v>
      </c>
      <c r="AM211" t="s">
        <v>56</v>
      </c>
      <c r="AN211" t="s">
        <v>56</v>
      </c>
      <c r="AO211" t="s">
        <v>4160</v>
      </c>
      <c r="AP211" t="s">
        <v>3962</v>
      </c>
      <c r="AQ211" t="s">
        <v>3963</v>
      </c>
      <c r="AR211" t="s">
        <v>3941</v>
      </c>
      <c r="AS211" t="s">
        <v>3942</v>
      </c>
      <c r="AT211" t="s">
        <v>4586</v>
      </c>
      <c r="AU211">
        <v>9000</v>
      </c>
      <c r="AV211" t="s">
        <v>3956</v>
      </c>
      <c r="AW211" t="s">
        <v>3956</v>
      </c>
      <c r="AX211">
        <v>1</v>
      </c>
      <c r="AY211">
        <v>3</v>
      </c>
      <c r="AZ211" t="s">
        <v>3911</v>
      </c>
      <c r="BA211">
        <v>10</v>
      </c>
      <c r="BB211" t="s">
        <v>3898</v>
      </c>
      <c r="BC211">
        <v>120</v>
      </c>
      <c r="BD211">
        <v>3</v>
      </c>
      <c r="BE211" t="s">
        <v>3911</v>
      </c>
      <c r="BF211">
        <v>120</v>
      </c>
      <c r="BG211">
        <v>66</v>
      </c>
      <c r="BH211" t="s">
        <v>3965</v>
      </c>
      <c r="BI211" t="s">
        <v>4180</v>
      </c>
      <c r="BJ211">
        <v>1</v>
      </c>
      <c r="BK211" t="s">
        <v>3902</v>
      </c>
    </row>
    <row r="212" spans="1:63" x14ac:dyDescent="0.25">
      <c r="A212">
        <v>4275</v>
      </c>
      <c r="B212" t="str">
        <f>"20200128147017077888"</f>
        <v>20200128147017077888</v>
      </c>
      <c r="C212">
        <v>1</v>
      </c>
      <c r="D212">
        <v>1</v>
      </c>
      <c r="E212" t="s">
        <v>3886</v>
      </c>
      <c r="F212">
        <v>1</v>
      </c>
      <c r="G212">
        <v>0</v>
      </c>
      <c r="H212" t="s">
        <v>66</v>
      </c>
      <c r="I212">
        <v>0</v>
      </c>
      <c r="J212" t="s">
        <v>66</v>
      </c>
      <c r="K212">
        <v>1</v>
      </c>
      <c r="L212" t="s">
        <v>1627</v>
      </c>
      <c r="M212" t="s">
        <v>4587</v>
      </c>
      <c r="N212">
        <v>1</v>
      </c>
      <c r="O212" t="s">
        <v>1627</v>
      </c>
      <c r="P212" t="s">
        <v>4588</v>
      </c>
      <c r="Q212">
        <v>0</v>
      </c>
      <c r="R212" t="s">
        <v>66</v>
      </c>
      <c r="S212" t="s">
        <v>56</v>
      </c>
      <c r="T212" t="s">
        <v>56</v>
      </c>
      <c r="U212" t="s">
        <v>56</v>
      </c>
      <c r="V212" t="s">
        <v>56</v>
      </c>
      <c r="W212">
        <v>0</v>
      </c>
      <c r="X212" t="s">
        <v>66</v>
      </c>
      <c r="Y212" t="s">
        <v>56</v>
      </c>
      <c r="Z212">
        <v>0</v>
      </c>
      <c r="AA212" t="s">
        <v>66</v>
      </c>
      <c r="AB212" t="s">
        <v>56</v>
      </c>
      <c r="AC212">
        <v>0</v>
      </c>
      <c r="AD212" t="s">
        <v>66</v>
      </c>
      <c r="AE212" t="s">
        <v>56</v>
      </c>
      <c r="AF212">
        <v>0</v>
      </c>
      <c r="AG212" t="s">
        <v>66</v>
      </c>
      <c r="AH212" t="s">
        <v>56</v>
      </c>
      <c r="AI212">
        <v>1</v>
      </c>
      <c r="AJ212" t="s">
        <v>1627</v>
      </c>
      <c r="AK212" t="s">
        <v>56</v>
      </c>
      <c r="AL212" t="s">
        <v>56</v>
      </c>
      <c r="AM212" t="s">
        <v>56</v>
      </c>
      <c r="AN212" t="s">
        <v>56</v>
      </c>
      <c r="AO212" t="s">
        <v>4589</v>
      </c>
      <c r="AP212" t="s">
        <v>3971</v>
      </c>
      <c r="AQ212" t="s">
        <v>3972</v>
      </c>
      <c r="AR212" t="s">
        <v>2324</v>
      </c>
      <c r="AS212" t="s">
        <v>4266</v>
      </c>
      <c r="AT212" t="s">
        <v>4590</v>
      </c>
      <c r="AU212" t="s">
        <v>3907</v>
      </c>
      <c r="AV212" t="s">
        <v>3908</v>
      </c>
      <c r="AW212" t="s">
        <v>3909</v>
      </c>
      <c r="AX212">
        <v>7</v>
      </c>
      <c r="AY212">
        <v>3</v>
      </c>
      <c r="AZ212" t="s">
        <v>3911</v>
      </c>
      <c r="BA212">
        <v>10</v>
      </c>
      <c r="BB212" t="s">
        <v>3898</v>
      </c>
      <c r="BC212">
        <v>30</v>
      </c>
      <c r="BD212">
        <v>3</v>
      </c>
      <c r="BE212" t="s">
        <v>3911</v>
      </c>
      <c r="BF212">
        <v>4</v>
      </c>
      <c r="BG212" t="s">
        <v>3912</v>
      </c>
      <c r="BH212" t="s">
        <v>3913</v>
      </c>
      <c r="BI212" t="s">
        <v>4591</v>
      </c>
      <c r="BJ212">
        <v>1</v>
      </c>
      <c r="BK212" t="s">
        <v>3902</v>
      </c>
    </row>
    <row r="213" spans="1:63" x14ac:dyDescent="0.25">
      <c r="A213">
        <v>4276</v>
      </c>
      <c r="B213" t="str">
        <f>"20200128159017078634"</f>
        <v>20200128159017078634</v>
      </c>
      <c r="C213">
        <v>1</v>
      </c>
      <c r="D213">
        <v>1</v>
      </c>
      <c r="E213" t="s">
        <v>3886</v>
      </c>
      <c r="F213">
        <v>2</v>
      </c>
      <c r="G213">
        <v>0</v>
      </c>
      <c r="H213" t="s">
        <v>66</v>
      </c>
      <c r="I213">
        <v>0</v>
      </c>
      <c r="J213" t="s">
        <v>66</v>
      </c>
      <c r="K213">
        <v>0</v>
      </c>
      <c r="L213" t="s">
        <v>66</v>
      </c>
      <c r="M213" t="s">
        <v>56</v>
      </c>
      <c r="N213">
        <v>0</v>
      </c>
      <c r="O213" t="s">
        <v>66</v>
      </c>
      <c r="P213" t="s">
        <v>56</v>
      </c>
      <c r="Q213">
        <v>0</v>
      </c>
      <c r="R213" t="s">
        <v>66</v>
      </c>
      <c r="S213" t="s">
        <v>56</v>
      </c>
      <c r="T213">
        <v>1</v>
      </c>
      <c r="U213" t="s">
        <v>1627</v>
      </c>
      <c r="V213" t="s">
        <v>56</v>
      </c>
      <c r="W213">
        <v>0</v>
      </c>
      <c r="X213" t="s">
        <v>66</v>
      </c>
      <c r="Y213" t="s">
        <v>56</v>
      </c>
      <c r="Z213">
        <v>0</v>
      </c>
      <c r="AA213" t="s">
        <v>66</v>
      </c>
      <c r="AB213" t="s">
        <v>56</v>
      </c>
      <c r="AC213">
        <v>1</v>
      </c>
      <c r="AD213" t="s">
        <v>1627</v>
      </c>
      <c r="AE213" t="s">
        <v>3887</v>
      </c>
      <c r="AF213">
        <v>0</v>
      </c>
      <c r="AG213" t="s">
        <v>66</v>
      </c>
      <c r="AH213" t="s">
        <v>56</v>
      </c>
      <c r="AI213">
        <v>1</v>
      </c>
      <c r="AJ213" t="s">
        <v>1627</v>
      </c>
      <c r="AK213" t="s">
        <v>56</v>
      </c>
      <c r="AL213" t="s">
        <v>56</v>
      </c>
      <c r="AM213" t="s">
        <v>56</v>
      </c>
      <c r="AN213" t="s">
        <v>56</v>
      </c>
      <c r="AO213" t="s">
        <v>4592</v>
      </c>
      <c r="AP213" t="s">
        <v>3962</v>
      </c>
      <c r="AQ213" t="s">
        <v>3963</v>
      </c>
      <c r="AR213" t="s">
        <v>3941</v>
      </c>
      <c r="AS213" t="s">
        <v>3942</v>
      </c>
      <c r="AT213" t="s">
        <v>4593</v>
      </c>
      <c r="AU213">
        <v>9000</v>
      </c>
      <c r="AV213" t="s">
        <v>3956</v>
      </c>
      <c r="AW213" t="s">
        <v>3956</v>
      </c>
      <c r="AX213">
        <v>24</v>
      </c>
      <c r="AY213">
        <v>2</v>
      </c>
      <c r="AZ213" t="s">
        <v>3897</v>
      </c>
      <c r="BA213">
        <v>10</v>
      </c>
      <c r="BB213" t="s">
        <v>3898</v>
      </c>
      <c r="BC213">
        <v>60</v>
      </c>
      <c r="BD213">
        <v>3</v>
      </c>
      <c r="BE213" t="s">
        <v>3911</v>
      </c>
      <c r="BF213">
        <v>60</v>
      </c>
      <c r="BG213">
        <v>66</v>
      </c>
      <c r="BH213" t="s">
        <v>3965</v>
      </c>
      <c r="BI213" t="s">
        <v>4594</v>
      </c>
      <c r="BJ213">
        <v>1</v>
      </c>
      <c r="BK213" t="s">
        <v>3902</v>
      </c>
    </row>
    <row r="214" spans="1:63" x14ac:dyDescent="0.25">
      <c r="A214">
        <v>4279</v>
      </c>
      <c r="B214" t="str">
        <f>"20200128162017080160"</f>
        <v>20200128162017080160</v>
      </c>
      <c r="C214">
        <v>1</v>
      </c>
      <c r="D214">
        <v>1</v>
      </c>
      <c r="E214" t="s">
        <v>3886</v>
      </c>
      <c r="F214">
        <v>2</v>
      </c>
      <c r="G214">
        <v>0</v>
      </c>
      <c r="H214" t="s">
        <v>66</v>
      </c>
      <c r="I214">
        <v>0</v>
      </c>
      <c r="J214" t="s">
        <v>66</v>
      </c>
      <c r="K214">
        <v>0</v>
      </c>
      <c r="L214" t="s">
        <v>66</v>
      </c>
      <c r="M214" t="s">
        <v>56</v>
      </c>
      <c r="N214">
        <v>0</v>
      </c>
      <c r="O214" t="s">
        <v>66</v>
      </c>
      <c r="P214" t="s">
        <v>56</v>
      </c>
      <c r="Q214">
        <v>0</v>
      </c>
      <c r="R214" t="s">
        <v>66</v>
      </c>
      <c r="S214" t="s">
        <v>56</v>
      </c>
      <c r="T214">
        <v>1</v>
      </c>
      <c r="U214" t="s">
        <v>1627</v>
      </c>
      <c r="V214" t="s">
        <v>56</v>
      </c>
      <c r="W214">
        <v>0</v>
      </c>
      <c r="X214" t="s">
        <v>66</v>
      </c>
      <c r="Y214" t="s">
        <v>56</v>
      </c>
      <c r="Z214">
        <v>0</v>
      </c>
      <c r="AA214" t="s">
        <v>66</v>
      </c>
      <c r="AB214" t="s">
        <v>56</v>
      </c>
      <c r="AC214">
        <v>1</v>
      </c>
      <c r="AD214" t="s">
        <v>1627</v>
      </c>
      <c r="AE214" t="s">
        <v>3887</v>
      </c>
      <c r="AF214">
        <v>0</v>
      </c>
      <c r="AG214" t="s">
        <v>66</v>
      </c>
      <c r="AH214" t="s">
        <v>56</v>
      </c>
      <c r="AI214">
        <v>1</v>
      </c>
      <c r="AJ214" t="s">
        <v>1627</v>
      </c>
      <c r="AK214" t="s">
        <v>56</v>
      </c>
      <c r="AL214" t="s">
        <v>56</v>
      </c>
      <c r="AM214" t="s">
        <v>56</v>
      </c>
      <c r="AN214" t="s">
        <v>56</v>
      </c>
      <c r="AO214" t="s">
        <v>4286</v>
      </c>
      <c r="AP214" t="s">
        <v>3889</v>
      </c>
      <c r="AQ214" t="s">
        <v>3890</v>
      </c>
      <c r="AR214" t="s">
        <v>3926</v>
      </c>
      <c r="AS214" t="s">
        <v>3927</v>
      </c>
      <c r="AT214" t="s">
        <v>4273</v>
      </c>
      <c r="AU214" t="s">
        <v>3894</v>
      </c>
      <c r="AV214" t="s">
        <v>3895</v>
      </c>
      <c r="AW214" t="s">
        <v>3896</v>
      </c>
      <c r="AX214">
        <v>12</v>
      </c>
      <c r="AY214">
        <v>2</v>
      </c>
      <c r="AZ214" t="s">
        <v>3897</v>
      </c>
      <c r="BA214">
        <v>10</v>
      </c>
      <c r="BB214" t="s">
        <v>3898</v>
      </c>
      <c r="BC214">
        <v>4</v>
      </c>
      <c r="BD214">
        <v>5</v>
      </c>
      <c r="BE214" t="s">
        <v>3899</v>
      </c>
      <c r="BF214">
        <v>5</v>
      </c>
      <c r="BG214">
        <v>13</v>
      </c>
      <c r="BH214" t="s">
        <v>3900</v>
      </c>
      <c r="BI214" t="s">
        <v>4595</v>
      </c>
      <c r="BJ214">
        <v>1</v>
      </c>
      <c r="BK214" t="s">
        <v>3902</v>
      </c>
    </row>
    <row r="215" spans="1:63" x14ac:dyDescent="0.25">
      <c r="A215">
        <v>4280</v>
      </c>
      <c r="B215" t="str">
        <f>"20200128162017080160"</f>
        <v>20200128162017080160</v>
      </c>
      <c r="C215">
        <v>2</v>
      </c>
      <c r="D215">
        <v>1</v>
      </c>
      <c r="E215" t="s">
        <v>3886</v>
      </c>
      <c r="F215">
        <v>2</v>
      </c>
      <c r="G215">
        <v>0</v>
      </c>
      <c r="H215" t="s">
        <v>66</v>
      </c>
      <c r="I215">
        <v>0</v>
      </c>
      <c r="J215" t="s">
        <v>66</v>
      </c>
      <c r="K215">
        <v>0</v>
      </c>
      <c r="L215" t="s">
        <v>66</v>
      </c>
      <c r="M215" t="s">
        <v>56</v>
      </c>
      <c r="N215">
        <v>0</v>
      </c>
      <c r="O215" t="s">
        <v>66</v>
      </c>
      <c r="P215" t="s">
        <v>56</v>
      </c>
      <c r="Q215">
        <v>0</v>
      </c>
      <c r="R215" t="s">
        <v>66</v>
      </c>
      <c r="S215" t="s">
        <v>56</v>
      </c>
      <c r="T215">
        <v>1</v>
      </c>
      <c r="U215" t="s">
        <v>1627</v>
      </c>
      <c r="V215" t="s">
        <v>56</v>
      </c>
      <c r="W215">
        <v>0</v>
      </c>
      <c r="X215" t="s">
        <v>66</v>
      </c>
      <c r="Y215" t="s">
        <v>56</v>
      </c>
      <c r="Z215">
        <v>0</v>
      </c>
      <c r="AA215" t="s">
        <v>66</v>
      </c>
      <c r="AB215" t="s">
        <v>56</v>
      </c>
      <c r="AC215">
        <v>1</v>
      </c>
      <c r="AD215" t="s">
        <v>1627</v>
      </c>
      <c r="AE215" t="s">
        <v>3887</v>
      </c>
      <c r="AF215">
        <v>0</v>
      </c>
      <c r="AG215" t="s">
        <v>66</v>
      </c>
      <c r="AH215" t="s">
        <v>56</v>
      </c>
      <c r="AI215">
        <v>1</v>
      </c>
      <c r="AJ215" t="s">
        <v>1627</v>
      </c>
      <c r="AK215" t="s">
        <v>56</v>
      </c>
      <c r="AL215" t="s">
        <v>56</v>
      </c>
      <c r="AM215" t="s">
        <v>56</v>
      </c>
      <c r="AN215" t="s">
        <v>56</v>
      </c>
      <c r="AO215" t="s">
        <v>4596</v>
      </c>
      <c r="AP215" t="s">
        <v>3889</v>
      </c>
      <c r="AQ215" t="s">
        <v>3890</v>
      </c>
      <c r="AR215" t="s">
        <v>3926</v>
      </c>
      <c r="AS215" t="s">
        <v>3927</v>
      </c>
      <c r="AT215" t="s">
        <v>3893</v>
      </c>
      <c r="AU215" t="s">
        <v>3894</v>
      </c>
      <c r="AV215" t="s">
        <v>3895</v>
      </c>
      <c r="AW215" t="s">
        <v>3896</v>
      </c>
      <c r="AX215">
        <v>8</v>
      </c>
      <c r="AY215">
        <v>2</v>
      </c>
      <c r="AZ215" t="s">
        <v>3897</v>
      </c>
      <c r="BA215">
        <v>10</v>
      </c>
      <c r="BB215" t="s">
        <v>3898</v>
      </c>
      <c r="BC215">
        <v>4</v>
      </c>
      <c r="BD215">
        <v>5</v>
      </c>
      <c r="BE215" t="s">
        <v>3899</v>
      </c>
      <c r="BF215">
        <v>3</v>
      </c>
      <c r="BG215">
        <v>13</v>
      </c>
      <c r="BH215" t="s">
        <v>3900</v>
      </c>
      <c r="BI215" t="s">
        <v>4597</v>
      </c>
      <c r="BJ215">
        <v>1</v>
      </c>
      <c r="BK215" t="s">
        <v>3902</v>
      </c>
    </row>
    <row r="216" spans="1:63" x14ac:dyDescent="0.25">
      <c r="A216">
        <v>4281</v>
      </c>
      <c r="B216" t="str">
        <f>"20200128152017080343"</f>
        <v>20200128152017080343</v>
      </c>
      <c r="C216">
        <v>1</v>
      </c>
      <c r="D216">
        <v>1</v>
      </c>
      <c r="E216" t="s">
        <v>3886</v>
      </c>
      <c r="F216">
        <v>2</v>
      </c>
      <c r="G216">
        <v>0</v>
      </c>
      <c r="H216" t="s">
        <v>66</v>
      </c>
      <c r="I216">
        <v>0</v>
      </c>
      <c r="J216" t="s">
        <v>66</v>
      </c>
      <c r="K216">
        <v>0</v>
      </c>
      <c r="L216" t="s">
        <v>66</v>
      </c>
      <c r="M216" t="s">
        <v>56</v>
      </c>
      <c r="N216">
        <v>0</v>
      </c>
      <c r="O216" t="s">
        <v>66</v>
      </c>
      <c r="P216" t="s">
        <v>56</v>
      </c>
      <c r="Q216">
        <v>0</v>
      </c>
      <c r="R216" t="s">
        <v>66</v>
      </c>
      <c r="S216" t="s">
        <v>56</v>
      </c>
      <c r="T216">
        <v>1</v>
      </c>
      <c r="U216" t="s">
        <v>1627</v>
      </c>
      <c r="V216" t="s">
        <v>56</v>
      </c>
      <c r="W216">
        <v>0</v>
      </c>
      <c r="X216" t="s">
        <v>66</v>
      </c>
      <c r="Y216" t="s">
        <v>56</v>
      </c>
      <c r="Z216">
        <v>0</v>
      </c>
      <c r="AA216" t="s">
        <v>66</v>
      </c>
      <c r="AB216" t="s">
        <v>56</v>
      </c>
      <c r="AC216">
        <v>1</v>
      </c>
      <c r="AD216" t="s">
        <v>1627</v>
      </c>
      <c r="AE216" t="s">
        <v>3887</v>
      </c>
      <c r="AF216">
        <v>0</v>
      </c>
      <c r="AG216" t="s">
        <v>66</v>
      </c>
      <c r="AH216" t="s">
        <v>56</v>
      </c>
      <c r="AI216">
        <v>1</v>
      </c>
      <c r="AJ216" t="s">
        <v>1627</v>
      </c>
      <c r="AK216" t="s">
        <v>56</v>
      </c>
      <c r="AL216" t="s">
        <v>56</v>
      </c>
      <c r="AM216" t="s">
        <v>56</v>
      </c>
      <c r="AN216" t="s">
        <v>56</v>
      </c>
      <c r="AO216" t="s">
        <v>4598</v>
      </c>
      <c r="AP216" t="s">
        <v>3962</v>
      </c>
      <c r="AQ216" t="s">
        <v>3963</v>
      </c>
      <c r="AR216" t="s">
        <v>3941</v>
      </c>
      <c r="AS216" t="s">
        <v>3942</v>
      </c>
      <c r="AT216" t="s">
        <v>4599</v>
      </c>
      <c r="AU216">
        <v>9000</v>
      </c>
      <c r="AV216" t="s">
        <v>3956</v>
      </c>
      <c r="AW216" t="s">
        <v>3956</v>
      </c>
      <c r="AX216">
        <v>24</v>
      </c>
      <c r="AY216">
        <v>2</v>
      </c>
      <c r="AZ216" t="s">
        <v>3897</v>
      </c>
      <c r="BA216">
        <v>10</v>
      </c>
      <c r="BB216" t="s">
        <v>3898</v>
      </c>
      <c r="BC216">
        <v>4</v>
      </c>
      <c r="BD216">
        <v>5</v>
      </c>
      <c r="BE216" t="s">
        <v>3899</v>
      </c>
      <c r="BF216">
        <v>360</v>
      </c>
      <c r="BG216">
        <v>66</v>
      </c>
      <c r="BH216" t="s">
        <v>3965</v>
      </c>
      <c r="BI216" t="s">
        <v>4600</v>
      </c>
      <c r="BJ216">
        <v>1</v>
      </c>
      <c r="BK216" t="s">
        <v>3902</v>
      </c>
    </row>
    <row r="217" spans="1:63" x14ac:dyDescent="0.25">
      <c r="A217">
        <v>4282</v>
      </c>
      <c r="B217" t="str">
        <f>"20200128140017080537"</f>
        <v>20200128140017080537</v>
      </c>
      <c r="C217">
        <v>1</v>
      </c>
      <c r="D217">
        <v>1</v>
      </c>
      <c r="E217" t="s">
        <v>3886</v>
      </c>
      <c r="F217">
        <v>1</v>
      </c>
      <c r="G217">
        <v>0</v>
      </c>
      <c r="H217" t="s">
        <v>66</v>
      </c>
      <c r="I217">
        <v>0</v>
      </c>
      <c r="J217" t="s">
        <v>66</v>
      </c>
      <c r="K217">
        <v>1</v>
      </c>
      <c r="L217" t="s">
        <v>1627</v>
      </c>
      <c r="M217" t="s">
        <v>4450</v>
      </c>
      <c r="N217">
        <v>1</v>
      </c>
      <c r="O217" t="s">
        <v>1627</v>
      </c>
      <c r="P217" t="s">
        <v>4601</v>
      </c>
      <c r="Q217">
        <v>0</v>
      </c>
      <c r="R217" t="s">
        <v>66</v>
      </c>
      <c r="S217" t="s">
        <v>56</v>
      </c>
      <c r="T217" t="s">
        <v>56</v>
      </c>
      <c r="U217" t="s">
        <v>56</v>
      </c>
      <c r="V217" t="s">
        <v>56</v>
      </c>
      <c r="W217">
        <v>0</v>
      </c>
      <c r="X217" t="s">
        <v>66</v>
      </c>
      <c r="Y217" t="s">
        <v>56</v>
      </c>
      <c r="Z217">
        <v>0</v>
      </c>
      <c r="AA217" t="s">
        <v>66</v>
      </c>
      <c r="AB217" t="s">
        <v>56</v>
      </c>
      <c r="AC217">
        <v>0</v>
      </c>
      <c r="AD217" t="s">
        <v>66</v>
      </c>
      <c r="AE217" t="s">
        <v>56</v>
      </c>
      <c r="AF217">
        <v>0</v>
      </c>
      <c r="AG217" t="s">
        <v>66</v>
      </c>
      <c r="AH217" t="s">
        <v>56</v>
      </c>
      <c r="AI217">
        <v>1</v>
      </c>
      <c r="AJ217" t="s">
        <v>1627</v>
      </c>
      <c r="AK217" t="s">
        <v>56</v>
      </c>
      <c r="AL217" t="s">
        <v>56</v>
      </c>
      <c r="AM217" t="s">
        <v>56</v>
      </c>
      <c r="AN217" t="s">
        <v>56</v>
      </c>
      <c r="AO217" t="s">
        <v>4602</v>
      </c>
      <c r="AP217" t="s">
        <v>3971</v>
      </c>
      <c r="AQ217" t="s">
        <v>3972</v>
      </c>
      <c r="AR217" t="s">
        <v>3941</v>
      </c>
      <c r="AS217" t="s">
        <v>3942</v>
      </c>
      <c r="AT217" t="s">
        <v>4601</v>
      </c>
      <c r="AU217" t="s">
        <v>3944</v>
      </c>
      <c r="AV217" t="s">
        <v>3945</v>
      </c>
      <c r="AW217" t="s">
        <v>3946</v>
      </c>
      <c r="AX217">
        <v>12</v>
      </c>
      <c r="AY217">
        <v>2</v>
      </c>
      <c r="AZ217" t="s">
        <v>3897</v>
      </c>
      <c r="BA217">
        <v>10</v>
      </c>
      <c r="BB217" t="s">
        <v>3898</v>
      </c>
      <c r="BC217">
        <v>3</v>
      </c>
      <c r="BD217">
        <v>3</v>
      </c>
      <c r="BE217" t="s">
        <v>3911</v>
      </c>
      <c r="BF217">
        <v>2</v>
      </c>
      <c r="BG217">
        <v>13</v>
      </c>
      <c r="BH217" t="s">
        <v>3900</v>
      </c>
      <c r="BI217" t="s">
        <v>4603</v>
      </c>
      <c r="BJ217">
        <v>1</v>
      </c>
      <c r="BK217" t="s">
        <v>3902</v>
      </c>
    </row>
    <row r="218" spans="1:63" x14ac:dyDescent="0.25">
      <c r="A218">
        <v>4283</v>
      </c>
      <c r="B218" t="str">
        <f>"20200128179017080969"</f>
        <v>20200128179017080969</v>
      </c>
      <c r="C218">
        <v>1</v>
      </c>
      <c r="D218">
        <v>1</v>
      </c>
      <c r="E218" t="s">
        <v>3886</v>
      </c>
      <c r="F218">
        <v>2</v>
      </c>
      <c r="G218">
        <v>0</v>
      </c>
      <c r="H218" t="s">
        <v>66</v>
      </c>
      <c r="I218">
        <v>0</v>
      </c>
      <c r="J218" t="s">
        <v>66</v>
      </c>
      <c r="K218">
        <v>1</v>
      </c>
      <c r="L218" t="s">
        <v>1627</v>
      </c>
      <c r="M218" t="s">
        <v>4123</v>
      </c>
      <c r="N218">
        <v>1</v>
      </c>
      <c r="O218" t="s">
        <v>1627</v>
      </c>
      <c r="P218" t="s">
        <v>4124</v>
      </c>
      <c r="Q218">
        <v>0</v>
      </c>
      <c r="R218" t="s">
        <v>66</v>
      </c>
      <c r="S218" t="s">
        <v>56</v>
      </c>
      <c r="T218" t="s">
        <v>56</v>
      </c>
      <c r="U218" t="s">
        <v>56</v>
      </c>
      <c r="V218" t="s">
        <v>56</v>
      </c>
      <c r="W218">
        <v>0</v>
      </c>
      <c r="X218" t="s">
        <v>66</v>
      </c>
      <c r="Y218" t="s">
        <v>56</v>
      </c>
      <c r="Z218">
        <v>0</v>
      </c>
      <c r="AA218" t="s">
        <v>66</v>
      </c>
      <c r="AB218" t="s">
        <v>56</v>
      </c>
      <c r="AC218">
        <v>0</v>
      </c>
      <c r="AD218" t="s">
        <v>66</v>
      </c>
      <c r="AE218" t="s">
        <v>56</v>
      </c>
      <c r="AF218">
        <v>0</v>
      </c>
      <c r="AG218" t="s">
        <v>66</v>
      </c>
      <c r="AH218" t="s">
        <v>56</v>
      </c>
      <c r="AI218">
        <v>1</v>
      </c>
      <c r="AJ218" t="s">
        <v>1627</v>
      </c>
      <c r="AK218">
        <v>0</v>
      </c>
      <c r="AL218" t="s">
        <v>66</v>
      </c>
      <c r="AM218" t="s">
        <v>56</v>
      </c>
      <c r="AN218" t="s">
        <v>56</v>
      </c>
      <c r="AO218" t="s">
        <v>4125</v>
      </c>
      <c r="AP218" t="s">
        <v>3962</v>
      </c>
      <c r="AQ218" t="s">
        <v>3963</v>
      </c>
      <c r="AR218" t="s">
        <v>3941</v>
      </c>
      <c r="AS218" t="s">
        <v>3942</v>
      </c>
      <c r="AT218" t="s">
        <v>4126</v>
      </c>
      <c r="AU218" t="s">
        <v>4026</v>
      </c>
      <c r="AV218" t="s">
        <v>4027</v>
      </c>
      <c r="AW218" t="s">
        <v>4028</v>
      </c>
      <c r="AX218">
        <v>12</v>
      </c>
      <c r="AY218">
        <v>2</v>
      </c>
      <c r="AZ218" t="s">
        <v>3897</v>
      </c>
      <c r="BA218">
        <v>10</v>
      </c>
      <c r="BB218" t="s">
        <v>3898</v>
      </c>
      <c r="BC218">
        <v>2</v>
      </c>
      <c r="BD218">
        <v>5</v>
      </c>
      <c r="BE218" t="s">
        <v>3899</v>
      </c>
      <c r="BF218">
        <v>120</v>
      </c>
      <c r="BG218">
        <v>74</v>
      </c>
      <c r="BH218" t="s">
        <v>3923</v>
      </c>
      <c r="BI218" t="s">
        <v>4604</v>
      </c>
      <c r="BJ218">
        <v>1</v>
      </c>
      <c r="BK218" t="s">
        <v>3902</v>
      </c>
    </row>
    <row r="219" spans="1:63" x14ac:dyDescent="0.25">
      <c r="A219">
        <v>4284</v>
      </c>
      <c r="B219" t="str">
        <f>"20200128195017081269"</f>
        <v>20200128195017081269</v>
      </c>
      <c r="C219">
        <v>1</v>
      </c>
      <c r="D219">
        <v>1</v>
      </c>
      <c r="E219" t="s">
        <v>3886</v>
      </c>
      <c r="F219">
        <v>2</v>
      </c>
      <c r="G219">
        <v>0</v>
      </c>
      <c r="H219" t="s">
        <v>66</v>
      </c>
      <c r="I219">
        <v>0</v>
      </c>
      <c r="J219" t="s">
        <v>66</v>
      </c>
      <c r="K219">
        <v>1</v>
      </c>
      <c r="L219" t="s">
        <v>1627</v>
      </c>
      <c r="M219" t="s">
        <v>4123</v>
      </c>
      <c r="N219">
        <v>1</v>
      </c>
      <c r="O219" t="s">
        <v>1627</v>
      </c>
      <c r="P219" t="s">
        <v>4124</v>
      </c>
      <c r="Q219">
        <v>0</v>
      </c>
      <c r="R219" t="s">
        <v>66</v>
      </c>
      <c r="S219" t="s">
        <v>56</v>
      </c>
      <c r="T219" t="s">
        <v>56</v>
      </c>
      <c r="U219" t="s">
        <v>56</v>
      </c>
      <c r="V219" t="s">
        <v>56</v>
      </c>
      <c r="W219">
        <v>0</v>
      </c>
      <c r="X219" t="s">
        <v>66</v>
      </c>
      <c r="Y219" t="s">
        <v>56</v>
      </c>
      <c r="Z219">
        <v>0</v>
      </c>
      <c r="AA219" t="s">
        <v>66</v>
      </c>
      <c r="AB219" t="s">
        <v>56</v>
      </c>
      <c r="AC219">
        <v>0</v>
      </c>
      <c r="AD219" t="s">
        <v>66</v>
      </c>
      <c r="AE219" t="s">
        <v>56</v>
      </c>
      <c r="AF219">
        <v>0</v>
      </c>
      <c r="AG219" t="s">
        <v>66</v>
      </c>
      <c r="AH219" t="s">
        <v>56</v>
      </c>
      <c r="AI219">
        <v>1</v>
      </c>
      <c r="AJ219" t="s">
        <v>1627</v>
      </c>
      <c r="AK219">
        <v>0</v>
      </c>
      <c r="AL219" t="s">
        <v>66</v>
      </c>
      <c r="AM219" t="s">
        <v>56</v>
      </c>
      <c r="AN219" t="s">
        <v>56</v>
      </c>
      <c r="AO219" t="s">
        <v>4125</v>
      </c>
      <c r="AP219" t="s">
        <v>3962</v>
      </c>
      <c r="AQ219" t="s">
        <v>3963</v>
      </c>
      <c r="AR219" t="s">
        <v>3941</v>
      </c>
      <c r="AS219" t="s">
        <v>3942</v>
      </c>
      <c r="AT219" t="s">
        <v>4605</v>
      </c>
      <c r="AU219" t="s">
        <v>4026</v>
      </c>
      <c r="AV219" t="s">
        <v>4027</v>
      </c>
      <c r="AW219" t="s">
        <v>4028</v>
      </c>
      <c r="AX219">
        <v>12</v>
      </c>
      <c r="AY219">
        <v>2</v>
      </c>
      <c r="AZ219" t="s">
        <v>3897</v>
      </c>
      <c r="BA219">
        <v>10</v>
      </c>
      <c r="BB219" t="s">
        <v>3898</v>
      </c>
      <c r="BC219">
        <v>2</v>
      </c>
      <c r="BD219">
        <v>5</v>
      </c>
      <c r="BE219" t="s">
        <v>3899</v>
      </c>
      <c r="BF219">
        <v>120</v>
      </c>
      <c r="BG219">
        <v>74</v>
      </c>
      <c r="BH219" t="s">
        <v>3923</v>
      </c>
      <c r="BI219" t="s">
        <v>4604</v>
      </c>
      <c r="BJ219">
        <v>1</v>
      </c>
      <c r="BK219" t="s">
        <v>3902</v>
      </c>
    </row>
    <row r="220" spans="1:63" x14ac:dyDescent="0.25">
      <c r="A220">
        <v>4277</v>
      </c>
      <c r="B220" t="str">
        <f>"20200128127017078635"</f>
        <v>20200128127017078635</v>
      </c>
      <c r="C220">
        <v>1</v>
      </c>
      <c r="D220">
        <v>1</v>
      </c>
      <c r="E220" t="s">
        <v>3886</v>
      </c>
      <c r="F220">
        <v>2</v>
      </c>
      <c r="G220">
        <v>0</v>
      </c>
      <c r="H220" t="s">
        <v>66</v>
      </c>
      <c r="I220">
        <v>0</v>
      </c>
      <c r="J220" t="s">
        <v>66</v>
      </c>
      <c r="K220">
        <v>1</v>
      </c>
      <c r="L220" t="s">
        <v>1627</v>
      </c>
      <c r="M220" t="s">
        <v>4353</v>
      </c>
      <c r="N220">
        <v>1</v>
      </c>
      <c r="O220" t="s">
        <v>1627</v>
      </c>
      <c r="P220" t="s">
        <v>4354</v>
      </c>
      <c r="Q220">
        <v>0</v>
      </c>
      <c r="R220" t="s">
        <v>66</v>
      </c>
      <c r="S220" t="s">
        <v>56</v>
      </c>
      <c r="T220" t="s">
        <v>56</v>
      </c>
      <c r="U220" t="s">
        <v>56</v>
      </c>
      <c r="V220" t="s">
        <v>56</v>
      </c>
      <c r="W220">
        <v>0</v>
      </c>
      <c r="X220" t="s">
        <v>66</v>
      </c>
      <c r="Y220" t="s">
        <v>56</v>
      </c>
      <c r="Z220">
        <v>0</v>
      </c>
      <c r="AA220" t="s">
        <v>66</v>
      </c>
      <c r="AB220" t="s">
        <v>56</v>
      </c>
      <c r="AC220">
        <v>0</v>
      </c>
      <c r="AD220" t="s">
        <v>66</v>
      </c>
      <c r="AE220" t="s">
        <v>56</v>
      </c>
      <c r="AF220">
        <v>0</v>
      </c>
      <c r="AG220" t="s">
        <v>66</v>
      </c>
      <c r="AH220" t="s">
        <v>56</v>
      </c>
      <c r="AI220">
        <v>1</v>
      </c>
      <c r="AJ220" t="s">
        <v>1627</v>
      </c>
      <c r="AK220" t="s">
        <v>56</v>
      </c>
      <c r="AL220" t="s">
        <v>56</v>
      </c>
      <c r="AM220" t="s">
        <v>56</v>
      </c>
      <c r="AN220" t="s">
        <v>56</v>
      </c>
      <c r="AO220" t="s">
        <v>4176</v>
      </c>
      <c r="AP220" t="s">
        <v>3889</v>
      </c>
      <c r="AQ220" t="s">
        <v>3890</v>
      </c>
      <c r="AR220" t="s">
        <v>3920</v>
      </c>
      <c r="AS220" t="s">
        <v>3921</v>
      </c>
      <c r="AT220" t="s">
        <v>4606</v>
      </c>
      <c r="AU220" t="s">
        <v>3907</v>
      </c>
      <c r="AV220" t="s">
        <v>3908</v>
      </c>
      <c r="AW220" t="s">
        <v>3909</v>
      </c>
      <c r="AX220">
        <v>24</v>
      </c>
      <c r="AY220">
        <v>2</v>
      </c>
      <c r="AZ220" t="s">
        <v>3897</v>
      </c>
      <c r="BA220">
        <v>10</v>
      </c>
      <c r="BB220" t="s">
        <v>3898</v>
      </c>
      <c r="BC220">
        <v>120</v>
      </c>
      <c r="BD220">
        <v>3</v>
      </c>
      <c r="BE220" t="s">
        <v>3911</v>
      </c>
      <c r="BF220">
        <v>4</v>
      </c>
      <c r="BG220">
        <v>37</v>
      </c>
      <c r="BH220" t="s">
        <v>4007</v>
      </c>
      <c r="BI220" t="s">
        <v>4607</v>
      </c>
      <c r="BJ220">
        <v>1</v>
      </c>
      <c r="BK220" t="s">
        <v>3902</v>
      </c>
    </row>
    <row r="221" spans="1:63" x14ac:dyDescent="0.25">
      <c r="A221">
        <v>4278</v>
      </c>
      <c r="B221" t="str">
        <f>"20200128137017079528"</f>
        <v>20200128137017079528</v>
      </c>
      <c r="C221">
        <v>1</v>
      </c>
      <c r="D221">
        <v>1</v>
      </c>
      <c r="E221" t="s">
        <v>3886</v>
      </c>
      <c r="F221">
        <v>1</v>
      </c>
      <c r="G221">
        <v>0</v>
      </c>
      <c r="H221" t="s">
        <v>66</v>
      </c>
      <c r="I221">
        <v>0</v>
      </c>
      <c r="J221" t="s">
        <v>66</v>
      </c>
      <c r="K221">
        <v>0</v>
      </c>
      <c r="L221" t="s">
        <v>66</v>
      </c>
      <c r="M221" t="s">
        <v>56</v>
      </c>
      <c r="N221">
        <v>0</v>
      </c>
      <c r="O221" t="s">
        <v>66</v>
      </c>
      <c r="P221" t="s">
        <v>56</v>
      </c>
      <c r="Q221">
        <v>0</v>
      </c>
      <c r="R221" t="s">
        <v>66</v>
      </c>
      <c r="S221" t="s">
        <v>56</v>
      </c>
      <c r="T221">
        <v>1</v>
      </c>
      <c r="U221" t="s">
        <v>1627</v>
      </c>
      <c r="V221" t="s">
        <v>56</v>
      </c>
      <c r="W221">
        <v>0</v>
      </c>
      <c r="X221" t="s">
        <v>66</v>
      </c>
      <c r="Y221" t="s">
        <v>56</v>
      </c>
      <c r="Z221">
        <v>0</v>
      </c>
      <c r="AA221" t="s">
        <v>66</v>
      </c>
      <c r="AB221" t="s">
        <v>56</v>
      </c>
      <c r="AC221">
        <v>1</v>
      </c>
      <c r="AD221" t="s">
        <v>1627</v>
      </c>
      <c r="AE221" t="s">
        <v>3887</v>
      </c>
      <c r="AF221">
        <v>0</v>
      </c>
      <c r="AG221" t="s">
        <v>66</v>
      </c>
      <c r="AH221" t="s">
        <v>56</v>
      </c>
      <c r="AI221">
        <v>1</v>
      </c>
      <c r="AJ221" t="s">
        <v>1627</v>
      </c>
      <c r="AK221" t="s">
        <v>56</v>
      </c>
      <c r="AL221" t="s">
        <v>56</v>
      </c>
      <c r="AM221" t="s">
        <v>56</v>
      </c>
      <c r="AN221" t="s">
        <v>56</v>
      </c>
      <c r="AO221" t="s">
        <v>4139</v>
      </c>
      <c r="AP221" t="s">
        <v>3889</v>
      </c>
      <c r="AQ221" t="s">
        <v>3890</v>
      </c>
      <c r="AR221" t="s">
        <v>3891</v>
      </c>
      <c r="AS221" t="s">
        <v>3892</v>
      </c>
      <c r="AT221" t="s">
        <v>3993</v>
      </c>
      <c r="AU221" t="s">
        <v>3894</v>
      </c>
      <c r="AV221" t="s">
        <v>3895</v>
      </c>
      <c r="AW221" t="s">
        <v>3896</v>
      </c>
      <c r="AX221">
        <v>12</v>
      </c>
      <c r="AY221">
        <v>2</v>
      </c>
      <c r="AZ221" t="s">
        <v>3897</v>
      </c>
      <c r="BA221">
        <v>10</v>
      </c>
      <c r="BB221" t="s">
        <v>3898</v>
      </c>
      <c r="BC221">
        <v>3</v>
      </c>
      <c r="BD221">
        <v>5</v>
      </c>
      <c r="BE221" t="s">
        <v>3899</v>
      </c>
      <c r="BF221">
        <v>4</v>
      </c>
      <c r="BG221">
        <v>13</v>
      </c>
      <c r="BH221" t="s">
        <v>3900</v>
      </c>
      <c r="BI221" t="s">
        <v>4608</v>
      </c>
      <c r="BJ221">
        <v>1</v>
      </c>
      <c r="BK221" t="s">
        <v>3902</v>
      </c>
    </row>
    <row r="222" spans="1:63" x14ac:dyDescent="0.25">
      <c r="A222">
        <v>4285</v>
      </c>
      <c r="B222" t="str">
        <f>"20200128128017081532"</f>
        <v>20200128128017081532</v>
      </c>
      <c r="C222">
        <v>1</v>
      </c>
      <c r="D222">
        <v>1</v>
      </c>
      <c r="E222" t="s">
        <v>3886</v>
      </c>
      <c r="F222">
        <v>2</v>
      </c>
      <c r="G222">
        <v>0</v>
      </c>
      <c r="H222" t="s">
        <v>66</v>
      </c>
      <c r="I222">
        <v>0</v>
      </c>
      <c r="J222" t="s">
        <v>66</v>
      </c>
      <c r="K222">
        <v>0</v>
      </c>
      <c r="L222" t="s">
        <v>66</v>
      </c>
      <c r="M222" t="s">
        <v>56</v>
      </c>
      <c r="N222">
        <v>0</v>
      </c>
      <c r="O222" t="s">
        <v>66</v>
      </c>
      <c r="P222" t="s">
        <v>56</v>
      </c>
      <c r="Q222">
        <v>0</v>
      </c>
      <c r="R222" t="s">
        <v>66</v>
      </c>
      <c r="S222" t="s">
        <v>56</v>
      </c>
      <c r="T222">
        <v>1</v>
      </c>
      <c r="U222" t="s">
        <v>1627</v>
      </c>
      <c r="V222" t="s">
        <v>56</v>
      </c>
      <c r="W222">
        <v>0</v>
      </c>
      <c r="X222" t="s">
        <v>66</v>
      </c>
      <c r="Y222" t="s">
        <v>56</v>
      </c>
      <c r="Z222">
        <v>0</v>
      </c>
      <c r="AA222" t="s">
        <v>66</v>
      </c>
      <c r="AB222" t="s">
        <v>56</v>
      </c>
      <c r="AC222">
        <v>1</v>
      </c>
      <c r="AD222" t="s">
        <v>1627</v>
      </c>
      <c r="AE222" t="s">
        <v>3887</v>
      </c>
      <c r="AF222">
        <v>0</v>
      </c>
      <c r="AG222" t="s">
        <v>66</v>
      </c>
      <c r="AH222" t="s">
        <v>56</v>
      </c>
      <c r="AI222">
        <v>1</v>
      </c>
      <c r="AJ222" t="s">
        <v>1627</v>
      </c>
      <c r="AK222" t="s">
        <v>56</v>
      </c>
      <c r="AL222" t="s">
        <v>56</v>
      </c>
      <c r="AM222" t="s">
        <v>56</v>
      </c>
      <c r="AN222" t="s">
        <v>56</v>
      </c>
      <c r="AO222" t="s">
        <v>4609</v>
      </c>
      <c r="AP222" t="s">
        <v>3889</v>
      </c>
      <c r="AQ222" t="s">
        <v>3890</v>
      </c>
      <c r="AR222" t="s">
        <v>3926</v>
      </c>
      <c r="AS222" t="s">
        <v>3927</v>
      </c>
      <c r="AT222" t="s">
        <v>4276</v>
      </c>
      <c r="AU222" t="s">
        <v>3894</v>
      </c>
      <c r="AV222" t="s">
        <v>3895</v>
      </c>
      <c r="AW222" t="s">
        <v>3896</v>
      </c>
      <c r="AX222">
        <v>8</v>
      </c>
      <c r="AY222">
        <v>2</v>
      </c>
      <c r="AZ222" t="s">
        <v>3897</v>
      </c>
      <c r="BA222">
        <v>10</v>
      </c>
      <c r="BB222" t="s">
        <v>3898</v>
      </c>
      <c r="BC222">
        <v>3</v>
      </c>
      <c r="BD222">
        <v>5</v>
      </c>
      <c r="BE222" t="s">
        <v>3899</v>
      </c>
      <c r="BF222">
        <v>3</v>
      </c>
      <c r="BG222">
        <v>13</v>
      </c>
      <c r="BH222" t="s">
        <v>3900</v>
      </c>
      <c r="BI222" t="s">
        <v>4610</v>
      </c>
      <c r="BJ222">
        <v>1</v>
      </c>
      <c r="BK222" t="s">
        <v>3902</v>
      </c>
    </row>
    <row r="223" spans="1:63" x14ac:dyDescent="0.25">
      <c r="A223">
        <v>4286</v>
      </c>
      <c r="B223" t="str">
        <f>"20200128130017082145"</f>
        <v>20200128130017082145</v>
      </c>
      <c r="C223">
        <v>1</v>
      </c>
      <c r="D223">
        <v>1</v>
      </c>
      <c r="E223" t="s">
        <v>3886</v>
      </c>
      <c r="F223">
        <v>2</v>
      </c>
      <c r="G223">
        <v>0</v>
      </c>
      <c r="H223" t="s">
        <v>66</v>
      </c>
      <c r="I223">
        <v>0</v>
      </c>
      <c r="J223" t="s">
        <v>66</v>
      </c>
      <c r="K223">
        <v>0</v>
      </c>
      <c r="L223" t="s">
        <v>66</v>
      </c>
      <c r="M223" t="s">
        <v>56</v>
      </c>
      <c r="N223">
        <v>0</v>
      </c>
      <c r="O223" t="s">
        <v>66</v>
      </c>
      <c r="P223" t="s">
        <v>56</v>
      </c>
      <c r="Q223">
        <v>0</v>
      </c>
      <c r="R223" t="s">
        <v>66</v>
      </c>
      <c r="S223" t="s">
        <v>56</v>
      </c>
      <c r="T223">
        <v>1</v>
      </c>
      <c r="U223" t="s">
        <v>1627</v>
      </c>
      <c r="V223" t="s">
        <v>56</v>
      </c>
      <c r="W223">
        <v>0</v>
      </c>
      <c r="X223" t="s">
        <v>66</v>
      </c>
      <c r="Y223" t="s">
        <v>56</v>
      </c>
      <c r="Z223">
        <v>0</v>
      </c>
      <c r="AA223" t="s">
        <v>66</v>
      </c>
      <c r="AB223" t="s">
        <v>56</v>
      </c>
      <c r="AC223">
        <v>1</v>
      </c>
      <c r="AD223" t="s">
        <v>1627</v>
      </c>
      <c r="AE223" t="s">
        <v>3887</v>
      </c>
      <c r="AF223">
        <v>0</v>
      </c>
      <c r="AG223" t="s">
        <v>66</v>
      </c>
      <c r="AH223" t="s">
        <v>56</v>
      </c>
      <c r="AI223">
        <v>1</v>
      </c>
      <c r="AJ223" t="s">
        <v>1627</v>
      </c>
      <c r="AK223" t="s">
        <v>56</v>
      </c>
      <c r="AL223" t="s">
        <v>56</v>
      </c>
      <c r="AM223" t="s">
        <v>56</v>
      </c>
      <c r="AN223" t="s">
        <v>56</v>
      </c>
      <c r="AO223" t="s">
        <v>4433</v>
      </c>
      <c r="AP223" t="s">
        <v>3889</v>
      </c>
      <c r="AQ223" t="s">
        <v>3890</v>
      </c>
      <c r="AR223" t="s">
        <v>3926</v>
      </c>
      <c r="AS223" t="s">
        <v>3927</v>
      </c>
      <c r="AT223" t="s">
        <v>4611</v>
      </c>
      <c r="AU223" t="s">
        <v>3894</v>
      </c>
      <c r="AV223" t="s">
        <v>3895</v>
      </c>
      <c r="AW223" t="s">
        <v>3896</v>
      </c>
      <c r="AX223">
        <v>12</v>
      </c>
      <c r="AY223">
        <v>2</v>
      </c>
      <c r="AZ223" t="s">
        <v>3897</v>
      </c>
      <c r="BA223">
        <v>10</v>
      </c>
      <c r="BB223" t="s">
        <v>3898</v>
      </c>
      <c r="BC223">
        <v>2</v>
      </c>
      <c r="BD223">
        <v>5</v>
      </c>
      <c r="BE223" t="s">
        <v>3899</v>
      </c>
      <c r="BF223">
        <v>2</v>
      </c>
      <c r="BG223">
        <v>13</v>
      </c>
      <c r="BH223" t="s">
        <v>3900</v>
      </c>
      <c r="BI223" t="s">
        <v>4612</v>
      </c>
      <c r="BJ223">
        <v>1</v>
      </c>
      <c r="BK223" t="s">
        <v>3902</v>
      </c>
    </row>
    <row r="224" spans="1:63" x14ac:dyDescent="0.25">
      <c r="A224">
        <v>4287</v>
      </c>
      <c r="B224" t="str">
        <f>"20200128125017082222"</f>
        <v>20200128125017082222</v>
      </c>
      <c r="C224">
        <v>1</v>
      </c>
      <c r="D224">
        <v>1</v>
      </c>
      <c r="E224" t="s">
        <v>3886</v>
      </c>
      <c r="F224">
        <v>2</v>
      </c>
      <c r="G224">
        <v>0</v>
      </c>
      <c r="H224" t="s">
        <v>66</v>
      </c>
      <c r="I224">
        <v>0</v>
      </c>
      <c r="J224" t="s">
        <v>66</v>
      </c>
      <c r="K224">
        <v>0</v>
      </c>
      <c r="L224" t="s">
        <v>66</v>
      </c>
      <c r="M224" t="s">
        <v>56</v>
      </c>
      <c r="N224">
        <v>0</v>
      </c>
      <c r="O224" t="s">
        <v>66</v>
      </c>
      <c r="P224" t="s">
        <v>56</v>
      </c>
      <c r="Q224">
        <v>0</v>
      </c>
      <c r="R224" t="s">
        <v>66</v>
      </c>
      <c r="S224" t="s">
        <v>56</v>
      </c>
      <c r="T224">
        <v>1</v>
      </c>
      <c r="U224" t="s">
        <v>1627</v>
      </c>
      <c r="V224" t="s">
        <v>56</v>
      </c>
      <c r="W224">
        <v>0</v>
      </c>
      <c r="X224" t="s">
        <v>66</v>
      </c>
      <c r="Y224" t="s">
        <v>56</v>
      </c>
      <c r="Z224">
        <v>0</v>
      </c>
      <c r="AA224" t="s">
        <v>66</v>
      </c>
      <c r="AB224" t="s">
        <v>56</v>
      </c>
      <c r="AC224">
        <v>1</v>
      </c>
      <c r="AD224" t="s">
        <v>1627</v>
      </c>
      <c r="AE224" t="s">
        <v>3887</v>
      </c>
      <c r="AF224">
        <v>0</v>
      </c>
      <c r="AG224" t="s">
        <v>66</v>
      </c>
      <c r="AH224" t="s">
        <v>56</v>
      </c>
      <c r="AI224">
        <v>1</v>
      </c>
      <c r="AJ224" t="s">
        <v>1627</v>
      </c>
      <c r="AK224">
        <v>0</v>
      </c>
      <c r="AL224" t="s">
        <v>66</v>
      </c>
      <c r="AM224" t="s">
        <v>56</v>
      </c>
      <c r="AN224" t="s">
        <v>56</v>
      </c>
      <c r="AO224" t="s">
        <v>4613</v>
      </c>
      <c r="AP224" t="s">
        <v>3939</v>
      </c>
      <c r="AQ224" t="s">
        <v>3940</v>
      </c>
      <c r="AR224" t="s">
        <v>3941</v>
      </c>
      <c r="AS224" t="s">
        <v>3942</v>
      </c>
      <c r="AT224" t="s">
        <v>4614</v>
      </c>
      <c r="AU224" t="s">
        <v>3944</v>
      </c>
      <c r="AV224" t="s">
        <v>3945</v>
      </c>
      <c r="AW224" t="s">
        <v>3946</v>
      </c>
      <c r="AX224">
        <v>1</v>
      </c>
      <c r="AY224">
        <v>3</v>
      </c>
      <c r="AZ224" t="s">
        <v>3911</v>
      </c>
      <c r="BA224">
        <v>10</v>
      </c>
      <c r="BB224" t="s">
        <v>3898</v>
      </c>
      <c r="BC224">
        <v>3</v>
      </c>
      <c r="BD224">
        <v>5</v>
      </c>
      <c r="BE224" t="s">
        <v>3899</v>
      </c>
      <c r="BF224">
        <v>90</v>
      </c>
      <c r="BG224">
        <v>14</v>
      </c>
      <c r="BH224" t="s">
        <v>3947</v>
      </c>
      <c r="BI224" t="s">
        <v>4615</v>
      </c>
      <c r="BJ224">
        <v>1</v>
      </c>
      <c r="BK224" t="s">
        <v>3902</v>
      </c>
    </row>
    <row r="225" spans="1:63" x14ac:dyDescent="0.25">
      <c r="A225">
        <v>4288</v>
      </c>
      <c r="B225" t="str">
        <f>"20200128126017083047"</f>
        <v>20200128126017083047</v>
      </c>
      <c r="C225">
        <v>1</v>
      </c>
      <c r="D225">
        <v>1</v>
      </c>
      <c r="E225" t="s">
        <v>3886</v>
      </c>
      <c r="F225">
        <v>2</v>
      </c>
      <c r="G225">
        <v>0</v>
      </c>
      <c r="H225" t="s">
        <v>66</v>
      </c>
      <c r="I225">
        <v>0</v>
      </c>
      <c r="J225" t="s">
        <v>66</v>
      </c>
      <c r="K225">
        <v>1</v>
      </c>
      <c r="L225" t="s">
        <v>1627</v>
      </c>
      <c r="M225" t="s">
        <v>4030</v>
      </c>
      <c r="N225">
        <v>1</v>
      </c>
      <c r="O225" t="s">
        <v>1627</v>
      </c>
      <c r="P225" t="s">
        <v>4616</v>
      </c>
      <c r="Q225">
        <v>0</v>
      </c>
      <c r="R225" t="s">
        <v>66</v>
      </c>
      <c r="S225" t="s">
        <v>56</v>
      </c>
      <c r="T225" t="s">
        <v>56</v>
      </c>
      <c r="U225" t="s">
        <v>56</v>
      </c>
      <c r="V225" t="s">
        <v>56</v>
      </c>
      <c r="W225">
        <v>0</v>
      </c>
      <c r="X225" t="s">
        <v>66</v>
      </c>
      <c r="Y225" t="s">
        <v>56</v>
      </c>
      <c r="Z225">
        <v>0</v>
      </c>
      <c r="AA225" t="s">
        <v>66</v>
      </c>
      <c r="AB225" t="s">
        <v>56</v>
      </c>
      <c r="AC225">
        <v>0</v>
      </c>
      <c r="AD225" t="s">
        <v>66</v>
      </c>
      <c r="AE225" t="s">
        <v>56</v>
      </c>
      <c r="AF225">
        <v>0</v>
      </c>
      <c r="AG225" t="s">
        <v>66</v>
      </c>
      <c r="AH225" t="s">
        <v>56</v>
      </c>
      <c r="AI225">
        <v>1</v>
      </c>
      <c r="AJ225" t="s">
        <v>1627</v>
      </c>
      <c r="AK225" t="s">
        <v>56</v>
      </c>
      <c r="AL225" t="s">
        <v>56</v>
      </c>
      <c r="AM225" t="s">
        <v>56</v>
      </c>
      <c r="AN225" t="s">
        <v>56</v>
      </c>
      <c r="AO225" t="s">
        <v>4456</v>
      </c>
      <c r="AP225" t="s">
        <v>3962</v>
      </c>
      <c r="AQ225" t="s">
        <v>3963</v>
      </c>
      <c r="AR225" t="s">
        <v>3941</v>
      </c>
      <c r="AS225" t="s">
        <v>3942</v>
      </c>
      <c r="AT225" t="s">
        <v>4617</v>
      </c>
      <c r="AU225" t="s">
        <v>3944</v>
      </c>
      <c r="AV225" t="s">
        <v>3945</v>
      </c>
      <c r="AW225" t="s">
        <v>3946</v>
      </c>
      <c r="AX225">
        <v>12</v>
      </c>
      <c r="AY225">
        <v>2</v>
      </c>
      <c r="AZ225" t="s">
        <v>3897</v>
      </c>
      <c r="BA225">
        <v>10</v>
      </c>
      <c r="BB225" t="s">
        <v>3898</v>
      </c>
      <c r="BC225">
        <v>30</v>
      </c>
      <c r="BD225">
        <v>3</v>
      </c>
      <c r="BE225" t="s">
        <v>3911</v>
      </c>
      <c r="BF225">
        <v>60</v>
      </c>
      <c r="BG225">
        <v>66</v>
      </c>
      <c r="BH225" t="s">
        <v>3965</v>
      </c>
      <c r="BI225" t="s">
        <v>4618</v>
      </c>
      <c r="BJ225">
        <v>1</v>
      </c>
      <c r="BK225" t="s">
        <v>3902</v>
      </c>
    </row>
    <row r="226" spans="1:63" x14ac:dyDescent="0.25">
      <c r="A226">
        <v>4289</v>
      </c>
      <c r="B226" t="str">
        <f>"20200128187017083151"</f>
        <v>20200128187017083151</v>
      </c>
      <c r="C226">
        <v>1</v>
      </c>
      <c r="D226">
        <v>1</v>
      </c>
      <c r="E226" t="s">
        <v>3886</v>
      </c>
      <c r="F226">
        <v>2</v>
      </c>
      <c r="G226">
        <v>0</v>
      </c>
      <c r="H226" t="s">
        <v>66</v>
      </c>
      <c r="I226">
        <v>0</v>
      </c>
      <c r="J226" t="s">
        <v>66</v>
      </c>
      <c r="K226">
        <v>0</v>
      </c>
      <c r="L226" t="s">
        <v>66</v>
      </c>
      <c r="M226" t="s">
        <v>56</v>
      </c>
      <c r="N226">
        <v>0</v>
      </c>
      <c r="O226" t="s">
        <v>66</v>
      </c>
      <c r="P226" t="s">
        <v>56</v>
      </c>
      <c r="Q226">
        <v>0</v>
      </c>
      <c r="R226" t="s">
        <v>66</v>
      </c>
      <c r="S226" t="s">
        <v>56</v>
      </c>
      <c r="T226">
        <v>1</v>
      </c>
      <c r="U226" t="s">
        <v>1627</v>
      </c>
      <c r="V226" t="s">
        <v>56</v>
      </c>
      <c r="W226">
        <v>0</v>
      </c>
      <c r="X226" t="s">
        <v>66</v>
      </c>
      <c r="Y226" t="s">
        <v>56</v>
      </c>
      <c r="Z226">
        <v>0</v>
      </c>
      <c r="AA226" t="s">
        <v>66</v>
      </c>
      <c r="AB226" t="s">
        <v>56</v>
      </c>
      <c r="AC226">
        <v>1</v>
      </c>
      <c r="AD226" t="s">
        <v>1627</v>
      </c>
      <c r="AE226" t="s">
        <v>3887</v>
      </c>
      <c r="AF226">
        <v>0</v>
      </c>
      <c r="AG226" t="s">
        <v>66</v>
      </c>
      <c r="AH226" t="s">
        <v>56</v>
      </c>
      <c r="AI226">
        <v>1</v>
      </c>
      <c r="AJ226" t="s">
        <v>1627</v>
      </c>
      <c r="AK226" t="s">
        <v>56</v>
      </c>
      <c r="AL226" t="s">
        <v>56</v>
      </c>
      <c r="AM226" t="s">
        <v>56</v>
      </c>
      <c r="AN226" t="s">
        <v>56</v>
      </c>
      <c r="AO226" t="s">
        <v>4619</v>
      </c>
      <c r="AP226" t="s">
        <v>3971</v>
      </c>
      <c r="AQ226" t="s">
        <v>3972</v>
      </c>
      <c r="AR226" t="s">
        <v>3904</v>
      </c>
      <c r="AS226" t="s">
        <v>3905</v>
      </c>
      <c r="AT226" t="s">
        <v>4620</v>
      </c>
      <c r="AU226" t="s">
        <v>4621</v>
      </c>
      <c r="AV226" t="s">
        <v>4622</v>
      </c>
      <c r="AW226" t="s">
        <v>4623</v>
      </c>
      <c r="AX226">
        <v>12</v>
      </c>
      <c r="AY226">
        <v>2</v>
      </c>
      <c r="AZ226" t="s">
        <v>3897</v>
      </c>
      <c r="BA226">
        <v>10</v>
      </c>
      <c r="BB226" t="s">
        <v>3898</v>
      </c>
      <c r="BC226">
        <v>15</v>
      </c>
      <c r="BD226">
        <v>3</v>
      </c>
      <c r="BE226" t="s">
        <v>3911</v>
      </c>
      <c r="BF226">
        <v>60</v>
      </c>
      <c r="BG226">
        <v>75</v>
      </c>
      <c r="BH226" t="s">
        <v>4017</v>
      </c>
      <c r="BI226" t="s">
        <v>62</v>
      </c>
      <c r="BJ226">
        <v>1</v>
      </c>
      <c r="BK226" t="s">
        <v>3902</v>
      </c>
    </row>
    <row r="227" spans="1:63" x14ac:dyDescent="0.25">
      <c r="A227">
        <v>4124</v>
      </c>
      <c r="B227" t="str">
        <f>"20200127120017040733"</f>
        <v>20200127120017040733</v>
      </c>
      <c r="C227">
        <v>1</v>
      </c>
      <c r="D227">
        <v>1</v>
      </c>
      <c r="E227" t="s">
        <v>3886</v>
      </c>
      <c r="F227">
        <v>2</v>
      </c>
      <c r="G227">
        <v>0</v>
      </c>
      <c r="H227" t="s">
        <v>66</v>
      </c>
      <c r="I227">
        <v>0</v>
      </c>
      <c r="J227" t="s">
        <v>66</v>
      </c>
      <c r="K227">
        <v>0</v>
      </c>
      <c r="L227" t="s">
        <v>66</v>
      </c>
      <c r="M227" t="s">
        <v>56</v>
      </c>
      <c r="N227">
        <v>0</v>
      </c>
      <c r="O227" t="s">
        <v>66</v>
      </c>
      <c r="P227" t="s">
        <v>56</v>
      </c>
      <c r="Q227">
        <v>0</v>
      </c>
      <c r="R227" t="s">
        <v>66</v>
      </c>
      <c r="S227" t="s">
        <v>56</v>
      </c>
      <c r="T227">
        <v>1</v>
      </c>
      <c r="U227" t="s">
        <v>1627</v>
      </c>
      <c r="V227" t="s">
        <v>56</v>
      </c>
      <c r="W227">
        <v>0</v>
      </c>
      <c r="X227" t="s">
        <v>66</v>
      </c>
      <c r="Y227" t="s">
        <v>56</v>
      </c>
      <c r="Z227">
        <v>0</v>
      </c>
      <c r="AA227" t="s">
        <v>66</v>
      </c>
      <c r="AB227" t="s">
        <v>56</v>
      </c>
      <c r="AC227">
        <v>1</v>
      </c>
      <c r="AD227" t="s">
        <v>1627</v>
      </c>
      <c r="AE227" t="s">
        <v>3887</v>
      </c>
      <c r="AF227">
        <v>0</v>
      </c>
      <c r="AG227" t="s">
        <v>66</v>
      </c>
      <c r="AH227" t="s">
        <v>56</v>
      </c>
      <c r="AI227">
        <v>1</v>
      </c>
      <c r="AJ227" t="s">
        <v>1627</v>
      </c>
      <c r="AK227" t="s">
        <v>56</v>
      </c>
      <c r="AL227" t="s">
        <v>56</v>
      </c>
      <c r="AM227" t="s">
        <v>56</v>
      </c>
      <c r="AN227" t="s">
        <v>56</v>
      </c>
      <c r="AO227" t="s">
        <v>3888</v>
      </c>
      <c r="AP227" t="s">
        <v>3889</v>
      </c>
      <c r="AQ227" t="s">
        <v>3890</v>
      </c>
      <c r="AR227" t="s">
        <v>3891</v>
      </c>
      <c r="AS227" t="s">
        <v>3892</v>
      </c>
      <c r="AT227" t="s">
        <v>3893</v>
      </c>
      <c r="AU227" t="s">
        <v>3894</v>
      </c>
      <c r="AV227" t="s">
        <v>3895</v>
      </c>
      <c r="AW227" t="s">
        <v>3896</v>
      </c>
      <c r="AX227">
        <v>8</v>
      </c>
      <c r="AY227">
        <v>2</v>
      </c>
      <c r="AZ227" t="s">
        <v>3897</v>
      </c>
      <c r="BA227">
        <v>10</v>
      </c>
      <c r="BB227" t="s">
        <v>3898</v>
      </c>
      <c r="BC227">
        <v>3</v>
      </c>
      <c r="BD227">
        <v>5</v>
      </c>
      <c r="BE227" t="s">
        <v>3899</v>
      </c>
      <c r="BF227">
        <v>2</v>
      </c>
      <c r="BG227">
        <v>13</v>
      </c>
      <c r="BH227" t="s">
        <v>3900</v>
      </c>
      <c r="BI227" t="s">
        <v>4624</v>
      </c>
      <c r="BJ227">
        <v>1</v>
      </c>
      <c r="BK227" t="s">
        <v>3902</v>
      </c>
    </row>
    <row r="228" spans="1:63" x14ac:dyDescent="0.25">
      <c r="A228">
        <v>4125</v>
      </c>
      <c r="B228" t="str">
        <f>"20200127120017040733"</f>
        <v>20200127120017040733</v>
      </c>
      <c r="C228">
        <v>2</v>
      </c>
      <c r="D228">
        <v>1</v>
      </c>
      <c r="E228" t="s">
        <v>3886</v>
      </c>
      <c r="F228">
        <v>2</v>
      </c>
      <c r="G228">
        <v>0</v>
      </c>
      <c r="H228" t="s">
        <v>66</v>
      </c>
      <c r="I228">
        <v>0</v>
      </c>
      <c r="J228" t="s">
        <v>66</v>
      </c>
      <c r="K228">
        <v>0</v>
      </c>
      <c r="L228" t="s">
        <v>66</v>
      </c>
      <c r="M228" t="s">
        <v>56</v>
      </c>
      <c r="N228">
        <v>0</v>
      </c>
      <c r="O228" t="s">
        <v>66</v>
      </c>
      <c r="P228" t="s">
        <v>56</v>
      </c>
      <c r="Q228">
        <v>0</v>
      </c>
      <c r="R228" t="s">
        <v>66</v>
      </c>
      <c r="S228" t="s">
        <v>56</v>
      </c>
      <c r="T228">
        <v>1</v>
      </c>
      <c r="U228" t="s">
        <v>1627</v>
      </c>
      <c r="V228" t="s">
        <v>56</v>
      </c>
      <c r="W228">
        <v>0</v>
      </c>
      <c r="X228" t="s">
        <v>66</v>
      </c>
      <c r="Y228" t="s">
        <v>56</v>
      </c>
      <c r="Z228">
        <v>0</v>
      </c>
      <c r="AA228" t="s">
        <v>66</v>
      </c>
      <c r="AB228" t="s">
        <v>56</v>
      </c>
      <c r="AC228">
        <v>1</v>
      </c>
      <c r="AD228" t="s">
        <v>1627</v>
      </c>
      <c r="AE228" t="s">
        <v>3887</v>
      </c>
      <c r="AF228">
        <v>0</v>
      </c>
      <c r="AG228" t="s">
        <v>66</v>
      </c>
      <c r="AH228" t="s">
        <v>56</v>
      </c>
      <c r="AI228">
        <v>1</v>
      </c>
      <c r="AJ228" t="s">
        <v>1627</v>
      </c>
      <c r="AK228" t="s">
        <v>56</v>
      </c>
      <c r="AL228" t="s">
        <v>56</v>
      </c>
      <c r="AM228" t="s">
        <v>56</v>
      </c>
      <c r="AN228" t="s">
        <v>56</v>
      </c>
      <c r="AO228" t="s">
        <v>4046</v>
      </c>
      <c r="AP228" t="s">
        <v>3889</v>
      </c>
      <c r="AQ228" t="s">
        <v>3890</v>
      </c>
      <c r="AR228" t="s">
        <v>3926</v>
      </c>
      <c r="AS228" t="s">
        <v>3927</v>
      </c>
      <c r="AT228" t="s">
        <v>4507</v>
      </c>
      <c r="AU228" t="s">
        <v>3894</v>
      </c>
      <c r="AV228" t="s">
        <v>3895</v>
      </c>
      <c r="AW228" t="s">
        <v>3896</v>
      </c>
      <c r="AX228">
        <v>24</v>
      </c>
      <c r="AY228">
        <v>2</v>
      </c>
      <c r="AZ228" t="s">
        <v>3897</v>
      </c>
      <c r="BA228">
        <v>10</v>
      </c>
      <c r="BB228" t="s">
        <v>3898</v>
      </c>
      <c r="BC228">
        <v>3</v>
      </c>
      <c r="BD228">
        <v>5</v>
      </c>
      <c r="BE228" t="s">
        <v>3899</v>
      </c>
      <c r="BF228">
        <v>3</v>
      </c>
      <c r="BG228">
        <v>13</v>
      </c>
      <c r="BH228" t="s">
        <v>3900</v>
      </c>
      <c r="BI228" t="s">
        <v>4508</v>
      </c>
      <c r="BJ228">
        <v>1</v>
      </c>
      <c r="BK228" t="s">
        <v>3902</v>
      </c>
    </row>
    <row r="229" spans="1:63" x14ac:dyDescent="0.25">
      <c r="A229">
        <v>4126</v>
      </c>
      <c r="B229" t="str">
        <f>"20200127192017041836"</f>
        <v>20200127192017041836</v>
      </c>
      <c r="C229">
        <v>1</v>
      </c>
      <c r="D229">
        <v>1</v>
      </c>
      <c r="E229" t="s">
        <v>3886</v>
      </c>
      <c r="F229">
        <v>2</v>
      </c>
      <c r="G229">
        <v>0</v>
      </c>
      <c r="H229" t="s">
        <v>66</v>
      </c>
      <c r="I229">
        <v>0</v>
      </c>
      <c r="J229" t="s">
        <v>66</v>
      </c>
      <c r="K229">
        <v>1</v>
      </c>
      <c r="L229" t="s">
        <v>1627</v>
      </c>
      <c r="M229" t="s">
        <v>4116</v>
      </c>
      <c r="N229">
        <v>1</v>
      </c>
      <c r="O229" t="s">
        <v>1627</v>
      </c>
      <c r="P229" t="s">
        <v>4625</v>
      </c>
      <c r="Q229">
        <v>0</v>
      </c>
      <c r="R229" t="s">
        <v>66</v>
      </c>
      <c r="S229" t="s">
        <v>56</v>
      </c>
      <c r="T229" t="s">
        <v>56</v>
      </c>
      <c r="U229" t="s">
        <v>56</v>
      </c>
      <c r="V229" t="s">
        <v>56</v>
      </c>
      <c r="W229">
        <v>0</v>
      </c>
      <c r="X229" t="s">
        <v>66</v>
      </c>
      <c r="Y229" t="s">
        <v>56</v>
      </c>
      <c r="Z229">
        <v>0</v>
      </c>
      <c r="AA229" t="s">
        <v>66</v>
      </c>
      <c r="AB229" t="s">
        <v>56</v>
      </c>
      <c r="AC229">
        <v>0</v>
      </c>
      <c r="AD229" t="s">
        <v>66</v>
      </c>
      <c r="AE229" t="s">
        <v>56</v>
      </c>
      <c r="AF229">
        <v>0</v>
      </c>
      <c r="AG229" t="s">
        <v>66</v>
      </c>
      <c r="AH229" t="s">
        <v>56</v>
      </c>
      <c r="AI229">
        <v>1</v>
      </c>
      <c r="AJ229" t="s">
        <v>1627</v>
      </c>
      <c r="AK229" t="s">
        <v>56</v>
      </c>
      <c r="AL229" t="s">
        <v>56</v>
      </c>
      <c r="AM229" t="s">
        <v>56</v>
      </c>
      <c r="AN229" t="s">
        <v>56</v>
      </c>
      <c r="AO229" t="s">
        <v>4050</v>
      </c>
      <c r="AP229" t="s">
        <v>3962</v>
      </c>
      <c r="AQ229" t="s">
        <v>3963</v>
      </c>
      <c r="AR229" t="s">
        <v>3941</v>
      </c>
      <c r="AS229" t="s">
        <v>3942</v>
      </c>
      <c r="AT229" t="s">
        <v>4626</v>
      </c>
      <c r="AU229">
        <v>9000</v>
      </c>
      <c r="AV229" t="s">
        <v>3956</v>
      </c>
      <c r="AW229" t="s">
        <v>3956</v>
      </c>
      <c r="AX229">
        <v>8</v>
      </c>
      <c r="AY229">
        <v>2</v>
      </c>
      <c r="AZ229" t="s">
        <v>3897</v>
      </c>
      <c r="BA229">
        <v>10</v>
      </c>
      <c r="BB229" t="s">
        <v>3898</v>
      </c>
      <c r="BC229">
        <v>3</v>
      </c>
      <c r="BD229">
        <v>5</v>
      </c>
      <c r="BE229" t="s">
        <v>3899</v>
      </c>
      <c r="BF229">
        <v>270</v>
      </c>
      <c r="BG229">
        <v>66</v>
      </c>
      <c r="BH229" t="s">
        <v>3965</v>
      </c>
      <c r="BI229" t="s">
        <v>4627</v>
      </c>
      <c r="BJ229">
        <v>1</v>
      </c>
      <c r="BK229" t="s">
        <v>3902</v>
      </c>
    </row>
    <row r="230" spans="1:63" x14ac:dyDescent="0.25">
      <c r="A230">
        <v>4127</v>
      </c>
      <c r="B230" t="str">
        <f>"20200127123017042113"</f>
        <v>20200127123017042113</v>
      </c>
      <c r="C230">
        <v>1</v>
      </c>
      <c r="D230">
        <v>1</v>
      </c>
      <c r="E230" t="s">
        <v>3886</v>
      </c>
      <c r="F230">
        <v>2</v>
      </c>
      <c r="G230">
        <v>0</v>
      </c>
      <c r="H230" t="s">
        <v>66</v>
      </c>
      <c r="I230">
        <v>0</v>
      </c>
      <c r="J230" t="s">
        <v>66</v>
      </c>
      <c r="K230">
        <v>1</v>
      </c>
      <c r="L230" t="s">
        <v>1627</v>
      </c>
      <c r="M230" t="s">
        <v>4628</v>
      </c>
      <c r="N230">
        <v>1</v>
      </c>
      <c r="O230" t="s">
        <v>1627</v>
      </c>
      <c r="P230" t="s">
        <v>4362</v>
      </c>
      <c r="Q230">
        <v>0</v>
      </c>
      <c r="R230" t="s">
        <v>66</v>
      </c>
      <c r="S230" t="s">
        <v>56</v>
      </c>
      <c r="T230" t="s">
        <v>56</v>
      </c>
      <c r="U230" t="s">
        <v>56</v>
      </c>
      <c r="V230" t="s">
        <v>56</v>
      </c>
      <c r="W230">
        <v>0</v>
      </c>
      <c r="X230" t="s">
        <v>66</v>
      </c>
      <c r="Y230" t="s">
        <v>56</v>
      </c>
      <c r="Z230">
        <v>0</v>
      </c>
      <c r="AA230" t="s">
        <v>66</v>
      </c>
      <c r="AB230" t="s">
        <v>56</v>
      </c>
      <c r="AC230">
        <v>0</v>
      </c>
      <c r="AD230" t="s">
        <v>66</v>
      </c>
      <c r="AE230" t="s">
        <v>56</v>
      </c>
      <c r="AF230">
        <v>0</v>
      </c>
      <c r="AG230" t="s">
        <v>66</v>
      </c>
      <c r="AH230" t="s">
        <v>56</v>
      </c>
      <c r="AI230">
        <v>1</v>
      </c>
      <c r="AJ230" t="s">
        <v>1627</v>
      </c>
      <c r="AK230" t="s">
        <v>56</v>
      </c>
      <c r="AL230" t="s">
        <v>56</v>
      </c>
      <c r="AM230" t="s">
        <v>56</v>
      </c>
      <c r="AN230" t="s">
        <v>56</v>
      </c>
      <c r="AO230" t="s">
        <v>4629</v>
      </c>
      <c r="AP230" t="s">
        <v>3939</v>
      </c>
      <c r="AQ230" t="s">
        <v>3940</v>
      </c>
      <c r="AR230" t="s">
        <v>3941</v>
      </c>
      <c r="AS230" t="s">
        <v>3942</v>
      </c>
      <c r="AT230" t="s">
        <v>4630</v>
      </c>
      <c r="AU230">
        <v>9000</v>
      </c>
      <c r="AV230" t="s">
        <v>3956</v>
      </c>
      <c r="AW230" t="s">
        <v>3956</v>
      </c>
      <c r="AX230">
        <v>1</v>
      </c>
      <c r="AY230">
        <v>3</v>
      </c>
      <c r="AZ230" t="s">
        <v>3911</v>
      </c>
      <c r="BA230">
        <v>10</v>
      </c>
      <c r="BB230" t="s">
        <v>3898</v>
      </c>
      <c r="BC230">
        <v>2</v>
      </c>
      <c r="BD230">
        <v>5</v>
      </c>
      <c r="BE230" t="s">
        <v>3899</v>
      </c>
      <c r="BF230">
        <v>120</v>
      </c>
      <c r="BG230">
        <v>66</v>
      </c>
      <c r="BH230" t="s">
        <v>3965</v>
      </c>
      <c r="BI230" t="s">
        <v>4631</v>
      </c>
      <c r="BJ230">
        <v>1</v>
      </c>
      <c r="BK230" t="s">
        <v>3902</v>
      </c>
    </row>
    <row r="231" spans="1:63" x14ac:dyDescent="0.25">
      <c r="A231">
        <v>4128</v>
      </c>
      <c r="B231" t="str">
        <f>"20200127152017042179"</f>
        <v>20200127152017042179</v>
      </c>
      <c r="C231">
        <v>1</v>
      </c>
      <c r="D231">
        <v>1</v>
      </c>
      <c r="E231" t="s">
        <v>3886</v>
      </c>
      <c r="F231">
        <v>1</v>
      </c>
      <c r="G231">
        <v>0</v>
      </c>
      <c r="H231" t="s">
        <v>66</v>
      </c>
      <c r="I231">
        <v>0</v>
      </c>
      <c r="J231" t="s">
        <v>66</v>
      </c>
      <c r="K231">
        <v>1</v>
      </c>
      <c r="L231" t="s">
        <v>1627</v>
      </c>
      <c r="M231" t="s">
        <v>4209</v>
      </c>
      <c r="N231">
        <v>1</v>
      </c>
      <c r="O231" t="s">
        <v>1627</v>
      </c>
      <c r="P231" t="s">
        <v>4632</v>
      </c>
      <c r="Q231">
        <v>0</v>
      </c>
      <c r="R231" t="s">
        <v>66</v>
      </c>
      <c r="S231" t="s">
        <v>56</v>
      </c>
      <c r="T231" t="s">
        <v>56</v>
      </c>
      <c r="U231" t="s">
        <v>56</v>
      </c>
      <c r="V231" t="s">
        <v>56</v>
      </c>
      <c r="W231">
        <v>0</v>
      </c>
      <c r="X231" t="s">
        <v>66</v>
      </c>
      <c r="Y231" t="s">
        <v>56</v>
      </c>
      <c r="Z231">
        <v>0</v>
      </c>
      <c r="AA231" t="s">
        <v>66</v>
      </c>
      <c r="AB231" t="s">
        <v>56</v>
      </c>
      <c r="AC231">
        <v>0</v>
      </c>
      <c r="AD231" t="s">
        <v>66</v>
      </c>
      <c r="AE231" t="s">
        <v>56</v>
      </c>
      <c r="AF231">
        <v>0</v>
      </c>
      <c r="AG231" t="s">
        <v>66</v>
      </c>
      <c r="AH231" t="s">
        <v>56</v>
      </c>
      <c r="AI231">
        <v>1</v>
      </c>
      <c r="AJ231" t="s">
        <v>1627</v>
      </c>
      <c r="AK231" t="s">
        <v>56</v>
      </c>
      <c r="AL231" t="s">
        <v>56</v>
      </c>
      <c r="AM231" t="s">
        <v>56</v>
      </c>
      <c r="AN231" t="s">
        <v>56</v>
      </c>
      <c r="AO231" t="s">
        <v>4633</v>
      </c>
      <c r="AP231" t="s">
        <v>4077</v>
      </c>
      <c r="AQ231" t="s">
        <v>4078</v>
      </c>
      <c r="AR231" t="s">
        <v>3941</v>
      </c>
      <c r="AS231" t="s">
        <v>3942</v>
      </c>
      <c r="AT231" t="s">
        <v>4634</v>
      </c>
      <c r="AU231" t="s">
        <v>3944</v>
      </c>
      <c r="AV231" t="s">
        <v>3945</v>
      </c>
      <c r="AW231" t="s">
        <v>3946</v>
      </c>
      <c r="AX231">
        <v>12</v>
      </c>
      <c r="AY231">
        <v>2</v>
      </c>
      <c r="AZ231" t="s">
        <v>3897</v>
      </c>
      <c r="BA231">
        <v>10</v>
      </c>
      <c r="BB231" t="s">
        <v>3898</v>
      </c>
      <c r="BC231">
        <v>10</v>
      </c>
      <c r="BD231">
        <v>3</v>
      </c>
      <c r="BE231" t="s">
        <v>3911</v>
      </c>
      <c r="BF231">
        <v>20</v>
      </c>
      <c r="BG231">
        <v>66</v>
      </c>
      <c r="BH231" t="s">
        <v>3965</v>
      </c>
      <c r="BI231" t="s">
        <v>4635</v>
      </c>
      <c r="BJ231">
        <v>1</v>
      </c>
      <c r="BK231" t="s">
        <v>3902</v>
      </c>
    </row>
    <row r="232" spans="1:63" x14ac:dyDescent="0.25">
      <c r="A232">
        <v>4129</v>
      </c>
      <c r="B232" t="str">
        <f>"20200127125017042190"</f>
        <v>20200127125017042190</v>
      </c>
      <c r="C232">
        <v>1</v>
      </c>
      <c r="D232">
        <v>1</v>
      </c>
      <c r="E232" t="s">
        <v>3886</v>
      </c>
      <c r="F232">
        <v>2</v>
      </c>
      <c r="G232">
        <v>0</v>
      </c>
      <c r="H232" t="s">
        <v>66</v>
      </c>
      <c r="I232">
        <v>0</v>
      </c>
      <c r="J232" t="s">
        <v>66</v>
      </c>
      <c r="K232">
        <v>0</v>
      </c>
      <c r="L232" t="s">
        <v>66</v>
      </c>
      <c r="M232" t="s">
        <v>56</v>
      </c>
      <c r="N232">
        <v>0</v>
      </c>
      <c r="O232" t="s">
        <v>66</v>
      </c>
      <c r="P232" t="s">
        <v>56</v>
      </c>
      <c r="Q232">
        <v>0</v>
      </c>
      <c r="R232" t="s">
        <v>66</v>
      </c>
      <c r="S232" t="s">
        <v>56</v>
      </c>
      <c r="T232">
        <v>1</v>
      </c>
      <c r="U232" t="s">
        <v>1627</v>
      </c>
      <c r="V232" t="s">
        <v>56</v>
      </c>
      <c r="W232">
        <v>0</v>
      </c>
      <c r="X232" t="s">
        <v>66</v>
      </c>
      <c r="Y232" t="s">
        <v>56</v>
      </c>
      <c r="Z232">
        <v>0</v>
      </c>
      <c r="AA232" t="s">
        <v>66</v>
      </c>
      <c r="AB232" t="s">
        <v>56</v>
      </c>
      <c r="AC232">
        <v>1</v>
      </c>
      <c r="AD232" t="s">
        <v>1627</v>
      </c>
      <c r="AE232" t="s">
        <v>3887</v>
      </c>
      <c r="AF232">
        <v>0</v>
      </c>
      <c r="AG232" t="s">
        <v>66</v>
      </c>
      <c r="AH232" t="s">
        <v>56</v>
      </c>
      <c r="AI232">
        <v>1</v>
      </c>
      <c r="AJ232" t="s">
        <v>1627</v>
      </c>
      <c r="AK232" t="s">
        <v>56</v>
      </c>
      <c r="AL232" t="s">
        <v>56</v>
      </c>
      <c r="AM232" t="s">
        <v>56</v>
      </c>
      <c r="AN232" t="s">
        <v>56</v>
      </c>
      <c r="AO232" t="s">
        <v>4101</v>
      </c>
      <c r="AP232" t="s">
        <v>3939</v>
      </c>
      <c r="AQ232" t="s">
        <v>3940</v>
      </c>
      <c r="AR232" t="s">
        <v>3941</v>
      </c>
      <c r="AS232" t="s">
        <v>3942</v>
      </c>
      <c r="AT232" t="s">
        <v>4636</v>
      </c>
      <c r="AU232" t="s">
        <v>3944</v>
      </c>
      <c r="AV232" t="s">
        <v>3945</v>
      </c>
      <c r="AW232" t="s">
        <v>3946</v>
      </c>
      <c r="AX232">
        <v>12</v>
      </c>
      <c r="AY232">
        <v>2</v>
      </c>
      <c r="AZ232" t="s">
        <v>3897</v>
      </c>
      <c r="BA232">
        <v>10</v>
      </c>
      <c r="BB232" t="s">
        <v>3898</v>
      </c>
      <c r="BC232">
        <v>90</v>
      </c>
      <c r="BD232">
        <v>3</v>
      </c>
      <c r="BE232" t="s">
        <v>3911</v>
      </c>
      <c r="BF232">
        <v>180</v>
      </c>
      <c r="BG232">
        <v>14</v>
      </c>
      <c r="BH232" t="s">
        <v>3947</v>
      </c>
      <c r="BI232" t="s">
        <v>4637</v>
      </c>
      <c r="BJ232">
        <v>1</v>
      </c>
      <c r="BK232" t="s">
        <v>3902</v>
      </c>
    </row>
    <row r="233" spans="1:63" x14ac:dyDescent="0.25">
      <c r="A233">
        <v>4130</v>
      </c>
      <c r="B233" t="str">
        <f>"20200127192017042400"</f>
        <v>20200127192017042400</v>
      </c>
      <c r="C233">
        <v>1</v>
      </c>
      <c r="D233">
        <v>1</v>
      </c>
      <c r="E233" t="s">
        <v>3886</v>
      </c>
      <c r="F233">
        <v>2</v>
      </c>
      <c r="G233">
        <v>0</v>
      </c>
      <c r="H233" t="s">
        <v>66</v>
      </c>
      <c r="I233">
        <v>0</v>
      </c>
      <c r="J233" t="s">
        <v>66</v>
      </c>
      <c r="K233">
        <v>0</v>
      </c>
      <c r="L233" t="s">
        <v>66</v>
      </c>
      <c r="M233" t="s">
        <v>56</v>
      </c>
      <c r="N233">
        <v>0</v>
      </c>
      <c r="O233" t="s">
        <v>66</v>
      </c>
      <c r="P233" t="s">
        <v>56</v>
      </c>
      <c r="Q233">
        <v>0</v>
      </c>
      <c r="R233" t="s">
        <v>66</v>
      </c>
      <c r="S233" t="s">
        <v>56</v>
      </c>
      <c r="T233">
        <v>1</v>
      </c>
      <c r="U233" t="s">
        <v>1627</v>
      </c>
      <c r="V233" t="s">
        <v>56</v>
      </c>
      <c r="W233">
        <v>0</v>
      </c>
      <c r="X233" t="s">
        <v>66</v>
      </c>
      <c r="Y233" t="s">
        <v>56</v>
      </c>
      <c r="Z233">
        <v>0</v>
      </c>
      <c r="AA233" t="s">
        <v>66</v>
      </c>
      <c r="AB233" t="s">
        <v>56</v>
      </c>
      <c r="AC233">
        <v>1</v>
      </c>
      <c r="AD233" t="s">
        <v>1627</v>
      </c>
      <c r="AE233" t="s">
        <v>3887</v>
      </c>
      <c r="AF233">
        <v>0</v>
      </c>
      <c r="AG233" t="s">
        <v>66</v>
      </c>
      <c r="AH233" t="s">
        <v>56</v>
      </c>
      <c r="AI233">
        <v>1</v>
      </c>
      <c r="AJ233" t="s">
        <v>1627</v>
      </c>
      <c r="AK233" t="s">
        <v>56</v>
      </c>
      <c r="AL233" t="s">
        <v>56</v>
      </c>
      <c r="AM233" t="s">
        <v>56</v>
      </c>
      <c r="AN233" t="s">
        <v>56</v>
      </c>
      <c r="AO233" t="s">
        <v>4421</v>
      </c>
      <c r="AP233" t="s">
        <v>3889</v>
      </c>
      <c r="AQ233" t="s">
        <v>3890</v>
      </c>
      <c r="AR233" t="s">
        <v>3904</v>
      </c>
      <c r="AS233" t="s">
        <v>3905</v>
      </c>
      <c r="AT233" t="s">
        <v>4638</v>
      </c>
      <c r="AU233" t="s">
        <v>3944</v>
      </c>
      <c r="AV233" t="s">
        <v>3945</v>
      </c>
      <c r="AW233" t="s">
        <v>3946</v>
      </c>
      <c r="AX233">
        <v>24</v>
      </c>
      <c r="AY233">
        <v>2</v>
      </c>
      <c r="AZ233" t="s">
        <v>3897</v>
      </c>
      <c r="BA233">
        <v>10</v>
      </c>
      <c r="BB233" t="s">
        <v>3898</v>
      </c>
      <c r="BC233">
        <v>30</v>
      </c>
      <c r="BD233">
        <v>3</v>
      </c>
      <c r="BE233" t="s">
        <v>3911</v>
      </c>
      <c r="BF233">
        <v>30</v>
      </c>
      <c r="BG233" t="s">
        <v>3912</v>
      </c>
      <c r="BH233" t="s">
        <v>3913</v>
      </c>
      <c r="BI233" t="s">
        <v>4639</v>
      </c>
      <c r="BJ233">
        <v>1</v>
      </c>
      <c r="BK233" t="s">
        <v>3902</v>
      </c>
    </row>
    <row r="234" spans="1:63" x14ac:dyDescent="0.25">
      <c r="A234">
        <v>4131</v>
      </c>
      <c r="B234" t="str">
        <f>"20200127127017043205"</f>
        <v>20200127127017043205</v>
      </c>
      <c r="C234">
        <v>1</v>
      </c>
      <c r="D234">
        <v>1</v>
      </c>
      <c r="E234" t="s">
        <v>3886</v>
      </c>
      <c r="F234">
        <v>2</v>
      </c>
      <c r="G234">
        <v>0</v>
      </c>
      <c r="H234" t="s">
        <v>66</v>
      </c>
      <c r="I234">
        <v>0</v>
      </c>
      <c r="J234" t="s">
        <v>66</v>
      </c>
      <c r="K234">
        <v>0</v>
      </c>
      <c r="L234" t="s">
        <v>66</v>
      </c>
      <c r="M234" t="s">
        <v>56</v>
      </c>
      <c r="N234">
        <v>0</v>
      </c>
      <c r="O234" t="s">
        <v>66</v>
      </c>
      <c r="P234" t="s">
        <v>56</v>
      </c>
      <c r="Q234">
        <v>0</v>
      </c>
      <c r="R234" t="s">
        <v>66</v>
      </c>
      <c r="S234" t="s">
        <v>56</v>
      </c>
      <c r="T234">
        <v>1</v>
      </c>
      <c r="U234" t="s">
        <v>1627</v>
      </c>
      <c r="V234" t="s">
        <v>56</v>
      </c>
      <c r="W234">
        <v>0</v>
      </c>
      <c r="X234" t="s">
        <v>66</v>
      </c>
      <c r="Y234" t="s">
        <v>56</v>
      </c>
      <c r="Z234">
        <v>0</v>
      </c>
      <c r="AA234" t="s">
        <v>66</v>
      </c>
      <c r="AB234" t="s">
        <v>56</v>
      </c>
      <c r="AC234">
        <v>1</v>
      </c>
      <c r="AD234" t="s">
        <v>1627</v>
      </c>
      <c r="AE234" t="s">
        <v>3887</v>
      </c>
      <c r="AF234">
        <v>0</v>
      </c>
      <c r="AG234" t="s">
        <v>66</v>
      </c>
      <c r="AH234" t="s">
        <v>56</v>
      </c>
      <c r="AI234">
        <v>1</v>
      </c>
      <c r="AJ234" t="s">
        <v>1627</v>
      </c>
      <c r="AK234" t="s">
        <v>56</v>
      </c>
      <c r="AL234" t="s">
        <v>56</v>
      </c>
      <c r="AM234" t="s">
        <v>56</v>
      </c>
      <c r="AN234" t="s">
        <v>56</v>
      </c>
      <c r="AO234" t="s">
        <v>4640</v>
      </c>
      <c r="AP234" t="s">
        <v>3962</v>
      </c>
      <c r="AQ234" t="s">
        <v>3963</v>
      </c>
      <c r="AR234" t="s">
        <v>3941</v>
      </c>
      <c r="AS234" t="s">
        <v>3942</v>
      </c>
      <c r="AT234" t="s">
        <v>4641</v>
      </c>
      <c r="AU234" t="s">
        <v>3944</v>
      </c>
      <c r="AV234" t="s">
        <v>3945</v>
      </c>
      <c r="AW234" t="s">
        <v>3946</v>
      </c>
      <c r="AX234">
        <v>24</v>
      </c>
      <c r="AY234">
        <v>2</v>
      </c>
      <c r="AZ234" t="s">
        <v>3897</v>
      </c>
      <c r="BA234">
        <v>10</v>
      </c>
      <c r="BB234" t="s">
        <v>3898</v>
      </c>
      <c r="BC234">
        <v>168</v>
      </c>
      <c r="BD234">
        <v>3</v>
      </c>
      <c r="BE234" t="s">
        <v>3911</v>
      </c>
      <c r="BF234">
        <v>168</v>
      </c>
      <c r="BG234">
        <v>66</v>
      </c>
      <c r="BH234" t="s">
        <v>3965</v>
      </c>
      <c r="BI234" t="s">
        <v>4642</v>
      </c>
      <c r="BJ234">
        <v>1</v>
      </c>
      <c r="BK234" t="s">
        <v>3902</v>
      </c>
    </row>
    <row r="235" spans="1:63" x14ac:dyDescent="0.25">
      <c r="A235">
        <v>4132</v>
      </c>
      <c r="B235" t="str">
        <f>"20200127127017043205"</f>
        <v>20200127127017043205</v>
      </c>
      <c r="C235">
        <v>2</v>
      </c>
      <c r="D235">
        <v>1</v>
      </c>
      <c r="E235" t="s">
        <v>3886</v>
      </c>
      <c r="F235">
        <v>2</v>
      </c>
      <c r="G235">
        <v>0</v>
      </c>
      <c r="H235" t="s">
        <v>66</v>
      </c>
      <c r="I235">
        <v>0</v>
      </c>
      <c r="J235" t="s">
        <v>66</v>
      </c>
      <c r="K235">
        <v>0</v>
      </c>
      <c r="L235" t="s">
        <v>66</v>
      </c>
      <c r="M235" t="s">
        <v>56</v>
      </c>
      <c r="N235">
        <v>0</v>
      </c>
      <c r="O235" t="s">
        <v>66</v>
      </c>
      <c r="P235" t="s">
        <v>56</v>
      </c>
      <c r="Q235">
        <v>0</v>
      </c>
      <c r="R235" t="s">
        <v>66</v>
      </c>
      <c r="S235" t="s">
        <v>56</v>
      </c>
      <c r="T235">
        <v>1</v>
      </c>
      <c r="U235" t="s">
        <v>1627</v>
      </c>
      <c r="V235" t="s">
        <v>56</v>
      </c>
      <c r="W235">
        <v>0</v>
      </c>
      <c r="X235" t="s">
        <v>66</v>
      </c>
      <c r="Y235" t="s">
        <v>56</v>
      </c>
      <c r="Z235">
        <v>0</v>
      </c>
      <c r="AA235" t="s">
        <v>66</v>
      </c>
      <c r="AB235" t="s">
        <v>56</v>
      </c>
      <c r="AC235">
        <v>1</v>
      </c>
      <c r="AD235" t="s">
        <v>1627</v>
      </c>
      <c r="AE235" t="s">
        <v>3887</v>
      </c>
      <c r="AF235">
        <v>0</v>
      </c>
      <c r="AG235" t="s">
        <v>66</v>
      </c>
      <c r="AH235" t="s">
        <v>56</v>
      </c>
      <c r="AI235">
        <v>1</v>
      </c>
      <c r="AJ235" t="s">
        <v>1627</v>
      </c>
      <c r="AK235" t="s">
        <v>56</v>
      </c>
      <c r="AL235" t="s">
        <v>56</v>
      </c>
      <c r="AM235" t="s">
        <v>56</v>
      </c>
      <c r="AN235" t="s">
        <v>56</v>
      </c>
      <c r="AO235" t="s">
        <v>4076</v>
      </c>
      <c r="AP235" t="s">
        <v>3962</v>
      </c>
      <c r="AQ235" t="s">
        <v>3963</v>
      </c>
      <c r="AR235" t="s">
        <v>3941</v>
      </c>
      <c r="AS235" t="s">
        <v>3942</v>
      </c>
      <c r="AT235" t="s">
        <v>4643</v>
      </c>
      <c r="AU235" t="s">
        <v>3944</v>
      </c>
      <c r="AV235" t="s">
        <v>3945</v>
      </c>
      <c r="AW235" t="s">
        <v>3946</v>
      </c>
      <c r="AX235">
        <v>12</v>
      </c>
      <c r="AY235">
        <v>2</v>
      </c>
      <c r="AZ235" t="s">
        <v>3897</v>
      </c>
      <c r="BA235">
        <v>10</v>
      </c>
      <c r="BB235" t="s">
        <v>3898</v>
      </c>
      <c r="BC235">
        <v>6</v>
      </c>
      <c r="BD235">
        <v>5</v>
      </c>
      <c r="BE235" t="s">
        <v>3899</v>
      </c>
      <c r="BF235">
        <v>360</v>
      </c>
      <c r="BG235">
        <v>66</v>
      </c>
      <c r="BH235" t="s">
        <v>3965</v>
      </c>
      <c r="BI235" t="s">
        <v>4644</v>
      </c>
      <c r="BJ235">
        <v>1</v>
      </c>
      <c r="BK235" t="s">
        <v>3902</v>
      </c>
    </row>
    <row r="236" spans="1:63" x14ac:dyDescent="0.25">
      <c r="A236">
        <v>4133</v>
      </c>
      <c r="B236" t="str">
        <f>"20200127136017043206"</f>
        <v>20200127136017043206</v>
      </c>
      <c r="C236">
        <v>1</v>
      </c>
      <c r="D236">
        <v>1</v>
      </c>
      <c r="E236" t="s">
        <v>3886</v>
      </c>
      <c r="F236">
        <v>2</v>
      </c>
      <c r="G236">
        <v>0</v>
      </c>
      <c r="H236" t="s">
        <v>66</v>
      </c>
      <c r="I236">
        <v>0</v>
      </c>
      <c r="J236" t="s">
        <v>66</v>
      </c>
      <c r="K236">
        <v>1</v>
      </c>
      <c r="L236" t="s">
        <v>1627</v>
      </c>
      <c r="M236" t="s">
        <v>4645</v>
      </c>
      <c r="N236">
        <v>1</v>
      </c>
      <c r="O236" t="s">
        <v>1627</v>
      </c>
      <c r="P236" t="s">
        <v>4129</v>
      </c>
      <c r="Q236">
        <v>0</v>
      </c>
      <c r="R236" t="s">
        <v>66</v>
      </c>
      <c r="S236" t="s">
        <v>56</v>
      </c>
      <c r="T236" t="s">
        <v>56</v>
      </c>
      <c r="U236" t="s">
        <v>56</v>
      </c>
      <c r="V236" t="s">
        <v>56</v>
      </c>
      <c r="W236">
        <v>0</v>
      </c>
      <c r="X236" t="s">
        <v>66</v>
      </c>
      <c r="Y236" t="s">
        <v>56</v>
      </c>
      <c r="Z236">
        <v>0</v>
      </c>
      <c r="AA236" t="s">
        <v>66</v>
      </c>
      <c r="AB236" t="s">
        <v>56</v>
      </c>
      <c r="AC236">
        <v>0</v>
      </c>
      <c r="AD236" t="s">
        <v>66</v>
      </c>
      <c r="AE236" t="s">
        <v>56</v>
      </c>
      <c r="AF236">
        <v>0</v>
      </c>
      <c r="AG236" t="s">
        <v>66</v>
      </c>
      <c r="AH236" t="s">
        <v>56</v>
      </c>
      <c r="AI236">
        <v>1</v>
      </c>
      <c r="AJ236" t="s">
        <v>1627</v>
      </c>
      <c r="AK236">
        <v>0</v>
      </c>
      <c r="AL236" t="s">
        <v>66</v>
      </c>
      <c r="AM236" t="s">
        <v>56</v>
      </c>
      <c r="AN236" t="s">
        <v>56</v>
      </c>
      <c r="AO236" t="s">
        <v>4646</v>
      </c>
      <c r="AP236" t="s">
        <v>4077</v>
      </c>
      <c r="AQ236" t="s">
        <v>4078</v>
      </c>
      <c r="AR236" t="s">
        <v>3941</v>
      </c>
      <c r="AS236" t="s">
        <v>3942</v>
      </c>
      <c r="AT236" t="s">
        <v>4647</v>
      </c>
      <c r="AU236">
        <v>9000</v>
      </c>
      <c r="AV236" t="s">
        <v>3956</v>
      </c>
      <c r="AW236" t="s">
        <v>3956</v>
      </c>
      <c r="AX236">
        <v>24</v>
      </c>
      <c r="AY236">
        <v>2</v>
      </c>
      <c r="AZ236" t="s">
        <v>3897</v>
      </c>
      <c r="BA236">
        <v>10</v>
      </c>
      <c r="BB236" t="s">
        <v>3898</v>
      </c>
      <c r="BC236">
        <v>90</v>
      </c>
      <c r="BD236">
        <v>3</v>
      </c>
      <c r="BE236" t="s">
        <v>3911</v>
      </c>
      <c r="BF236">
        <v>90</v>
      </c>
      <c r="BG236">
        <v>66</v>
      </c>
      <c r="BH236" t="s">
        <v>3965</v>
      </c>
      <c r="BI236" t="s">
        <v>4648</v>
      </c>
      <c r="BJ236">
        <v>1</v>
      </c>
      <c r="BK236" t="s">
        <v>3902</v>
      </c>
    </row>
    <row r="237" spans="1:63" x14ac:dyDescent="0.25">
      <c r="A237">
        <v>4134</v>
      </c>
      <c r="B237" t="str">
        <f>"20200127114017043229"</f>
        <v>20200127114017043229</v>
      </c>
      <c r="C237">
        <v>1</v>
      </c>
      <c r="D237">
        <v>1</v>
      </c>
      <c r="E237" t="s">
        <v>3886</v>
      </c>
      <c r="F237">
        <v>2</v>
      </c>
      <c r="G237">
        <v>0</v>
      </c>
      <c r="H237" t="s">
        <v>66</v>
      </c>
      <c r="I237">
        <v>0</v>
      </c>
      <c r="J237" t="s">
        <v>66</v>
      </c>
      <c r="K237">
        <v>1</v>
      </c>
      <c r="L237" t="s">
        <v>1627</v>
      </c>
      <c r="M237" t="s">
        <v>4241</v>
      </c>
      <c r="N237">
        <v>1</v>
      </c>
      <c r="O237" t="s">
        <v>1627</v>
      </c>
      <c r="P237" t="s">
        <v>4649</v>
      </c>
      <c r="Q237">
        <v>0</v>
      </c>
      <c r="R237" t="s">
        <v>66</v>
      </c>
      <c r="S237" t="s">
        <v>56</v>
      </c>
      <c r="T237" t="s">
        <v>56</v>
      </c>
      <c r="U237" t="s">
        <v>56</v>
      </c>
      <c r="V237" t="s">
        <v>56</v>
      </c>
      <c r="W237">
        <v>0</v>
      </c>
      <c r="X237" t="s">
        <v>66</v>
      </c>
      <c r="Y237" t="s">
        <v>56</v>
      </c>
      <c r="Z237">
        <v>0</v>
      </c>
      <c r="AA237" t="s">
        <v>66</v>
      </c>
      <c r="AB237" t="s">
        <v>56</v>
      </c>
      <c r="AC237">
        <v>0</v>
      </c>
      <c r="AD237" t="s">
        <v>66</v>
      </c>
      <c r="AE237" t="s">
        <v>56</v>
      </c>
      <c r="AF237">
        <v>0</v>
      </c>
      <c r="AG237" t="s">
        <v>66</v>
      </c>
      <c r="AH237" t="s">
        <v>56</v>
      </c>
      <c r="AI237">
        <v>1</v>
      </c>
      <c r="AJ237" t="s">
        <v>1627</v>
      </c>
      <c r="AK237" t="s">
        <v>56</v>
      </c>
      <c r="AL237" t="s">
        <v>56</v>
      </c>
      <c r="AM237" t="s">
        <v>56</v>
      </c>
      <c r="AN237" t="s">
        <v>56</v>
      </c>
      <c r="AO237" t="s">
        <v>4650</v>
      </c>
      <c r="AP237" t="s">
        <v>3934</v>
      </c>
      <c r="AQ237" t="s">
        <v>3935</v>
      </c>
      <c r="AR237">
        <v>503</v>
      </c>
      <c r="AS237" t="s">
        <v>4060</v>
      </c>
      <c r="AT237" t="s">
        <v>4651</v>
      </c>
      <c r="AU237">
        <v>9000</v>
      </c>
      <c r="AV237" t="s">
        <v>3956</v>
      </c>
      <c r="AW237" t="s">
        <v>3956</v>
      </c>
      <c r="AX237">
        <v>12</v>
      </c>
      <c r="AY237">
        <v>2</v>
      </c>
      <c r="AZ237" t="s">
        <v>3897</v>
      </c>
      <c r="BA237">
        <v>10</v>
      </c>
      <c r="BB237" t="s">
        <v>3898</v>
      </c>
      <c r="BC237">
        <v>3</v>
      </c>
      <c r="BD237">
        <v>5</v>
      </c>
      <c r="BE237" t="s">
        <v>3899</v>
      </c>
      <c r="BF237">
        <v>180</v>
      </c>
      <c r="BG237">
        <v>14</v>
      </c>
      <c r="BH237" t="s">
        <v>3947</v>
      </c>
      <c r="BI237" t="s">
        <v>4652</v>
      </c>
      <c r="BJ237">
        <v>1</v>
      </c>
      <c r="BK237" t="s">
        <v>3902</v>
      </c>
    </row>
    <row r="238" spans="1:63" x14ac:dyDescent="0.25">
      <c r="A238">
        <v>4135</v>
      </c>
      <c r="B238" t="str">
        <f>"20200127114017043229"</f>
        <v>20200127114017043229</v>
      </c>
      <c r="C238">
        <v>2</v>
      </c>
      <c r="D238">
        <v>1</v>
      </c>
      <c r="E238" t="s">
        <v>3886</v>
      </c>
      <c r="F238">
        <v>2</v>
      </c>
      <c r="G238">
        <v>0</v>
      </c>
      <c r="H238" t="s">
        <v>66</v>
      </c>
      <c r="I238">
        <v>0</v>
      </c>
      <c r="J238" t="s">
        <v>66</v>
      </c>
      <c r="K238">
        <v>1</v>
      </c>
      <c r="L238" t="s">
        <v>1627</v>
      </c>
      <c r="M238" t="s">
        <v>4463</v>
      </c>
      <c r="N238">
        <v>1</v>
      </c>
      <c r="O238" t="s">
        <v>1627</v>
      </c>
      <c r="P238" t="s">
        <v>4649</v>
      </c>
      <c r="Q238">
        <v>0</v>
      </c>
      <c r="R238" t="s">
        <v>66</v>
      </c>
      <c r="S238" t="s">
        <v>56</v>
      </c>
      <c r="T238" t="s">
        <v>56</v>
      </c>
      <c r="U238" t="s">
        <v>56</v>
      </c>
      <c r="V238" t="s">
        <v>56</v>
      </c>
      <c r="W238">
        <v>0</v>
      </c>
      <c r="X238" t="s">
        <v>66</v>
      </c>
      <c r="Y238" t="s">
        <v>56</v>
      </c>
      <c r="Z238">
        <v>0</v>
      </c>
      <c r="AA238" t="s">
        <v>66</v>
      </c>
      <c r="AB238" t="s">
        <v>56</v>
      </c>
      <c r="AC238">
        <v>0</v>
      </c>
      <c r="AD238" t="s">
        <v>66</v>
      </c>
      <c r="AE238" t="s">
        <v>56</v>
      </c>
      <c r="AF238">
        <v>0</v>
      </c>
      <c r="AG238" t="s">
        <v>66</v>
      </c>
      <c r="AH238" t="s">
        <v>56</v>
      </c>
      <c r="AI238">
        <v>1</v>
      </c>
      <c r="AJ238" t="s">
        <v>1627</v>
      </c>
      <c r="AK238" t="s">
        <v>56</v>
      </c>
      <c r="AL238" t="s">
        <v>56</v>
      </c>
      <c r="AM238" t="s">
        <v>56</v>
      </c>
      <c r="AN238" t="s">
        <v>56</v>
      </c>
      <c r="AO238" t="s">
        <v>4349</v>
      </c>
      <c r="AP238" t="s">
        <v>3962</v>
      </c>
      <c r="AQ238" t="s">
        <v>3963</v>
      </c>
      <c r="AR238" t="s">
        <v>3941</v>
      </c>
      <c r="AS238" t="s">
        <v>3942</v>
      </c>
      <c r="AT238" t="s">
        <v>4651</v>
      </c>
      <c r="AU238" t="s">
        <v>3944</v>
      </c>
      <c r="AV238" t="s">
        <v>3945</v>
      </c>
      <c r="AW238" t="s">
        <v>3946</v>
      </c>
      <c r="AX238">
        <v>24</v>
      </c>
      <c r="AY238">
        <v>2</v>
      </c>
      <c r="AZ238" t="s">
        <v>3897</v>
      </c>
      <c r="BA238">
        <v>10</v>
      </c>
      <c r="BB238" t="s">
        <v>3898</v>
      </c>
      <c r="BC238">
        <v>3</v>
      </c>
      <c r="BD238">
        <v>5</v>
      </c>
      <c r="BE238" t="s">
        <v>3899</v>
      </c>
      <c r="BF238">
        <v>90</v>
      </c>
      <c r="BG238">
        <v>66</v>
      </c>
      <c r="BH238" t="s">
        <v>3965</v>
      </c>
      <c r="BI238" t="s">
        <v>4653</v>
      </c>
      <c r="BJ238">
        <v>1</v>
      </c>
      <c r="BK238" t="s">
        <v>3902</v>
      </c>
    </row>
    <row r="239" spans="1:63" x14ac:dyDescent="0.25">
      <c r="A239">
        <v>4136</v>
      </c>
      <c r="B239" t="str">
        <f>"20200127126017043306"</f>
        <v>20200127126017043306</v>
      </c>
      <c r="C239">
        <v>1</v>
      </c>
      <c r="D239">
        <v>1</v>
      </c>
      <c r="E239" t="s">
        <v>3886</v>
      </c>
      <c r="F239">
        <v>2</v>
      </c>
      <c r="G239">
        <v>0</v>
      </c>
      <c r="H239" t="s">
        <v>66</v>
      </c>
      <c r="I239">
        <v>0</v>
      </c>
      <c r="J239" t="s">
        <v>66</v>
      </c>
      <c r="K239">
        <v>1</v>
      </c>
      <c r="L239" t="s">
        <v>1627</v>
      </c>
      <c r="M239" t="s">
        <v>4654</v>
      </c>
      <c r="N239">
        <v>1</v>
      </c>
      <c r="O239" t="s">
        <v>1627</v>
      </c>
      <c r="P239" t="s">
        <v>4625</v>
      </c>
      <c r="Q239">
        <v>0</v>
      </c>
      <c r="R239" t="s">
        <v>66</v>
      </c>
      <c r="S239" t="s">
        <v>56</v>
      </c>
      <c r="T239" t="s">
        <v>56</v>
      </c>
      <c r="U239" t="s">
        <v>56</v>
      </c>
      <c r="V239" t="s">
        <v>56</v>
      </c>
      <c r="W239">
        <v>0</v>
      </c>
      <c r="X239" t="s">
        <v>66</v>
      </c>
      <c r="Y239" t="s">
        <v>56</v>
      </c>
      <c r="Z239">
        <v>0</v>
      </c>
      <c r="AA239" t="s">
        <v>66</v>
      </c>
      <c r="AB239" t="s">
        <v>56</v>
      </c>
      <c r="AC239">
        <v>0</v>
      </c>
      <c r="AD239" t="s">
        <v>66</v>
      </c>
      <c r="AE239" t="s">
        <v>56</v>
      </c>
      <c r="AF239">
        <v>0</v>
      </c>
      <c r="AG239" t="s">
        <v>66</v>
      </c>
      <c r="AH239" t="s">
        <v>56</v>
      </c>
      <c r="AI239">
        <v>1</v>
      </c>
      <c r="AJ239" t="s">
        <v>1627</v>
      </c>
      <c r="AK239" t="s">
        <v>56</v>
      </c>
      <c r="AL239" t="s">
        <v>56</v>
      </c>
      <c r="AM239" t="s">
        <v>56</v>
      </c>
      <c r="AN239" t="s">
        <v>56</v>
      </c>
      <c r="AO239" t="s">
        <v>4655</v>
      </c>
      <c r="AP239" t="s">
        <v>3889</v>
      </c>
      <c r="AQ239" t="s">
        <v>3890</v>
      </c>
      <c r="AR239" t="s">
        <v>2324</v>
      </c>
      <c r="AS239" t="s">
        <v>4266</v>
      </c>
      <c r="AT239" t="s">
        <v>4656</v>
      </c>
      <c r="AU239">
        <v>9000</v>
      </c>
      <c r="AV239" t="s">
        <v>3956</v>
      </c>
      <c r="AW239" t="s">
        <v>3956</v>
      </c>
      <c r="AX239">
        <v>6</v>
      </c>
      <c r="AY239">
        <v>5</v>
      </c>
      <c r="AZ239" t="s">
        <v>3899</v>
      </c>
      <c r="BA239">
        <v>10</v>
      </c>
      <c r="BB239" t="s">
        <v>3898</v>
      </c>
      <c r="BC239">
        <v>1</v>
      </c>
      <c r="BD239">
        <v>6</v>
      </c>
      <c r="BE239" t="s">
        <v>4216</v>
      </c>
      <c r="BF239">
        <v>2</v>
      </c>
      <c r="BG239">
        <v>65</v>
      </c>
      <c r="BH239" t="s">
        <v>4360</v>
      </c>
      <c r="BI239" t="s">
        <v>4657</v>
      </c>
      <c r="BJ239">
        <v>1</v>
      </c>
      <c r="BK239" t="s">
        <v>3902</v>
      </c>
    </row>
    <row r="240" spans="1:63" x14ac:dyDescent="0.25">
      <c r="A240">
        <v>4137</v>
      </c>
      <c r="B240" t="str">
        <f>"20200127127017043574"</f>
        <v>20200127127017043574</v>
      </c>
      <c r="C240">
        <v>1</v>
      </c>
      <c r="D240">
        <v>1</v>
      </c>
      <c r="E240" t="s">
        <v>3886</v>
      </c>
      <c r="F240">
        <v>2</v>
      </c>
      <c r="G240">
        <v>0</v>
      </c>
      <c r="H240" t="s">
        <v>66</v>
      </c>
      <c r="I240">
        <v>0</v>
      </c>
      <c r="J240" t="s">
        <v>66</v>
      </c>
      <c r="K240">
        <v>0</v>
      </c>
      <c r="L240" t="s">
        <v>66</v>
      </c>
      <c r="M240" t="s">
        <v>56</v>
      </c>
      <c r="N240">
        <v>0</v>
      </c>
      <c r="O240" t="s">
        <v>66</v>
      </c>
      <c r="P240" t="s">
        <v>56</v>
      </c>
      <c r="Q240">
        <v>0</v>
      </c>
      <c r="R240" t="s">
        <v>66</v>
      </c>
      <c r="S240" t="s">
        <v>56</v>
      </c>
      <c r="T240">
        <v>1</v>
      </c>
      <c r="U240" t="s">
        <v>1627</v>
      </c>
      <c r="V240" t="s">
        <v>56</v>
      </c>
      <c r="W240">
        <v>0</v>
      </c>
      <c r="X240" t="s">
        <v>66</v>
      </c>
      <c r="Y240" t="s">
        <v>56</v>
      </c>
      <c r="Z240">
        <v>0</v>
      </c>
      <c r="AA240" t="s">
        <v>66</v>
      </c>
      <c r="AB240" t="s">
        <v>56</v>
      </c>
      <c r="AC240">
        <v>1</v>
      </c>
      <c r="AD240" t="s">
        <v>1627</v>
      </c>
      <c r="AE240" t="s">
        <v>3887</v>
      </c>
      <c r="AF240">
        <v>0</v>
      </c>
      <c r="AG240" t="s">
        <v>66</v>
      </c>
      <c r="AH240" t="s">
        <v>56</v>
      </c>
      <c r="AI240">
        <v>1</v>
      </c>
      <c r="AJ240" t="s">
        <v>1627</v>
      </c>
      <c r="AK240" t="s">
        <v>56</v>
      </c>
      <c r="AL240" t="s">
        <v>56</v>
      </c>
      <c r="AM240" t="s">
        <v>56</v>
      </c>
      <c r="AN240" t="s">
        <v>56</v>
      </c>
      <c r="AO240" t="s">
        <v>3949</v>
      </c>
      <c r="AP240" t="s">
        <v>3889</v>
      </c>
      <c r="AQ240" t="s">
        <v>3890</v>
      </c>
      <c r="AR240" t="s">
        <v>3926</v>
      </c>
      <c r="AS240" t="s">
        <v>3927</v>
      </c>
      <c r="AT240" t="s">
        <v>4658</v>
      </c>
      <c r="AU240" t="s">
        <v>3894</v>
      </c>
      <c r="AV240" t="s">
        <v>3895</v>
      </c>
      <c r="AW240" t="s">
        <v>3896</v>
      </c>
      <c r="AX240">
        <v>6</v>
      </c>
      <c r="AY240">
        <v>2</v>
      </c>
      <c r="AZ240" t="s">
        <v>3897</v>
      </c>
      <c r="BA240">
        <v>10</v>
      </c>
      <c r="BB240" t="s">
        <v>3898</v>
      </c>
      <c r="BC240">
        <v>3</v>
      </c>
      <c r="BD240">
        <v>5</v>
      </c>
      <c r="BE240" t="s">
        <v>3899</v>
      </c>
      <c r="BF240">
        <v>3</v>
      </c>
      <c r="BG240">
        <v>13</v>
      </c>
      <c r="BH240" t="s">
        <v>3900</v>
      </c>
      <c r="BI240" t="s">
        <v>4659</v>
      </c>
      <c r="BJ240">
        <v>1</v>
      </c>
      <c r="BK240" t="s">
        <v>3902</v>
      </c>
    </row>
    <row r="241" spans="1:63" x14ac:dyDescent="0.25">
      <c r="A241">
        <v>4122</v>
      </c>
      <c r="B241" t="str">
        <f>"20200127193017040339"</f>
        <v>20200127193017040339</v>
      </c>
      <c r="C241">
        <v>1</v>
      </c>
      <c r="D241">
        <v>1</v>
      </c>
      <c r="E241" t="s">
        <v>3886</v>
      </c>
      <c r="F241">
        <v>2</v>
      </c>
      <c r="G241">
        <v>0</v>
      </c>
      <c r="H241" t="s">
        <v>66</v>
      </c>
      <c r="I241">
        <v>0</v>
      </c>
      <c r="J241" t="s">
        <v>66</v>
      </c>
      <c r="K241">
        <v>1</v>
      </c>
      <c r="L241" t="s">
        <v>1627</v>
      </c>
      <c r="M241" t="s">
        <v>4174</v>
      </c>
      <c r="N241">
        <v>1</v>
      </c>
      <c r="O241" t="s">
        <v>1627</v>
      </c>
      <c r="P241" t="s">
        <v>4660</v>
      </c>
      <c r="Q241">
        <v>0</v>
      </c>
      <c r="R241" t="s">
        <v>66</v>
      </c>
      <c r="S241" t="s">
        <v>56</v>
      </c>
      <c r="T241" t="s">
        <v>56</v>
      </c>
      <c r="U241" t="s">
        <v>56</v>
      </c>
      <c r="V241" t="s">
        <v>56</v>
      </c>
      <c r="W241">
        <v>0</v>
      </c>
      <c r="X241" t="s">
        <v>66</v>
      </c>
      <c r="Y241" t="s">
        <v>56</v>
      </c>
      <c r="Z241">
        <v>0</v>
      </c>
      <c r="AA241" t="s">
        <v>66</v>
      </c>
      <c r="AB241" t="s">
        <v>56</v>
      </c>
      <c r="AC241">
        <v>0</v>
      </c>
      <c r="AD241" t="s">
        <v>66</v>
      </c>
      <c r="AE241" t="s">
        <v>56</v>
      </c>
      <c r="AF241">
        <v>0</v>
      </c>
      <c r="AG241" t="s">
        <v>66</v>
      </c>
      <c r="AH241" t="s">
        <v>56</v>
      </c>
      <c r="AI241">
        <v>1</v>
      </c>
      <c r="AJ241" t="s">
        <v>1627</v>
      </c>
      <c r="AK241" t="s">
        <v>56</v>
      </c>
      <c r="AL241" t="s">
        <v>56</v>
      </c>
      <c r="AM241" t="s">
        <v>56</v>
      </c>
      <c r="AN241" t="s">
        <v>56</v>
      </c>
      <c r="AO241" t="s">
        <v>4086</v>
      </c>
      <c r="AP241" t="s">
        <v>3939</v>
      </c>
      <c r="AQ241" t="s">
        <v>3940</v>
      </c>
      <c r="AR241" t="s">
        <v>3920</v>
      </c>
      <c r="AS241" t="s">
        <v>3921</v>
      </c>
      <c r="AT241" t="s">
        <v>4661</v>
      </c>
      <c r="AU241">
        <v>9000</v>
      </c>
      <c r="AV241" t="s">
        <v>3956</v>
      </c>
      <c r="AW241" t="s">
        <v>3956</v>
      </c>
      <c r="AX241">
        <v>24</v>
      </c>
      <c r="AY241">
        <v>2</v>
      </c>
      <c r="AZ241" t="s">
        <v>3897</v>
      </c>
      <c r="BA241">
        <v>10</v>
      </c>
      <c r="BB241" t="s">
        <v>3898</v>
      </c>
      <c r="BC241" t="s">
        <v>4662</v>
      </c>
      <c r="BD241">
        <v>5</v>
      </c>
      <c r="BE241" t="s">
        <v>3899</v>
      </c>
      <c r="BF241">
        <v>90</v>
      </c>
      <c r="BG241">
        <v>14</v>
      </c>
      <c r="BH241" t="s">
        <v>3947</v>
      </c>
      <c r="BI241" t="s">
        <v>4663</v>
      </c>
      <c r="BJ241">
        <v>1</v>
      </c>
      <c r="BK241" t="s">
        <v>3902</v>
      </c>
    </row>
    <row r="242" spans="1:63" x14ac:dyDescent="0.25">
      <c r="A242">
        <v>4123</v>
      </c>
      <c r="B242" t="str">
        <f>"20200127137017040576"</f>
        <v>20200127137017040576</v>
      </c>
      <c r="C242">
        <v>1</v>
      </c>
      <c r="D242">
        <v>1</v>
      </c>
      <c r="E242" t="s">
        <v>3886</v>
      </c>
      <c r="F242">
        <v>2</v>
      </c>
      <c r="G242">
        <v>0</v>
      </c>
      <c r="H242" t="s">
        <v>66</v>
      </c>
      <c r="I242">
        <v>0</v>
      </c>
      <c r="J242" t="s">
        <v>66</v>
      </c>
      <c r="K242">
        <v>0</v>
      </c>
      <c r="L242" t="s">
        <v>66</v>
      </c>
      <c r="M242" t="s">
        <v>56</v>
      </c>
      <c r="N242">
        <v>0</v>
      </c>
      <c r="O242" t="s">
        <v>66</v>
      </c>
      <c r="P242" t="s">
        <v>56</v>
      </c>
      <c r="Q242">
        <v>0</v>
      </c>
      <c r="R242" t="s">
        <v>66</v>
      </c>
      <c r="S242" t="s">
        <v>56</v>
      </c>
      <c r="T242">
        <v>1</v>
      </c>
      <c r="U242" t="s">
        <v>1627</v>
      </c>
      <c r="V242" t="s">
        <v>56</v>
      </c>
      <c r="W242">
        <v>0</v>
      </c>
      <c r="X242" t="s">
        <v>66</v>
      </c>
      <c r="Y242" t="s">
        <v>56</v>
      </c>
      <c r="Z242">
        <v>0</v>
      </c>
      <c r="AA242" t="s">
        <v>66</v>
      </c>
      <c r="AB242" t="s">
        <v>56</v>
      </c>
      <c r="AC242">
        <v>1</v>
      </c>
      <c r="AD242" t="s">
        <v>1627</v>
      </c>
      <c r="AE242" t="s">
        <v>3887</v>
      </c>
      <c r="AF242">
        <v>0</v>
      </c>
      <c r="AG242" t="s">
        <v>66</v>
      </c>
      <c r="AH242" t="s">
        <v>56</v>
      </c>
      <c r="AI242">
        <v>1</v>
      </c>
      <c r="AJ242" t="s">
        <v>1627</v>
      </c>
      <c r="AK242" t="s">
        <v>56</v>
      </c>
      <c r="AL242" t="s">
        <v>56</v>
      </c>
      <c r="AM242" t="s">
        <v>56</v>
      </c>
      <c r="AN242" t="s">
        <v>56</v>
      </c>
      <c r="AO242" t="s">
        <v>3888</v>
      </c>
      <c r="AP242" t="s">
        <v>3889</v>
      </c>
      <c r="AQ242" t="s">
        <v>3890</v>
      </c>
      <c r="AR242" t="s">
        <v>3891</v>
      </c>
      <c r="AS242" t="s">
        <v>3892</v>
      </c>
      <c r="AT242" t="s">
        <v>3893</v>
      </c>
      <c r="AU242" t="s">
        <v>3894</v>
      </c>
      <c r="AV242" t="s">
        <v>3895</v>
      </c>
      <c r="AW242" t="s">
        <v>3896</v>
      </c>
      <c r="AX242">
        <v>6</v>
      </c>
      <c r="AY242">
        <v>2</v>
      </c>
      <c r="AZ242" t="s">
        <v>3897</v>
      </c>
      <c r="BA242">
        <v>10</v>
      </c>
      <c r="BB242" t="s">
        <v>3898</v>
      </c>
      <c r="BC242">
        <v>3</v>
      </c>
      <c r="BD242">
        <v>5</v>
      </c>
      <c r="BE242" t="s">
        <v>3899</v>
      </c>
      <c r="BF242">
        <v>3</v>
      </c>
      <c r="BG242">
        <v>13</v>
      </c>
      <c r="BH242" t="s">
        <v>3900</v>
      </c>
      <c r="BI242" t="s">
        <v>4405</v>
      </c>
      <c r="BJ242">
        <v>1</v>
      </c>
      <c r="BK242" t="s">
        <v>3902</v>
      </c>
    </row>
    <row r="243" spans="1:63" x14ac:dyDescent="0.25">
      <c r="A243">
        <v>4138</v>
      </c>
      <c r="B243" t="str">
        <f>"20200127127017043681"</f>
        <v>20200127127017043681</v>
      </c>
      <c r="C243">
        <v>1</v>
      </c>
      <c r="D243">
        <v>1</v>
      </c>
      <c r="E243" t="s">
        <v>3886</v>
      </c>
      <c r="F243">
        <v>2</v>
      </c>
      <c r="G243">
        <v>0</v>
      </c>
      <c r="H243" t="s">
        <v>66</v>
      </c>
      <c r="I243">
        <v>0</v>
      </c>
      <c r="J243" t="s">
        <v>66</v>
      </c>
      <c r="K243">
        <v>1</v>
      </c>
      <c r="L243" t="s">
        <v>1627</v>
      </c>
      <c r="M243" t="s">
        <v>4236</v>
      </c>
      <c r="N243">
        <v>1</v>
      </c>
      <c r="O243" t="s">
        <v>1627</v>
      </c>
      <c r="P243" t="s">
        <v>4664</v>
      </c>
      <c r="Q243">
        <v>0</v>
      </c>
      <c r="R243" t="s">
        <v>66</v>
      </c>
      <c r="S243" t="s">
        <v>56</v>
      </c>
      <c r="T243" t="s">
        <v>56</v>
      </c>
      <c r="U243" t="s">
        <v>56</v>
      </c>
      <c r="V243" t="s">
        <v>56</v>
      </c>
      <c r="W243">
        <v>0</v>
      </c>
      <c r="X243" t="s">
        <v>66</v>
      </c>
      <c r="Y243" t="s">
        <v>56</v>
      </c>
      <c r="Z243">
        <v>0</v>
      </c>
      <c r="AA243" t="s">
        <v>66</v>
      </c>
      <c r="AB243" t="s">
        <v>56</v>
      </c>
      <c r="AC243">
        <v>0</v>
      </c>
      <c r="AD243" t="s">
        <v>66</v>
      </c>
      <c r="AE243" t="s">
        <v>56</v>
      </c>
      <c r="AF243">
        <v>0</v>
      </c>
      <c r="AG243" t="s">
        <v>66</v>
      </c>
      <c r="AH243" t="s">
        <v>56</v>
      </c>
      <c r="AI243">
        <v>1</v>
      </c>
      <c r="AJ243" t="s">
        <v>1627</v>
      </c>
      <c r="AK243" t="s">
        <v>56</v>
      </c>
      <c r="AL243" t="s">
        <v>56</v>
      </c>
      <c r="AM243" t="s">
        <v>56</v>
      </c>
      <c r="AN243" t="s">
        <v>56</v>
      </c>
      <c r="AO243" t="s">
        <v>4339</v>
      </c>
      <c r="AP243" t="s">
        <v>3962</v>
      </c>
      <c r="AQ243" t="s">
        <v>3963</v>
      </c>
      <c r="AR243" t="s">
        <v>3941</v>
      </c>
      <c r="AS243" t="s">
        <v>3942</v>
      </c>
      <c r="AT243" t="s">
        <v>4665</v>
      </c>
      <c r="AU243" t="s">
        <v>3944</v>
      </c>
      <c r="AV243" t="s">
        <v>3945</v>
      </c>
      <c r="AW243" t="s">
        <v>3946</v>
      </c>
      <c r="AX243">
        <v>12</v>
      </c>
      <c r="AY243">
        <v>2</v>
      </c>
      <c r="AZ243" t="s">
        <v>3897</v>
      </c>
      <c r="BA243">
        <v>10</v>
      </c>
      <c r="BB243" t="s">
        <v>3898</v>
      </c>
      <c r="BC243">
        <v>3</v>
      </c>
      <c r="BD243">
        <v>5</v>
      </c>
      <c r="BE243" t="s">
        <v>3899</v>
      </c>
      <c r="BF243">
        <v>180</v>
      </c>
      <c r="BG243">
        <v>66</v>
      </c>
      <c r="BH243" t="s">
        <v>3965</v>
      </c>
      <c r="BI243" t="s">
        <v>4666</v>
      </c>
      <c r="BJ243">
        <v>1</v>
      </c>
      <c r="BK243" t="s">
        <v>3902</v>
      </c>
    </row>
    <row r="244" spans="1:63" x14ac:dyDescent="0.25">
      <c r="A244">
        <v>4139</v>
      </c>
      <c r="B244" t="str">
        <f>"20200127110017043750"</f>
        <v>20200127110017043750</v>
      </c>
      <c r="C244">
        <v>1</v>
      </c>
      <c r="D244">
        <v>1</v>
      </c>
      <c r="E244" t="s">
        <v>3886</v>
      </c>
      <c r="F244">
        <v>2</v>
      </c>
      <c r="G244">
        <v>0</v>
      </c>
      <c r="H244" t="s">
        <v>66</v>
      </c>
      <c r="I244">
        <v>0</v>
      </c>
      <c r="J244" t="s">
        <v>66</v>
      </c>
      <c r="K244">
        <v>0</v>
      </c>
      <c r="L244" t="s">
        <v>66</v>
      </c>
      <c r="M244" t="s">
        <v>56</v>
      </c>
      <c r="N244">
        <v>0</v>
      </c>
      <c r="O244" t="s">
        <v>66</v>
      </c>
      <c r="P244" t="s">
        <v>56</v>
      </c>
      <c r="Q244">
        <v>0</v>
      </c>
      <c r="R244" t="s">
        <v>66</v>
      </c>
      <c r="S244" t="s">
        <v>56</v>
      </c>
      <c r="T244">
        <v>1</v>
      </c>
      <c r="U244" t="s">
        <v>1627</v>
      </c>
      <c r="V244" t="s">
        <v>56</v>
      </c>
      <c r="W244">
        <v>0</v>
      </c>
      <c r="X244" t="s">
        <v>66</v>
      </c>
      <c r="Y244" t="s">
        <v>56</v>
      </c>
      <c r="Z244">
        <v>0</v>
      </c>
      <c r="AA244" t="s">
        <v>66</v>
      </c>
      <c r="AB244" t="s">
        <v>56</v>
      </c>
      <c r="AC244">
        <v>1</v>
      </c>
      <c r="AD244" t="s">
        <v>1627</v>
      </c>
      <c r="AE244" t="s">
        <v>3887</v>
      </c>
      <c r="AF244">
        <v>0</v>
      </c>
      <c r="AG244" t="s">
        <v>66</v>
      </c>
      <c r="AH244" t="s">
        <v>56</v>
      </c>
      <c r="AI244">
        <v>1</v>
      </c>
      <c r="AJ244" t="s">
        <v>1627</v>
      </c>
      <c r="AK244" t="s">
        <v>56</v>
      </c>
      <c r="AL244" t="s">
        <v>56</v>
      </c>
      <c r="AM244" t="s">
        <v>56</v>
      </c>
      <c r="AN244" t="s">
        <v>56</v>
      </c>
      <c r="AO244" t="s">
        <v>4004</v>
      </c>
      <c r="AP244" t="s">
        <v>3889</v>
      </c>
      <c r="AQ244" t="s">
        <v>3890</v>
      </c>
      <c r="AR244" t="s">
        <v>3891</v>
      </c>
      <c r="AS244" t="s">
        <v>3892</v>
      </c>
      <c r="AT244" t="s">
        <v>4667</v>
      </c>
      <c r="AU244" t="s">
        <v>3894</v>
      </c>
      <c r="AV244" t="s">
        <v>3895</v>
      </c>
      <c r="AW244" t="s">
        <v>3896</v>
      </c>
      <c r="AX244">
        <v>8</v>
      </c>
      <c r="AY244">
        <v>2</v>
      </c>
      <c r="AZ244" t="s">
        <v>3897</v>
      </c>
      <c r="BA244">
        <v>10</v>
      </c>
      <c r="BB244" t="s">
        <v>3898</v>
      </c>
      <c r="BC244">
        <v>4</v>
      </c>
      <c r="BD244">
        <v>5</v>
      </c>
      <c r="BE244" t="s">
        <v>3899</v>
      </c>
      <c r="BF244">
        <v>4</v>
      </c>
      <c r="BG244">
        <v>13</v>
      </c>
      <c r="BH244" t="s">
        <v>3900</v>
      </c>
      <c r="BI244" t="s">
        <v>4668</v>
      </c>
      <c r="BJ244">
        <v>1</v>
      </c>
      <c r="BK244" t="s">
        <v>3902</v>
      </c>
    </row>
    <row r="245" spans="1:63" x14ac:dyDescent="0.25">
      <c r="A245">
        <v>4140</v>
      </c>
      <c r="B245" t="str">
        <f>"20200127149017043760"</f>
        <v>20200127149017043760</v>
      </c>
      <c r="C245">
        <v>1</v>
      </c>
      <c r="D245">
        <v>1</v>
      </c>
      <c r="E245" t="s">
        <v>3886</v>
      </c>
      <c r="F245">
        <v>2</v>
      </c>
      <c r="G245">
        <v>0</v>
      </c>
      <c r="H245" t="s">
        <v>66</v>
      </c>
      <c r="I245">
        <v>0</v>
      </c>
      <c r="J245" t="s">
        <v>66</v>
      </c>
      <c r="K245">
        <v>0</v>
      </c>
      <c r="L245" t="s">
        <v>66</v>
      </c>
      <c r="M245" t="s">
        <v>56</v>
      </c>
      <c r="N245">
        <v>0</v>
      </c>
      <c r="O245" t="s">
        <v>66</v>
      </c>
      <c r="P245" t="s">
        <v>56</v>
      </c>
      <c r="Q245">
        <v>0</v>
      </c>
      <c r="R245" t="s">
        <v>66</v>
      </c>
      <c r="S245" t="s">
        <v>56</v>
      </c>
      <c r="T245">
        <v>1</v>
      </c>
      <c r="U245" t="s">
        <v>1627</v>
      </c>
      <c r="V245" t="s">
        <v>4223</v>
      </c>
      <c r="W245">
        <v>0</v>
      </c>
      <c r="X245" t="s">
        <v>66</v>
      </c>
      <c r="Y245" t="s">
        <v>56</v>
      </c>
      <c r="Z245">
        <v>1</v>
      </c>
      <c r="AA245" t="s">
        <v>1627</v>
      </c>
      <c r="AB245" t="s">
        <v>4669</v>
      </c>
      <c r="AC245">
        <v>0</v>
      </c>
      <c r="AD245" t="s">
        <v>66</v>
      </c>
      <c r="AE245" t="s">
        <v>56</v>
      </c>
      <c r="AF245">
        <v>0</v>
      </c>
      <c r="AG245" t="s">
        <v>66</v>
      </c>
      <c r="AH245" t="s">
        <v>56</v>
      </c>
      <c r="AI245">
        <v>1</v>
      </c>
      <c r="AJ245" t="s">
        <v>1627</v>
      </c>
      <c r="AK245" t="s">
        <v>56</v>
      </c>
      <c r="AL245" t="s">
        <v>56</v>
      </c>
      <c r="AM245" t="s">
        <v>56</v>
      </c>
      <c r="AN245" t="s">
        <v>56</v>
      </c>
      <c r="AO245" t="s">
        <v>4670</v>
      </c>
      <c r="AP245" t="s">
        <v>3962</v>
      </c>
      <c r="AQ245" t="s">
        <v>3963</v>
      </c>
      <c r="AR245" t="s">
        <v>3941</v>
      </c>
      <c r="AS245" t="s">
        <v>3942</v>
      </c>
      <c r="AT245" t="s">
        <v>4671</v>
      </c>
      <c r="AU245" t="s">
        <v>3944</v>
      </c>
      <c r="AV245" t="s">
        <v>3945</v>
      </c>
      <c r="AW245" t="s">
        <v>3946</v>
      </c>
      <c r="AX245">
        <v>1</v>
      </c>
      <c r="AY245">
        <v>3</v>
      </c>
      <c r="AZ245" t="s">
        <v>3911</v>
      </c>
      <c r="BA245">
        <v>10</v>
      </c>
      <c r="BB245" t="s">
        <v>3898</v>
      </c>
      <c r="BC245">
        <v>3</v>
      </c>
      <c r="BD245">
        <v>5</v>
      </c>
      <c r="BE245" t="s">
        <v>3899</v>
      </c>
      <c r="BF245">
        <v>90</v>
      </c>
      <c r="BG245">
        <v>66</v>
      </c>
      <c r="BH245" t="s">
        <v>3965</v>
      </c>
      <c r="BI245" t="s">
        <v>4672</v>
      </c>
      <c r="BJ245">
        <v>1</v>
      </c>
      <c r="BK245" t="s">
        <v>3902</v>
      </c>
    </row>
    <row r="246" spans="1:63" x14ac:dyDescent="0.25">
      <c r="A246">
        <v>4141</v>
      </c>
      <c r="B246" t="str">
        <f>"20200127172017044154"</f>
        <v>20200127172017044154</v>
      </c>
      <c r="C246">
        <v>1</v>
      </c>
      <c r="D246">
        <v>1</v>
      </c>
      <c r="E246" t="s">
        <v>3886</v>
      </c>
      <c r="F246">
        <v>2</v>
      </c>
      <c r="G246">
        <v>0</v>
      </c>
      <c r="H246" t="s">
        <v>66</v>
      </c>
      <c r="I246">
        <v>0</v>
      </c>
      <c r="J246" t="s">
        <v>66</v>
      </c>
      <c r="K246">
        <v>0</v>
      </c>
      <c r="L246" t="s">
        <v>66</v>
      </c>
      <c r="M246" t="s">
        <v>56</v>
      </c>
      <c r="N246">
        <v>0</v>
      </c>
      <c r="O246" t="s">
        <v>66</v>
      </c>
      <c r="P246" t="s">
        <v>56</v>
      </c>
      <c r="Q246">
        <v>0</v>
      </c>
      <c r="R246" t="s">
        <v>66</v>
      </c>
      <c r="S246" t="s">
        <v>56</v>
      </c>
      <c r="T246">
        <v>1</v>
      </c>
      <c r="U246" t="s">
        <v>1627</v>
      </c>
      <c r="V246" t="s">
        <v>56</v>
      </c>
      <c r="W246">
        <v>0</v>
      </c>
      <c r="X246" t="s">
        <v>66</v>
      </c>
      <c r="Y246" t="s">
        <v>56</v>
      </c>
      <c r="Z246">
        <v>0</v>
      </c>
      <c r="AA246" t="s">
        <v>66</v>
      </c>
      <c r="AB246" t="s">
        <v>56</v>
      </c>
      <c r="AC246">
        <v>1</v>
      </c>
      <c r="AD246" t="s">
        <v>1627</v>
      </c>
      <c r="AE246" t="s">
        <v>3887</v>
      </c>
      <c r="AF246">
        <v>0</v>
      </c>
      <c r="AG246" t="s">
        <v>66</v>
      </c>
      <c r="AH246" t="s">
        <v>56</v>
      </c>
      <c r="AI246">
        <v>1</v>
      </c>
      <c r="AJ246" t="s">
        <v>1627</v>
      </c>
      <c r="AK246" t="s">
        <v>56</v>
      </c>
      <c r="AL246" t="s">
        <v>56</v>
      </c>
      <c r="AM246" t="s">
        <v>56</v>
      </c>
      <c r="AN246" t="s">
        <v>56</v>
      </c>
      <c r="AO246" t="s">
        <v>4673</v>
      </c>
      <c r="AP246" t="s">
        <v>3939</v>
      </c>
      <c r="AQ246" t="s">
        <v>3940</v>
      </c>
      <c r="AR246" t="s">
        <v>3941</v>
      </c>
      <c r="AS246" t="s">
        <v>3942</v>
      </c>
      <c r="AT246" t="s">
        <v>4674</v>
      </c>
      <c r="AU246">
        <v>9000</v>
      </c>
      <c r="AV246" t="s">
        <v>3956</v>
      </c>
      <c r="AW246" t="s">
        <v>3956</v>
      </c>
      <c r="AX246">
        <v>24</v>
      </c>
      <c r="AY246">
        <v>2</v>
      </c>
      <c r="AZ246" t="s">
        <v>3897</v>
      </c>
      <c r="BA246">
        <v>10</v>
      </c>
      <c r="BB246" t="s">
        <v>3898</v>
      </c>
      <c r="BC246">
        <v>90</v>
      </c>
      <c r="BD246">
        <v>3</v>
      </c>
      <c r="BE246" t="s">
        <v>3911</v>
      </c>
      <c r="BF246">
        <v>90</v>
      </c>
      <c r="BG246">
        <v>14</v>
      </c>
      <c r="BH246" t="s">
        <v>3947</v>
      </c>
      <c r="BI246" t="s">
        <v>4675</v>
      </c>
      <c r="BJ246">
        <v>1</v>
      </c>
      <c r="BK246" t="s">
        <v>3902</v>
      </c>
    </row>
    <row r="247" spans="1:63" x14ac:dyDescent="0.25">
      <c r="A247">
        <v>4142</v>
      </c>
      <c r="B247" t="str">
        <f>"20200127172017044154"</f>
        <v>20200127172017044154</v>
      </c>
      <c r="C247">
        <v>2</v>
      </c>
      <c r="D247">
        <v>1</v>
      </c>
      <c r="E247" t="s">
        <v>3886</v>
      </c>
      <c r="F247">
        <v>2</v>
      </c>
      <c r="G247">
        <v>0</v>
      </c>
      <c r="H247" t="s">
        <v>66</v>
      </c>
      <c r="I247">
        <v>0</v>
      </c>
      <c r="J247" t="s">
        <v>66</v>
      </c>
      <c r="K247">
        <v>0</v>
      </c>
      <c r="L247" t="s">
        <v>66</v>
      </c>
      <c r="M247" t="s">
        <v>56</v>
      </c>
      <c r="N247">
        <v>0</v>
      </c>
      <c r="O247" t="s">
        <v>66</v>
      </c>
      <c r="P247" t="s">
        <v>56</v>
      </c>
      <c r="Q247">
        <v>0</v>
      </c>
      <c r="R247" t="s">
        <v>66</v>
      </c>
      <c r="S247" t="s">
        <v>56</v>
      </c>
      <c r="T247">
        <v>1</v>
      </c>
      <c r="U247" t="s">
        <v>1627</v>
      </c>
      <c r="V247" t="s">
        <v>56</v>
      </c>
      <c r="W247">
        <v>0</v>
      </c>
      <c r="X247" t="s">
        <v>66</v>
      </c>
      <c r="Y247" t="s">
        <v>56</v>
      </c>
      <c r="Z247">
        <v>0</v>
      </c>
      <c r="AA247" t="s">
        <v>66</v>
      </c>
      <c r="AB247" t="s">
        <v>56</v>
      </c>
      <c r="AC247">
        <v>1</v>
      </c>
      <c r="AD247" t="s">
        <v>1627</v>
      </c>
      <c r="AE247" t="s">
        <v>3887</v>
      </c>
      <c r="AF247">
        <v>0</v>
      </c>
      <c r="AG247" t="s">
        <v>66</v>
      </c>
      <c r="AH247" t="s">
        <v>56</v>
      </c>
      <c r="AI247">
        <v>1</v>
      </c>
      <c r="AJ247" t="s">
        <v>1627</v>
      </c>
      <c r="AK247" t="s">
        <v>56</v>
      </c>
      <c r="AL247" t="s">
        <v>56</v>
      </c>
      <c r="AM247" t="s">
        <v>56</v>
      </c>
      <c r="AN247" t="s">
        <v>56</v>
      </c>
      <c r="AO247" t="s">
        <v>4676</v>
      </c>
      <c r="AP247" t="s">
        <v>3962</v>
      </c>
      <c r="AQ247" t="s">
        <v>3963</v>
      </c>
      <c r="AR247" t="s">
        <v>3941</v>
      </c>
      <c r="AS247" t="s">
        <v>3942</v>
      </c>
      <c r="AT247" t="s">
        <v>4674</v>
      </c>
      <c r="AU247">
        <v>9000</v>
      </c>
      <c r="AV247" t="s">
        <v>3956</v>
      </c>
      <c r="AW247" t="s">
        <v>3956</v>
      </c>
      <c r="AX247">
        <v>24</v>
      </c>
      <c r="AY247">
        <v>2</v>
      </c>
      <c r="AZ247" t="s">
        <v>3897</v>
      </c>
      <c r="BA247">
        <v>10</v>
      </c>
      <c r="BB247" t="s">
        <v>3898</v>
      </c>
      <c r="BC247">
        <v>90</v>
      </c>
      <c r="BD247">
        <v>3</v>
      </c>
      <c r="BE247" t="s">
        <v>3911</v>
      </c>
      <c r="BF247">
        <v>90</v>
      </c>
      <c r="BG247">
        <v>66</v>
      </c>
      <c r="BH247" t="s">
        <v>3965</v>
      </c>
      <c r="BI247" t="s">
        <v>4677</v>
      </c>
      <c r="BJ247">
        <v>1</v>
      </c>
      <c r="BK247" t="s">
        <v>3902</v>
      </c>
    </row>
    <row r="248" spans="1:63" x14ac:dyDescent="0.25">
      <c r="A248">
        <v>4143</v>
      </c>
      <c r="B248" t="str">
        <f>"20200127172017044154"</f>
        <v>20200127172017044154</v>
      </c>
      <c r="C248">
        <v>3</v>
      </c>
      <c r="D248">
        <v>1</v>
      </c>
      <c r="E248" t="s">
        <v>3886</v>
      </c>
      <c r="F248">
        <v>2</v>
      </c>
      <c r="G248">
        <v>0</v>
      </c>
      <c r="H248" t="s">
        <v>66</v>
      </c>
      <c r="I248">
        <v>0</v>
      </c>
      <c r="J248" t="s">
        <v>66</v>
      </c>
      <c r="K248">
        <v>0</v>
      </c>
      <c r="L248" t="s">
        <v>66</v>
      </c>
      <c r="M248" t="s">
        <v>56</v>
      </c>
      <c r="N248">
        <v>0</v>
      </c>
      <c r="O248" t="s">
        <v>66</v>
      </c>
      <c r="P248" t="s">
        <v>56</v>
      </c>
      <c r="Q248">
        <v>0</v>
      </c>
      <c r="R248" t="s">
        <v>66</v>
      </c>
      <c r="S248" t="s">
        <v>56</v>
      </c>
      <c r="T248">
        <v>1</v>
      </c>
      <c r="U248" t="s">
        <v>1627</v>
      </c>
      <c r="V248" t="s">
        <v>56</v>
      </c>
      <c r="W248">
        <v>0</v>
      </c>
      <c r="X248" t="s">
        <v>66</v>
      </c>
      <c r="Y248" t="s">
        <v>56</v>
      </c>
      <c r="Z248">
        <v>0</v>
      </c>
      <c r="AA248" t="s">
        <v>66</v>
      </c>
      <c r="AB248" t="s">
        <v>56</v>
      </c>
      <c r="AC248">
        <v>1</v>
      </c>
      <c r="AD248" t="s">
        <v>1627</v>
      </c>
      <c r="AE248" t="s">
        <v>3887</v>
      </c>
      <c r="AF248">
        <v>0</v>
      </c>
      <c r="AG248" t="s">
        <v>66</v>
      </c>
      <c r="AH248" t="s">
        <v>56</v>
      </c>
      <c r="AI248">
        <v>1</v>
      </c>
      <c r="AJ248" t="s">
        <v>1627</v>
      </c>
      <c r="AK248" t="s">
        <v>56</v>
      </c>
      <c r="AL248" t="s">
        <v>56</v>
      </c>
      <c r="AM248" t="s">
        <v>56</v>
      </c>
      <c r="AN248" t="s">
        <v>56</v>
      </c>
      <c r="AO248" t="s">
        <v>4678</v>
      </c>
      <c r="AP248" t="s">
        <v>3962</v>
      </c>
      <c r="AQ248" t="s">
        <v>3963</v>
      </c>
      <c r="AR248" t="s">
        <v>3941</v>
      </c>
      <c r="AS248" t="s">
        <v>3942</v>
      </c>
      <c r="AT248" t="s">
        <v>4674</v>
      </c>
      <c r="AU248">
        <v>9000</v>
      </c>
      <c r="AV248" t="s">
        <v>3956</v>
      </c>
      <c r="AW248" t="s">
        <v>3956</v>
      </c>
      <c r="AX248">
        <v>24</v>
      </c>
      <c r="AY248">
        <v>2</v>
      </c>
      <c r="AZ248" t="s">
        <v>3897</v>
      </c>
      <c r="BA248">
        <v>10</v>
      </c>
      <c r="BB248" t="s">
        <v>3898</v>
      </c>
      <c r="BC248">
        <v>90</v>
      </c>
      <c r="BD248">
        <v>3</v>
      </c>
      <c r="BE248" t="s">
        <v>3911</v>
      </c>
      <c r="BF248">
        <v>90</v>
      </c>
      <c r="BG248">
        <v>66</v>
      </c>
      <c r="BH248" t="s">
        <v>3965</v>
      </c>
      <c r="BI248" t="s">
        <v>4679</v>
      </c>
      <c r="BJ248">
        <v>1</v>
      </c>
      <c r="BK248" t="s">
        <v>3902</v>
      </c>
    </row>
    <row r="249" spans="1:63" x14ac:dyDescent="0.25">
      <c r="A249">
        <v>4144</v>
      </c>
      <c r="B249" t="str">
        <f>"20200127125017044183"</f>
        <v>20200127125017044183</v>
      </c>
      <c r="C249">
        <v>1</v>
      </c>
      <c r="D249">
        <v>1</v>
      </c>
      <c r="E249" t="s">
        <v>3886</v>
      </c>
      <c r="F249">
        <v>1</v>
      </c>
      <c r="G249">
        <v>0</v>
      </c>
      <c r="H249" t="s">
        <v>66</v>
      </c>
      <c r="I249">
        <v>0</v>
      </c>
      <c r="J249" t="s">
        <v>66</v>
      </c>
      <c r="K249">
        <v>0</v>
      </c>
      <c r="L249" t="s">
        <v>66</v>
      </c>
      <c r="M249" t="s">
        <v>56</v>
      </c>
      <c r="N249">
        <v>0</v>
      </c>
      <c r="O249" t="s">
        <v>66</v>
      </c>
      <c r="P249" t="s">
        <v>56</v>
      </c>
      <c r="Q249">
        <v>0</v>
      </c>
      <c r="R249" t="s">
        <v>66</v>
      </c>
      <c r="S249" t="s">
        <v>56</v>
      </c>
      <c r="T249">
        <v>1</v>
      </c>
      <c r="U249" t="s">
        <v>1627</v>
      </c>
      <c r="V249" t="s">
        <v>56</v>
      </c>
      <c r="W249">
        <v>0</v>
      </c>
      <c r="X249" t="s">
        <v>66</v>
      </c>
      <c r="Y249" t="s">
        <v>56</v>
      </c>
      <c r="Z249">
        <v>0</v>
      </c>
      <c r="AA249" t="s">
        <v>66</v>
      </c>
      <c r="AB249" t="s">
        <v>56</v>
      </c>
      <c r="AC249">
        <v>1</v>
      </c>
      <c r="AD249" t="s">
        <v>1627</v>
      </c>
      <c r="AE249" t="s">
        <v>3887</v>
      </c>
      <c r="AF249">
        <v>0</v>
      </c>
      <c r="AG249" t="s">
        <v>66</v>
      </c>
      <c r="AH249" t="s">
        <v>56</v>
      </c>
      <c r="AI249">
        <v>1</v>
      </c>
      <c r="AJ249" t="s">
        <v>1627</v>
      </c>
      <c r="AK249" t="s">
        <v>56</v>
      </c>
      <c r="AL249" t="s">
        <v>56</v>
      </c>
      <c r="AM249" t="s">
        <v>56</v>
      </c>
      <c r="AN249" t="s">
        <v>56</v>
      </c>
      <c r="AO249" t="s">
        <v>4680</v>
      </c>
      <c r="AP249" t="s">
        <v>3889</v>
      </c>
      <c r="AQ249" t="s">
        <v>3890</v>
      </c>
      <c r="AR249" t="s">
        <v>4681</v>
      </c>
      <c r="AS249" t="s">
        <v>4682</v>
      </c>
      <c r="AT249" t="s">
        <v>4683</v>
      </c>
      <c r="AU249" t="s">
        <v>3929</v>
      </c>
      <c r="AV249" t="s">
        <v>3930</v>
      </c>
      <c r="AW249" t="s">
        <v>3931</v>
      </c>
      <c r="AX249">
        <v>2</v>
      </c>
      <c r="AY249">
        <v>2</v>
      </c>
      <c r="AZ249" t="s">
        <v>3897</v>
      </c>
      <c r="BA249">
        <v>10</v>
      </c>
      <c r="BB249" t="s">
        <v>3898</v>
      </c>
      <c r="BC249">
        <v>12</v>
      </c>
      <c r="BD249">
        <v>2</v>
      </c>
      <c r="BE249" t="s">
        <v>3897</v>
      </c>
      <c r="BF249">
        <v>2</v>
      </c>
      <c r="BG249">
        <v>63</v>
      </c>
      <c r="BH249" t="s">
        <v>4684</v>
      </c>
      <c r="BI249" t="s">
        <v>4683</v>
      </c>
      <c r="BJ249">
        <v>1</v>
      </c>
      <c r="BK249" t="s">
        <v>3902</v>
      </c>
    </row>
    <row r="250" spans="1:63" x14ac:dyDescent="0.25">
      <c r="A250">
        <v>4145</v>
      </c>
      <c r="B250" t="str">
        <f>"20200127125017044183"</f>
        <v>20200127125017044183</v>
      </c>
      <c r="C250">
        <v>2</v>
      </c>
      <c r="D250">
        <v>1</v>
      </c>
      <c r="E250" t="s">
        <v>3886</v>
      </c>
      <c r="F250">
        <v>1</v>
      </c>
      <c r="G250">
        <v>0</v>
      </c>
      <c r="H250" t="s">
        <v>66</v>
      </c>
      <c r="I250">
        <v>0</v>
      </c>
      <c r="J250" t="s">
        <v>66</v>
      </c>
      <c r="K250">
        <v>0</v>
      </c>
      <c r="L250" t="s">
        <v>66</v>
      </c>
      <c r="M250" t="s">
        <v>56</v>
      </c>
      <c r="N250">
        <v>0</v>
      </c>
      <c r="O250" t="s">
        <v>66</v>
      </c>
      <c r="P250" t="s">
        <v>56</v>
      </c>
      <c r="Q250">
        <v>0</v>
      </c>
      <c r="R250" t="s">
        <v>66</v>
      </c>
      <c r="S250" t="s">
        <v>56</v>
      </c>
      <c r="T250">
        <v>1</v>
      </c>
      <c r="U250" t="s">
        <v>1627</v>
      </c>
      <c r="V250" t="s">
        <v>56</v>
      </c>
      <c r="W250">
        <v>0</v>
      </c>
      <c r="X250" t="s">
        <v>66</v>
      </c>
      <c r="Y250" t="s">
        <v>56</v>
      </c>
      <c r="Z250">
        <v>0</v>
      </c>
      <c r="AA250" t="s">
        <v>66</v>
      </c>
      <c r="AB250" t="s">
        <v>56</v>
      </c>
      <c r="AC250">
        <v>1</v>
      </c>
      <c r="AD250" t="s">
        <v>1627</v>
      </c>
      <c r="AE250" t="s">
        <v>3887</v>
      </c>
      <c r="AF250">
        <v>0</v>
      </c>
      <c r="AG250" t="s">
        <v>66</v>
      </c>
      <c r="AH250" t="s">
        <v>56</v>
      </c>
      <c r="AI250">
        <v>1</v>
      </c>
      <c r="AJ250" t="s">
        <v>1627</v>
      </c>
      <c r="AK250" t="s">
        <v>56</v>
      </c>
      <c r="AL250" t="s">
        <v>56</v>
      </c>
      <c r="AM250" t="s">
        <v>56</v>
      </c>
      <c r="AN250" t="s">
        <v>56</v>
      </c>
      <c r="AO250" t="s">
        <v>4680</v>
      </c>
      <c r="AP250" t="s">
        <v>3889</v>
      </c>
      <c r="AQ250" t="s">
        <v>3890</v>
      </c>
      <c r="AR250" t="s">
        <v>4681</v>
      </c>
      <c r="AS250" t="s">
        <v>4682</v>
      </c>
      <c r="AT250" t="s">
        <v>4683</v>
      </c>
      <c r="AU250" t="s">
        <v>3929</v>
      </c>
      <c r="AV250" t="s">
        <v>3930</v>
      </c>
      <c r="AW250" t="s">
        <v>3931</v>
      </c>
      <c r="AX250">
        <v>2</v>
      </c>
      <c r="AY250">
        <v>2</v>
      </c>
      <c r="AZ250" t="s">
        <v>3897</v>
      </c>
      <c r="BA250">
        <v>10</v>
      </c>
      <c r="BB250" t="s">
        <v>3898</v>
      </c>
      <c r="BC250">
        <v>12</v>
      </c>
      <c r="BD250">
        <v>2</v>
      </c>
      <c r="BE250" t="s">
        <v>3897</v>
      </c>
      <c r="BF250">
        <v>2</v>
      </c>
      <c r="BG250">
        <v>63</v>
      </c>
      <c r="BH250" t="s">
        <v>4684</v>
      </c>
      <c r="BI250" t="s">
        <v>4683</v>
      </c>
      <c r="BJ250">
        <v>1</v>
      </c>
      <c r="BK250" t="s">
        <v>3902</v>
      </c>
    </row>
    <row r="251" spans="1:63" x14ac:dyDescent="0.25">
      <c r="A251">
        <v>4146</v>
      </c>
      <c r="B251" t="str">
        <f>"20200127123017044255"</f>
        <v>20200127123017044255</v>
      </c>
      <c r="C251">
        <v>1</v>
      </c>
      <c r="D251">
        <v>1</v>
      </c>
      <c r="E251" t="s">
        <v>3886</v>
      </c>
      <c r="F251">
        <v>1</v>
      </c>
      <c r="G251">
        <v>0</v>
      </c>
      <c r="H251" t="s">
        <v>66</v>
      </c>
      <c r="I251">
        <v>0</v>
      </c>
      <c r="J251" t="s">
        <v>66</v>
      </c>
      <c r="K251">
        <v>0</v>
      </c>
      <c r="L251" t="s">
        <v>66</v>
      </c>
      <c r="M251" t="s">
        <v>56</v>
      </c>
      <c r="N251">
        <v>0</v>
      </c>
      <c r="O251" t="s">
        <v>66</v>
      </c>
      <c r="P251" t="s">
        <v>56</v>
      </c>
      <c r="Q251">
        <v>0</v>
      </c>
      <c r="R251" t="s">
        <v>66</v>
      </c>
      <c r="S251" t="s">
        <v>56</v>
      </c>
      <c r="T251">
        <v>1</v>
      </c>
      <c r="U251" t="s">
        <v>1627</v>
      </c>
      <c r="V251" t="s">
        <v>56</v>
      </c>
      <c r="W251">
        <v>0</v>
      </c>
      <c r="X251" t="s">
        <v>66</v>
      </c>
      <c r="Y251" t="s">
        <v>56</v>
      </c>
      <c r="Z251">
        <v>0</v>
      </c>
      <c r="AA251" t="s">
        <v>66</v>
      </c>
      <c r="AB251" t="s">
        <v>56</v>
      </c>
      <c r="AC251">
        <v>1</v>
      </c>
      <c r="AD251" t="s">
        <v>1627</v>
      </c>
      <c r="AE251" t="s">
        <v>3887</v>
      </c>
      <c r="AF251">
        <v>0</v>
      </c>
      <c r="AG251" t="s">
        <v>66</v>
      </c>
      <c r="AH251" t="s">
        <v>56</v>
      </c>
      <c r="AI251">
        <v>1</v>
      </c>
      <c r="AJ251" t="s">
        <v>1627</v>
      </c>
      <c r="AK251" t="s">
        <v>56</v>
      </c>
      <c r="AL251" t="s">
        <v>56</v>
      </c>
      <c r="AM251" t="s">
        <v>56</v>
      </c>
      <c r="AN251" t="s">
        <v>56</v>
      </c>
      <c r="AO251" t="s">
        <v>4109</v>
      </c>
      <c r="AP251" t="s">
        <v>3962</v>
      </c>
      <c r="AQ251" t="s">
        <v>3963</v>
      </c>
      <c r="AR251" t="s">
        <v>3941</v>
      </c>
      <c r="AS251" t="s">
        <v>3942</v>
      </c>
      <c r="AT251" t="s">
        <v>4685</v>
      </c>
      <c r="AU251" t="s">
        <v>3944</v>
      </c>
      <c r="AV251" t="s">
        <v>3945</v>
      </c>
      <c r="AW251" t="s">
        <v>3946</v>
      </c>
      <c r="AX251">
        <v>24</v>
      </c>
      <c r="AY251">
        <v>2</v>
      </c>
      <c r="AZ251" t="s">
        <v>3897</v>
      </c>
      <c r="BA251">
        <v>10</v>
      </c>
      <c r="BB251" t="s">
        <v>3898</v>
      </c>
      <c r="BC251">
        <v>3</v>
      </c>
      <c r="BD251">
        <v>5</v>
      </c>
      <c r="BE251" t="s">
        <v>3899</v>
      </c>
      <c r="BF251">
        <v>90</v>
      </c>
      <c r="BG251">
        <v>66</v>
      </c>
      <c r="BH251" t="s">
        <v>3965</v>
      </c>
      <c r="BI251" t="s">
        <v>4686</v>
      </c>
      <c r="BJ251">
        <v>1</v>
      </c>
      <c r="BK251" t="s">
        <v>3902</v>
      </c>
    </row>
    <row r="252" spans="1:63" x14ac:dyDescent="0.25">
      <c r="A252">
        <v>4147</v>
      </c>
      <c r="B252" t="str">
        <f>"20200127162017044613"</f>
        <v>20200127162017044613</v>
      </c>
      <c r="C252">
        <v>1</v>
      </c>
      <c r="D252">
        <v>1</v>
      </c>
      <c r="E252" t="s">
        <v>3886</v>
      </c>
      <c r="F252">
        <v>2</v>
      </c>
      <c r="G252">
        <v>0</v>
      </c>
      <c r="H252" t="s">
        <v>66</v>
      </c>
      <c r="I252">
        <v>0</v>
      </c>
      <c r="J252" t="s">
        <v>66</v>
      </c>
      <c r="K252">
        <v>0</v>
      </c>
      <c r="L252" t="s">
        <v>66</v>
      </c>
      <c r="M252" t="s">
        <v>56</v>
      </c>
      <c r="N252">
        <v>0</v>
      </c>
      <c r="O252" t="s">
        <v>66</v>
      </c>
      <c r="P252" t="s">
        <v>56</v>
      </c>
      <c r="Q252">
        <v>0</v>
      </c>
      <c r="R252" t="s">
        <v>66</v>
      </c>
      <c r="S252" t="s">
        <v>56</v>
      </c>
      <c r="T252">
        <v>1</v>
      </c>
      <c r="U252" t="s">
        <v>1627</v>
      </c>
      <c r="V252" t="s">
        <v>56</v>
      </c>
      <c r="W252">
        <v>0</v>
      </c>
      <c r="X252" t="s">
        <v>66</v>
      </c>
      <c r="Y252" t="s">
        <v>56</v>
      </c>
      <c r="Z252">
        <v>0</v>
      </c>
      <c r="AA252" t="s">
        <v>66</v>
      </c>
      <c r="AB252" t="s">
        <v>56</v>
      </c>
      <c r="AC252">
        <v>1</v>
      </c>
      <c r="AD252" t="s">
        <v>1627</v>
      </c>
      <c r="AE252" t="s">
        <v>3887</v>
      </c>
      <c r="AF252">
        <v>0</v>
      </c>
      <c r="AG252" t="s">
        <v>66</v>
      </c>
      <c r="AH252" t="s">
        <v>56</v>
      </c>
      <c r="AI252">
        <v>1</v>
      </c>
      <c r="AJ252" t="s">
        <v>1627</v>
      </c>
      <c r="AK252" t="s">
        <v>56</v>
      </c>
      <c r="AL252" t="s">
        <v>56</v>
      </c>
      <c r="AM252" t="s">
        <v>56</v>
      </c>
      <c r="AN252" t="s">
        <v>56</v>
      </c>
      <c r="AO252" t="s">
        <v>4687</v>
      </c>
      <c r="AP252" t="s">
        <v>3934</v>
      </c>
      <c r="AQ252" t="s">
        <v>3935</v>
      </c>
      <c r="AR252">
        <v>502</v>
      </c>
      <c r="AS252" t="s">
        <v>4688</v>
      </c>
      <c r="AT252" t="s">
        <v>4689</v>
      </c>
      <c r="AU252">
        <v>9000</v>
      </c>
      <c r="AV252" t="s">
        <v>3956</v>
      </c>
      <c r="AW252" t="s">
        <v>3956</v>
      </c>
      <c r="AX252">
        <v>24</v>
      </c>
      <c r="AY252">
        <v>2</v>
      </c>
      <c r="AZ252" t="s">
        <v>3897</v>
      </c>
      <c r="BA252">
        <v>10</v>
      </c>
      <c r="BB252" t="s">
        <v>3898</v>
      </c>
      <c r="BC252">
        <v>4</v>
      </c>
      <c r="BD252">
        <v>5</v>
      </c>
      <c r="BE252" t="s">
        <v>3899</v>
      </c>
      <c r="BF252">
        <v>2</v>
      </c>
      <c r="BG252">
        <v>58</v>
      </c>
      <c r="BH252" t="s">
        <v>4245</v>
      </c>
      <c r="BI252" t="s">
        <v>4690</v>
      </c>
      <c r="BJ252">
        <v>1</v>
      </c>
      <c r="BK252" t="s">
        <v>3902</v>
      </c>
    </row>
    <row r="253" spans="1:63" x14ac:dyDescent="0.25">
      <c r="A253">
        <v>4148</v>
      </c>
      <c r="B253" t="str">
        <f>"20200127141017044733"</f>
        <v>20200127141017044733</v>
      </c>
      <c r="C253">
        <v>1</v>
      </c>
      <c r="D253">
        <v>1</v>
      </c>
      <c r="E253" t="s">
        <v>3886</v>
      </c>
      <c r="F253">
        <v>2</v>
      </c>
      <c r="G253">
        <v>0</v>
      </c>
      <c r="H253" t="s">
        <v>66</v>
      </c>
      <c r="I253">
        <v>0</v>
      </c>
      <c r="J253" t="s">
        <v>66</v>
      </c>
      <c r="K253">
        <v>1</v>
      </c>
      <c r="L253" t="s">
        <v>1627</v>
      </c>
      <c r="M253" t="s">
        <v>3976</v>
      </c>
      <c r="N253">
        <v>1</v>
      </c>
      <c r="O253" t="s">
        <v>1627</v>
      </c>
      <c r="P253" t="s">
        <v>4691</v>
      </c>
      <c r="Q253">
        <v>0</v>
      </c>
      <c r="R253" t="s">
        <v>66</v>
      </c>
      <c r="S253" t="s">
        <v>56</v>
      </c>
      <c r="T253" t="s">
        <v>56</v>
      </c>
      <c r="U253" t="s">
        <v>56</v>
      </c>
      <c r="V253" t="s">
        <v>56</v>
      </c>
      <c r="W253">
        <v>0</v>
      </c>
      <c r="X253" t="s">
        <v>66</v>
      </c>
      <c r="Y253" t="s">
        <v>56</v>
      </c>
      <c r="Z253">
        <v>0</v>
      </c>
      <c r="AA253" t="s">
        <v>66</v>
      </c>
      <c r="AB253" t="s">
        <v>56</v>
      </c>
      <c r="AC253">
        <v>0</v>
      </c>
      <c r="AD253" t="s">
        <v>66</v>
      </c>
      <c r="AE253" t="s">
        <v>56</v>
      </c>
      <c r="AF253">
        <v>0</v>
      </c>
      <c r="AG253" t="s">
        <v>66</v>
      </c>
      <c r="AH253" t="s">
        <v>56</v>
      </c>
      <c r="AI253">
        <v>1</v>
      </c>
      <c r="AJ253" t="s">
        <v>1627</v>
      </c>
      <c r="AK253" t="s">
        <v>56</v>
      </c>
      <c r="AL253" t="s">
        <v>56</v>
      </c>
      <c r="AM253" t="s">
        <v>56</v>
      </c>
      <c r="AN253" t="s">
        <v>56</v>
      </c>
      <c r="AO253" t="s">
        <v>4339</v>
      </c>
      <c r="AP253" t="s">
        <v>3962</v>
      </c>
      <c r="AQ253" t="s">
        <v>3963</v>
      </c>
      <c r="AR253" t="s">
        <v>3941</v>
      </c>
      <c r="AS253" t="s">
        <v>3942</v>
      </c>
      <c r="AT253" t="s">
        <v>4692</v>
      </c>
      <c r="AU253" t="s">
        <v>3944</v>
      </c>
      <c r="AV253" t="s">
        <v>3945</v>
      </c>
      <c r="AW253" t="s">
        <v>3946</v>
      </c>
      <c r="AX253">
        <v>12</v>
      </c>
      <c r="AY253">
        <v>2</v>
      </c>
      <c r="AZ253" t="s">
        <v>3897</v>
      </c>
      <c r="BA253">
        <v>10</v>
      </c>
      <c r="BB253" t="s">
        <v>3898</v>
      </c>
      <c r="BC253">
        <v>3</v>
      </c>
      <c r="BD253">
        <v>5</v>
      </c>
      <c r="BE253" t="s">
        <v>3899</v>
      </c>
      <c r="BF253">
        <v>180</v>
      </c>
      <c r="BG253">
        <v>66</v>
      </c>
      <c r="BH253" t="s">
        <v>3965</v>
      </c>
      <c r="BI253" t="s">
        <v>4693</v>
      </c>
      <c r="BJ253">
        <v>1</v>
      </c>
      <c r="BK253" t="s">
        <v>3902</v>
      </c>
    </row>
    <row r="254" spans="1:63" x14ac:dyDescent="0.25">
      <c r="A254">
        <v>4149</v>
      </c>
      <c r="B254" t="str">
        <f>"20200127166017044825"</f>
        <v>20200127166017044825</v>
      </c>
      <c r="C254">
        <v>1</v>
      </c>
      <c r="D254">
        <v>1</v>
      </c>
      <c r="E254" t="s">
        <v>3886</v>
      </c>
      <c r="F254">
        <v>2</v>
      </c>
      <c r="G254">
        <v>0</v>
      </c>
      <c r="H254" t="s">
        <v>66</v>
      </c>
      <c r="I254">
        <v>0</v>
      </c>
      <c r="J254" t="s">
        <v>66</v>
      </c>
      <c r="K254">
        <v>0</v>
      </c>
      <c r="L254" t="s">
        <v>66</v>
      </c>
      <c r="M254" t="s">
        <v>56</v>
      </c>
      <c r="N254">
        <v>0</v>
      </c>
      <c r="O254" t="s">
        <v>66</v>
      </c>
      <c r="P254" t="s">
        <v>56</v>
      </c>
      <c r="Q254">
        <v>0</v>
      </c>
      <c r="R254" t="s">
        <v>66</v>
      </c>
      <c r="S254" t="s">
        <v>56</v>
      </c>
      <c r="T254">
        <v>1</v>
      </c>
      <c r="U254" t="s">
        <v>1627</v>
      </c>
      <c r="V254" t="s">
        <v>56</v>
      </c>
      <c r="W254">
        <v>0</v>
      </c>
      <c r="X254" t="s">
        <v>66</v>
      </c>
      <c r="Y254" t="s">
        <v>56</v>
      </c>
      <c r="Z254">
        <v>0</v>
      </c>
      <c r="AA254" t="s">
        <v>66</v>
      </c>
      <c r="AB254" t="s">
        <v>56</v>
      </c>
      <c r="AC254">
        <v>1</v>
      </c>
      <c r="AD254" t="s">
        <v>1627</v>
      </c>
      <c r="AE254" t="s">
        <v>3887</v>
      </c>
      <c r="AF254">
        <v>0</v>
      </c>
      <c r="AG254" t="s">
        <v>66</v>
      </c>
      <c r="AH254" t="s">
        <v>56</v>
      </c>
      <c r="AI254">
        <v>1</v>
      </c>
      <c r="AJ254" t="s">
        <v>1627</v>
      </c>
      <c r="AK254" t="s">
        <v>56</v>
      </c>
      <c r="AL254" t="s">
        <v>56</v>
      </c>
      <c r="AM254" t="s">
        <v>56</v>
      </c>
      <c r="AN254" t="s">
        <v>56</v>
      </c>
      <c r="AO254" t="s">
        <v>4694</v>
      </c>
      <c r="AP254" t="s">
        <v>3889</v>
      </c>
      <c r="AQ254" t="s">
        <v>3890</v>
      </c>
      <c r="AR254" t="s">
        <v>2324</v>
      </c>
      <c r="AS254" t="s">
        <v>4266</v>
      </c>
      <c r="AT254" t="s">
        <v>4695</v>
      </c>
      <c r="AU254" t="s">
        <v>3944</v>
      </c>
      <c r="AV254" t="s">
        <v>3945</v>
      </c>
      <c r="AW254" t="s">
        <v>3946</v>
      </c>
      <c r="AX254">
        <v>90</v>
      </c>
      <c r="AY254">
        <v>3</v>
      </c>
      <c r="AZ254" t="s">
        <v>3911</v>
      </c>
      <c r="BA254">
        <v>10</v>
      </c>
      <c r="BB254" t="s">
        <v>3898</v>
      </c>
      <c r="BC254">
        <v>180</v>
      </c>
      <c r="BD254">
        <v>3</v>
      </c>
      <c r="BE254" t="s">
        <v>3911</v>
      </c>
      <c r="BF254">
        <v>2</v>
      </c>
      <c r="BG254" t="s">
        <v>3912</v>
      </c>
      <c r="BH254" t="s">
        <v>3913</v>
      </c>
      <c r="BI254" t="s">
        <v>4696</v>
      </c>
      <c r="BJ254">
        <v>1</v>
      </c>
      <c r="BK254" t="s">
        <v>3902</v>
      </c>
    </row>
    <row r="255" spans="1:63" x14ac:dyDescent="0.25">
      <c r="A255">
        <v>4150</v>
      </c>
      <c r="B255" t="str">
        <f>"20200127187017044840"</f>
        <v>20200127187017044840</v>
      </c>
      <c r="C255">
        <v>1</v>
      </c>
      <c r="D255">
        <v>1</v>
      </c>
      <c r="E255" t="s">
        <v>3886</v>
      </c>
      <c r="F255">
        <v>2</v>
      </c>
      <c r="G255">
        <v>0</v>
      </c>
      <c r="H255" t="s">
        <v>66</v>
      </c>
      <c r="I255">
        <v>0</v>
      </c>
      <c r="J255" t="s">
        <v>66</v>
      </c>
      <c r="K255">
        <v>0</v>
      </c>
      <c r="L255" t="s">
        <v>66</v>
      </c>
      <c r="M255" t="s">
        <v>56</v>
      </c>
      <c r="N255">
        <v>0</v>
      </c>
      <c r="O255" t="s">
        <v>66</v>
      </c>
      <c r="P255" t="s">
        <v>56</v>
      </c>
      <c r="Q255">
        <v>0</v>
      </c>
      <c r="R255" t="s">
        <v>66</v>
      </c>
      <c r="S255" t="s">
        <v>56</v>
      </c>
      <c r="T255">
        <v>1</v>
      </c>
      <c r="U255" t="s">
        <v>1627</v>
      </c>
      <c r="V255" t="s">
        <v>56</v>
      </c>
      <c r="W255">
        <v>0</v>
      </c>
      <c r="X255" t="s">
        <v>66</v>
      </c>
      <c r="Y255" t="s">
        <v>56</v>
      </c>
      <c r="Z255">
        <v>0</v>
      </c>
      <c r="AA255" t="s">
        <v>66</v>
      </c>
      <c r="AB255" t="s">
        <v>56</v>
      </c>
      <c r="AC255">
        <v>1</v>
      </c>
      <c r="AD255" t="s">
        <v>1627</v>
      </c>
      <c r="AE255" t="s">
        <v>3887</v>
      </c>
      <c r="AF255">
        <v>0</v>
      </c>
      <c r="AG255" t="s">
        <v>66</v>
      </c>
      <c r="AH255" t="s">
        <v>56</v>
      </c>
      <c r="AI255">
        <v>1</v>
      </c>
      <c r="AJ255" t="s">
        <v>1627</v>
      </c>
      <c r="AK255" t="s">
        <v>56</v>
      </c>
      <c r="AL255" t="s">
        <v>56</v>
      </c>
      <c r="AM255" t="s">
        <v>56</v>
      </c>
      <c r="AN255" t="s">
        <v>56</v>
      </c>
      <c r="AO255" t="s">
        <v>4046</v>
      </c>
      <c r="AP255" t="s">
        <v>3889</v>
      </c>
      <c r="AQ255" t="s">
        <v>3890</v>
      </c>
      <c r="AR255" t="s">
        <v>3926</v>
      </c>
      <c r="AS255" t="s">
        <v>3927</v>
      </c>
      <c r="AT255" t="s">
        <v>4697</v>
      </c>
      <c r="AU255" t="s">
        <v>3894</v>
      </c>
      <c r="AV255" t="s">
        <v>3895</v>
      </c>
      <c r="AW255" t="s">
        <v>3896</v>
      </c>
      <c r="AX255">
        <v>24</v>
      </c>
      <c r="AY255">
        <v>2</v>
      </c>
      <c r="AZ255" t="s">
        <v>3897</v>
      </c>
      <c r="BA255">
        <v>10</v>
      </c>
      <c r="BB255" t="s">
        <v>3898</v>
      </c>
      <c r="BC255">
        <v>3</v>
      </c>
      <c r="BD255">
        <v>5</v>
      </c>
      <c r="BE255" t="s">
        <v>3899</v>
      </c>
      <c r="BF255">
        <v>3</v>
      </c>
      <c r="BG255">
        <v>13</v>
      </c>
      <c r="BH255" t="s">
        <v>3900</v>
      </c>
      <c r="BI255" t="s">
        <v>4698</v>
      </c>
      <c r="BJ255">
        <v>1</v>
      </c>
      <c r="BK255" t="s">
        <v>3902</v>
      </c>
    </row>
    <row r="256" spans="1:63" x14ac:dyDescent="0.25">
      <c r="A256">
        <v>4151</v>
      </c>
      <c r="B256" t="str">
        <f>"20200127178017044872"</f>
        <v>20200127178017044872</v>
      </c>
      <c r="C256">
        <v>1</v>
      </c>
      <c r="D256">
        <v>1</v>
      </c>
      <c r="E256" t="s">
        <v>3886</v>
      </c>
      <c r="F256">
        <v>1</v>
      </c>
      <c r="G256">
        <v>0</v>
      </c>
      <c r="H256" t="s">
        <v>66</v>
      </c>
      <c r="I256">
        <v>0</v>
      </c>
      <c r="J256" t="s">
        <v>66</v>
      </c>
      <c r="K256">
        <v>0</v>
      </c>
      <c r="L256" t="s">
        <v>66</v>
      </c>
      <c r="M256" t="s">
        <v>56</v>
      </c>
      <c r="N256">
        <v>0</v>
      </c>
      <c r="O256" t="s">
        <v>66</v>
      </c>
      <c r="P256" t="s">
        <v>56</v>
      </c>
      <c r="Q256">
        <v>0</v>
      </c>
      <c r="R256" t="s">
        <v>66</v>
      </c>
      <c r="S256" t="s">
        <v>56</v>
      </c>
      <c r="T256">
        <v>1</v>
      </c>
      <c r="U256" t="s">
        <v>1627</v>
      </c>
      <c r="V256" t="s">
        <v>56</v>
      </c>
      <c r="W256">
        <v>0</v>
      </c>
      <c r="X256" t="s">
        <v>66</v>
      </c>
      <c r="Y256" t="s">
        <v>56</v>
      </c>
      <c r="Z256">
        <v>0</v>
      </c>
      <c r="AA256" t="s">
        <v>66</v>
      </c>
      <c r="AB256" t="s">
        <v>56</v>
      </c>
      <c r="AC256">
        <v>1</v>
      </c>
      <c r="AD256" t="s">
        <v>1627</v>
      </c>
      <c r="AE256" t="s">
        <v>3887</v>
      </c>
      <c r="AF256">
        <v>0</v>
      </c>
      <c r="AG256" t="s">
        <v>66</v>
      </c>
      <c r="AH256" t="s">
        <v>56</v>
      </c>
      <c r="AI256">
        <v>1</v>
      </c>
      <c r="AJ256" t="s">
        <v>1627</v>
      </c>
      <c r="AK256" t="s">
        <v>56</v>
      </c>
      <c r="AL256" t="s">
        <v>56</v>
      </c>
      <c r="AM256" t="s">
        <v>56</v>
      </c>
      <c r="AN256" t="s">
        <v>56</v>
      </c>
      <c r="AO256" t="s">
        <v>3949</v>
      </c>
      <c r="AP256" t="s">
        <v>3889</v>
      </c>
      <c r="AQ256" t="s">
        <v>3890</v>
      </c>
      <c r="AR256" t="s">
        <v>3891</v>
      </c>
      <c r="AS256" t="s">
        <v>3892</v>
      </c>
      <c r="AT256" t="s">
        <v>4699</v>
      </c>
      <c r="AU256" t="s">
        <v>3894</v>
      </c>
      <c r="AV256" t="s">
        <v>3895</v>
      </c>
      <c r="AW256" t="s">
        <v>3896</v>
      </c>
      <c r="AX256">
        <v>6</v>
      </c>
      <c r="AY256">
        <v>2</v>
      </c>
      <c r="AZ256" t="s">
        <v>3897</v>
      </c>
      <c r="BA256">
        <v>10</v>
      </c>
      <c r="BB256" t="s">
        <v>3898</v>
      </c>
      <c r="BC256">
        <v>3</v>
      </c>
      <c r="BD256">
        <v>5</v>
      </c>
      <c r="BE256" t="s">
        <v>3899</v>
      </c>
      <c r="BF256">
        <v>3</v>
      </c>
      <c r="BG256">
        <v>13</v>
      </c>
      <c r="BH256" t="s">
        <v>3900</v>
      </c>
      <c r="BI256" t="s">
        <v>4700</v>
      </c>
      <c r="BJ256">
        <v>1</v>
      </c>
      <c r="BK256" t="s">
        <v>3902</v>
      </c>
    </row>
    <row r="257" spans="1:63" x14ac:dyDescent="0.25">
      <c r="A257">
        <v>4152</v>
      </c>
      <c r="B257" t="str">
        <f>"20200127144017044905"</f>
        <v>20200127144017044905</v>
      </c>
      <c r="C257">
        <v>1</v>
      </c>
      <c r="D257">
        <v>1</v>
      </c>
      <c r="E257" t="s">
        <v>3886</v>
      </c>
      <c r="F257">
        <v>1</v>
      </c>
      <c r="G257">
        <v>0</v>
      </c>
      <c r="H257" t="s">
        <v>66</v>
      </c>
      <c r="I257">
        <v>0</v>
      </c>
      <c r="J257" t="s">
        <v>66</v>
      </c>
      <c r="K257">
        <v>0</v>
      </c>
      <c r="L257" t="s">
        <v>66</v>
      </c>
      <c r="M257" t="s">
        <v>56</v>
      </c>
      <c r="N257">
        <v>0</v>
      </c>
      <c r="O257" t="s">
        <v>66</v>
      </c>
      <c r="P257" t="s">
        <v>56</v>
      </c>
      <c r="Q257">
        <v>0</v>
      </c>
      <c r="R257" t="s">
        <v>66</v>
      </c>
      <c r="S257" t="s">
        <v>56</v>
      </c>
      <c r="T257">
        <v>1</v>
      </c>
      <c r="U257" t="s">
        <v>1627</v>
      </c>
      <c r="V257" t="s">
        <v>56</v>
      </c>
      <c r="W257">
        <v>0</v>
      </c>
      <c r="X257" t="s">
        <v>66</v>
      </c>
      <c r="Y257" t="s">
        <v>56</v>
      </c>
      <c r="Z257">
        <v>0</v>
      </c>
      <c r="AA257" t="s">
        <v>66</v>
      </c>
      <c r="AB257" t="s">
        <v>56</v>
      </c>
      <c r="AC257">
        <v>1</v>
      </c>
      <c r="AD257" t="s">
        <v>1627</v>
      </c>
      <c r="AE257" t="s">
        <v>3887</v>
      </c>
      <c r="AF257">
        <v>0</v>
      </c>
      <c r="AG257" t="s">
        <v>66</v>
      </c>
      <c r="AH257" t="s">
        <v>56</v>
      </c>
      <c r="AI257">
        <v>1</v>
      </c>
      <c r="AJ257" t="s">
        <v>1627</v>
      </c>
      <c r="AK257" t="s">
        <v>56</v>
      </c>
      <c r="AL257" t="s">
        <v>56</v>
      </c>
      <c r="AM257" t="s">
        <v>56</v>
      </c>
      <c r="AN257" t="s">
        <v>56</v>
      </c>
      <c r="AO257" t="s">
        <v>4701</v>
      </c>
      <c r="AP257" t="s">
        <v>3971</v>
      </c>
      <c r="AQ257" t="s">
        <v>3972</v>
      </c>
      <c r="AR257" t="s">
        <v>3904</v>
      </c>
      <c r="AS257" t="s">
        <v>3905</v>
      </c>
      <c r="AT257" t="s">
        <v>4702</v>
      </c>
      <c r="AU257" t="s">
        <v>3907</v>
      </c>
      <c r="AV257" t="s">
        <v>3908</v>
      </c>
      <c r="AW257" t="s">
        <v>3909</v>
      </c>
      <c r="AX257">
        <v>12</v>
      </c>
      <c r="AY257">
        <v>2</v>
      </c>
      <c r="AZ257" t="s">
        <v>3897</v>
      </c>
      <c r="BA257">
        <v>10</v>
      </c>
      <c r="BB257" t="s">
        <v>3898</v>
      </c>
      <c r="BC257">
        <v>10</v>
      </c>
      <c r="BD257">
        <v>3</v>
      </c>
      <c r="BE257" t="s">
        <v>3911</v>
      </c>
      <c r="BF257">
        <v>40</v>
      </c>
      <c r="BG257">
        <v>13</v>
      </c>
      <c r="BH257" t="s">
        <v>3900</v>
      </c>
      <c r="BI257" t="s">
        <v>4703</v>
      </c>
      <c r="BJ257">
        <v>1</v>
      </c>
      <c r="BK257" t="s">
        <v>3902</v>
      </c>
    </row>
    <row r="258" spans="1:63" x14ac:dyDescent="0.25">
      <c r="A258">
        <v>4153</v>
      </c>
      <c r="B258" t="str">
        <f>"20200127182017045009"</f>
        <v>20200127182017045009</v>
      </c>
      <c r="C258">
        <v>1</v>
      </c>
      <c r="D258">
        <v>1</v>
      </c>
      <c r="E258" t="s">
        <v>3886</v>
      </c>
      <c r="F258">
        <v>2</v>
      </c>
      <c r="G258">
        <v>0</v>
      </c>
      <c r="H258" t="s">
        <v>66</v>
      </c>
      <c r="I258">
        <v>0</v>
      </c>
      <c r="J258" t="s">
        <v>66</v>
      </c>
      <c r="K258">
        <v>1</v>
      </c>
      <c r="L258" t="s">
        <v>1627</v>
      </c>
      <c r="M258" t="s">
        <v>4704</v>
      </c>
      <c r="N258">
        <v>1</v>
      </c>
      <c r="O258" t="s">
        <v>1627</v>
      </c>
      <c r="P258" t="s">
        <v>4705</v>
      </c>
      <c r="Q258">
        <v>0</v>
      </c>
      <c r="R258" t="s">
        <v>66</v>
      </c>
      <c r="S258" t="s">
        <v>56</v>
      </c>
      <c r="T258" t="s">
        <v>56</v>
      </c>
      <c r="U258" t="s">
        <v>56</v>
      </c>
      <c r="V258" t="s">
        <v>56</v>
      </c>
      <c r="W258">
        <v>0</v>
      </c>
      <c r="X258" t="s">
        <v>66</v>
      </c>
      <c r="Y258" t="s">
        <v>56</v>
      </c>
      <c r="Z258">
        <v>0</v>
      </c>
      <c r="AA258" t="s">
        <v>66</v>
      </c>
      <c r="AB258" t="s">
        <v>56</v>
      </c>
      <c r="AC258">
        <v>0</v>
      </c>
      <c r="AD258" t="s">
        <v>66</v>
      </c>
      <c r="AE258" t="s">
        <v>56</v>
      </c>
      <c r="AF258">
        <v>0</v>
      </c>
      <c r="AG258" t="s">
        <v>66</v>
      </c>
      <c r="AH258" t="s">
        <v>56</v>
      </c>
      <c r="AI258">
        <v>1</v>
      </c>
      <c r="AJ258" t="s">
        <v>1627</v>
      </c>
      <c r="AK258" t="s">
        <v>56</v>
      </c>
      <c r="AL258" t="s">
        <v>56</v>
      </c>
      <c r="AM258" t="s">
        <v>56</v>
      </c>
      <c r="AN258" t="s">
        <v>56</v>
      </c>
      <c r="AO258" t="s">
        <v>4050</v>
      </c>
      <c r="AP258" t="s">
        <v>3962</v>
      </c>
      <c r="AQ258" t="s">
        <v>3963</v>
      </c>
      <c r="AR258" t="s">
        <v>3941</v>
      </c>
      <c r="AS258" t="s">
        <v>3942</v>
      </c>
      <c r="AT258" t="s">
        <v>4706</v>
      </c>
      <c r="AU258" t="s">
        <v>3944</v>
      </c>
      <c r="AV258" t="s">
        <v>3945</v>
      </c>
      <c r="AW258" t="s">
        <v>3946</v>
      </c>
      <c r="AX258">
        <v>12</v>
      </c>
      <c r="AY258">
        <v>2</v>
      </c>
      <c r="AZ258" t="s">
        <v>3897</v>
      </c>
      <c r="BA258">
        <v>10</v>
      </c>
      <c r="BB258" t="s">
        <v>3898</v>
      </c>
      <c r="BC258">
        <v>30</v>
      </c>
      <c r="BD258">
        <v>3</v>
      </c>
      <c r="BE258" t="s">
        <v>3911</v>
      </c>
      <c r="BF258">
        <v>60</v>
      </c>
      <c r="BG258">
        <v>66</v>
      </c>
      <c r="BH258" t="s">
        <v>3965</v>
      </c>
      <c r="BI258" t="s">
        <v>4707</v>
      </c>
      <c r="BJ258">
        <v>1</v>
      </c>
      <c r="BK258" t="s">
        <v>3902</v>
      </c>
    </row>
    <row r="259" spans="1:63" x14ac:dyDescent="0.25">
      <c r="A259">
        <v>4154</v>
      </c>
      <c r="B259" t="str">
        <f>"20200127117017045212"</f>
        <v>20200127117017045212</v>
      </c>
      <c r="C259">
        <v>1</v>
      </c>
      <c r="D259">
        <v>1</v>
      </c>
      <c r="E259" t="s">
        <v>3886</v>
      </c>
      <c r="F259">
        <v>2</v>
      </c>
      <c r="G259">
        <v>0</v>
      </c>
      <c r="H259" t="s">
        <v>66</v>
      </c>
      <c r="I259">
        <v>0</v>
      </c>
      <c r="J259" t="s">
        <v>66</v>
      </c>
      <c r="K259">
        <v>1</v>
      </c>
      <c r="L259" t="s">
        <v>1627</v>
      </c>
      <c r="M259" t="s">
        <v>4708</v>
      </c>
      <c r="N259">
        <v>1</v>
      </c>
      <c r="O259" t="s">
        <v>1627</v>
      </c>
      <c r="P259" t="s">
        <v>4709</v>
      </c>
      <c r="Q259">
        <v>0</v>
      </c>
      <c r="R259" t="s">
        <v>66</v>
      </c>
      <c r="S259" t="s">
        <v>56</v>
      </c>
      <c r="T259" t="s">
        <v>56</v>
      </c>
      <c r="U259" t="s">
        <v>56</v>
      </c>
      <c r="V259" t="s">
        <v>56</v>
      </c>
      <c r="W259">
        <v>0</v>
      </c>
      <c r="X259" t="s">
        <v>66</v>
      </c>
      <c r="Y259" t="s">
        <v>56</v>
      </c>
      <c r="Z259">
        <v>0</v>
      </c>
      <c r="AA259" t="s">
        <v>66</v>
      </c>
      <c r="AB259" t="s">
        <v>56</v>
      </c>
      <c r="AC259">
        <v>0</v>
      </c>
      <c r="AD259" t="s">
        <v>66</v>
      </c>
      <c r="AE259" t="s">
        <v>56</v>
      </c>
      <c r="AF259">
        <v>0</v>
      </c>
      <c r="AG259" t="s">
        <v>66</v>
      </c>
      <c r="AH259" t="s">
        <v>56</v>
      </c>
      <c r="AI259">
        <v>1</v>
      </c>
      <c r="AJ259" t="s">
        <v>1627</v>
      </c>
      <c r="AK259" t="s">
        <v>56</v>
      </c>
      <c r="AL259" t="s">
        <v>56</v>
      </c>
      <c r="AM259" t="s">
        <v>56</v>
      </c>
      <c r="AN259" t="s">
        <v>56</v>
      </c>
      <c r="AO259" t="s">
        <v>4710</v>
      </c>
      <c r="AP259" t="s">
        <v>4077</v>
      </c>
      <c r="AQ259" t="s">
        <v>4078</v>
      </c>
      <c r="AR259" t="s">
        <v>3941</v>
      </c>
      <c r="AS259" t="s">
        <v>3942</v>
      </c>
      <c r="AT259" t="s">
        <v>4711</v>
      </c>
      <c r="AU259">
        <v>9000</v>
      </c>
      <c r="AV259" t="s">
        <v>3956</v>
      </c>
      <c r="AW259" t="s">
        <v>3956</v>
      </c>
      <c r="AX259">
        <v>1</v>
      </c>
      <c r="AY259">
        <v>3</v>
      </c>
      <c r="AZ259" t="s">
        <v>3911</v>
      </c>
      <c r="BA259">
        <v>10</v>
      </c>
      <c r="BB259" t="s">
        <v>3898</v>
      </c>
      <c r="BC259">
        <v>100</v>
      </c>
      <c r="BD259">
        <v>3</v>
      </c>
      <c r="BE259" t="s">
        <v>3911</v>
      </c>
      <c r="BF259">
        <v>100</v>
      </c>
      <c r="BG259">
        <v>66</v>
      </c>
      <c r="BH259" t="s">
        <v>3965</v>
      </c>
      <c r="BI259" t="s">
        <v>4712</v>
      </c>
      <c r="BJ259">
        <v>1</v>
      </c>
      <c r="BK259" t="s">
        <v>3902</v>
      </c>
    </row>
    <row r="260" spans="1:63" x14ac:dyDescent="0.25">
      <c r="A260">
        <v>4155</v>
      </c>
      <c r="B260" t="str">
        <f>"20200127159017045236"</f>
        <v>20200127159017045236</v>
      </c>
      <c r="C260">
        <v>1</v>
      </c>
      <c r="D260">
        <v>1</v>
      </c>
      <c r="E260" t="s">
        <v>3886</v>
      </c>
      <c r="F260">
        <v>1</v>
      </c>
      <c r="G260">
        <v>0</v>
      </c>
      <c r="H260" t="s">
        <v>66</v>
      </c>
      <c r="I260">
        <v>0</v>
      </c>
      <c r="J260" t="s">
        <v>66</v>
      </c>
      <c r="K260">
        <v>0</v>
      </c>
      <c r="L260" t="s">
        <v>66</v>
      </c>
      <c r="M260" t="s">
        <v>56</v>
      </c>
      <c r="N260">
        <v>0</v>
      </c>
      <c r="O260" t="s">
        <v>66</v>
      </c>
      <c r="P260" t="s">
        <v>56</v>
      </c>
      <c r="Q260">
        <v>0</v>
      </c>
      <c r="R260" t="s">
        <v>66</v>
      </c>
      <c r="S260" t="s">
        <v>56</v>
      </c>
      <c r="T260">
        <v>1</v>
      </c>
      <c r="U260" t="s">
        <v>1627</v>
      </c>
      <c r="V260" t="s">
        <v>56</v>
      </c>
      <c r="W260">
        <v>0</v>
      </c>
      <c r="X260" t="s">
        <v>66</v>
      </c>
      <c r="Y260" t="s">
        <v>56</v>
      </c>
      <c r="Z260">
        <v>0</v>
      </c>
      <c r="AA260" t="s">
        <v>66</v>
      </c>
      <c r="AB260" t="s">
        <v>56</v>
      </c>
      <c r="AC260">
        <v>1</v>
      </c>
      <c r="AD260" t="s">
        <v>1627</v>
      </c>
      <c r="AE260" t="s">
        <v>3887</v>
      </c>
      <c r="AF260">
        <v>0</v>
      </c>
      <c r="AG260" t="s">
        <v>66</v>
      </c>
      <c r="AH260" t="s">
        <v>56</v>
      </c>
      <c r="AI260">
        <v>1</v>
      </c>
      <c r="AJ260" t="s">
        <v>1627</v>
      </c>
      <c r="AK260" t="s">
        <v>56</v>
      </c>
      <c r="AL260" t="s">
        <v>56</v>
      </c>
      <c r="AM260" t="s">
        <v>56</v>
      </c>
      <c r="AN260" t="s">
        <v>56</v>
      </c>
      <c r="AO260" t="s">
        <v>4391</v>
      </c>
      <c r="AP260" t="s">
        <v>3889</v>
      </c>
      <c r="AQ260" t="s">
        <v>3890</v>
      </c>
      <c r="AR260" t="s">
        <v>3941</v>
      </c>
      <c r="AS260" t="s">
        <v>3942</v>
      </c>
      <c r="AT260" t="s">
        <v>4713</v>
      </c>
      <c r="AU260" t="s">
        <v>3894</v>
      </c>
      <c r="AV260" t="s">
        <v>3895</v>
      </c>
      <c r="AW260" t="s">
        <v>3896</v>
      </c>
      <c r="AX260">
        <v>1</v>
      </c>
      <c r="AY260">
        <v>7</v>
      </c>
      <c r="AZ260" t="s">
        <v>4308</v>
      </c>
      <c r="BA260">
        <v>10</v>
      </c>
      <c r="BB260" t="s">
        <v>3898</v>
      </c>
      <c r="BC260">
        <v>1</v>
      </c>
      <c r="BD260">
        <v>3</v>
      </c>
      <c r="BE260" t="s">
        <v>3911</v>
      </c>
      <c r="BF260">
        <v>1</v>
      </c>
      <c r="BG260">
        <v>13</v>
      </c>
      <c r="BH260" t="s">
        <v>3900</v>
      </c>
      <c r="BI260" t="s">
        <v>4714</v>
      </c>
      <c r="BJ260">
        <v>1</v>
      </c>
      <c r="BK260" t="s">
        <v>3902</v>
      </c>
    </row>
    <row r="261" spans="1:63" x14ac:dyDescent="0.25">
      <c r="A261">
        <v>4158</v>
      </c>
      <c r="B261" t="str">
        <f>"20200127170017045630"</f>
        <v>20200127170017045630</v>
      </c>
      <c r="C261">
        <v>1</v>
      </c>
      <c r="D261">
        <v>1</v>
      </c>
      <c r="E261" t="s">
        <v>3886</v>
      </c>
      <c r="F261">
        <v>1</v>
      </c>
      <c r="G261">
        <v>0</v>
      </c>
      <c r="H261" t="s">
        <v>66</v>
      </c>
      <c r="I261">
        <v>0</v>
      </c>
      <c r="J261" t="s">
        <v>66</v>
      </c>
      <c r="K261">
        <v>1</v>
      </c>
      <c r="L261" t="s">
        <v>1627</v>
      </c>
      <c r="M261" t="s">
        <v>4116</v>
      </c>
      <c r="N261">
        <v>1</v>
      </c>
      <c r="O261" t="s">
        <v>1627</v>
      </c>
      <c r="P261" t="s">
        <v>4715</v>
      </c>
      <c r="Q261">
        <v>0</v>
      </c>
      <c r="R261" t="s">
        <v>66</v>
      </c>
      <c r="S261" t="s">
        <v>56</v>
      </c>
      <c r="T261" t="s">
        <v>56</v>
      </c>
      <c r="U261" t="s">
        <v>56</v>
      </c>
      <c r="V261" t="s">
        <v>56</v>
      </c>
      <c r="W261">
        <v>0</v>
      </c>
      <c r="X261" t="s">
        <v>66</v>
      </c>
      <c r="Y261" t="s">
        <v>56</v>
      </c>
      <c r="Z261">
        <v>0</v>
      </c>
      <c r="AA261" t="s">
        <v>66</v>
      </c>
      <c r="AB261" t="s">
        <v>56</v>
      </c>
      <c r="AC261">
        <v>0</v>
      </c>
      <c r="AD261" t="s">
        <v>66</v>
      </c>
      <c r="AE261" t="s">
        <v>56</v>
      </c>
      <c r="AF261">
        <v>0</v>
      </c>
      <c r="AG261" t="s">
        <v>66</v>
      </c>
      <c r="AH261" t="s">
        <v>56</v>
      </c>
      <c r="AI261">
        <v>1</v>
      </c>
      <c r="AJ261" t="s">
        <v>1627</v>
      </c>
      <c r="AK261" t="s">
        <v>56</v>
      </c>
      <c r="AL261" t="s">
        <v>56</v>
      </c>
      <c r="AM261" t="s">
        <v>56</v>
      </c>
      <c r="AN261" t="s">
        <v>56</v>
      </c>
      <c r="AO261" t="s">
        <v>4424</v>
      </c>
      <c r="AP261" t="s">
        <v>3939</v>
      </c>
      <c r="AQ261" t="s">
        <v>3940</v>
      </c>
      <c r="AR261" t="s">
        <v>3941</v>
      </c>
      <c r="AS261" t="s">
        <v>3942</v>
      </c>
      <c r="AT261" t="s">
        <v>4716</v>
      </c>
      <c r="AU261" t="s">
        <v>3944</v>
      </c>
      <c r="AV261" t="s">
        <v>3945</v>
      </c>
      <c r="AW261" t="s">
        <v>3946</v>
      </c>
      <c r="AX261">
        <v>24</v>
      </c>
      <c r="AY261">
        <v>2</v>
      </c>
      <c r="AZ261" t="s">
        <v>3897</v>
      </c>
      <c r="BA261">
        <v>10</v>
      </c>
      <c r="BB261" t="s">
        <v>3898</v>
      </c>
      <c r="BC261">
        <v>3</v>
      </c>
      <c r="BD261">
        <v>5</v>
      </c>
      <c r="BE261" t="s">
        <v>3899</v>
      </c>
      <c r="BF261">
        <v>90</v>
      </c>
      <c r="BG261">
        <v>14</v>
      </c>
      <c r="BH261" t="s">
        <v>3947</v>
      </c>
      <c r="BI261" t="s">
        <v>4426</v>
      </c>
      <c r="BJ261">
        <v>1</v>
      </c>
      <c r="BK261" t="s">
        <v>3902</v>
      </c>
    </row>
    <row r="262" spans="1:63" x14ac:dyDescent="0.25">
      <c r="A262">
        <v>4159</v>
      </c>
      <c r="B262" t="str">
        <f>"20200127180017045711"</f>
        <v>20200127180017045711</v>
      </c>
      <c r="C262">
        <v>1</v>
      </c>
      <c r="D262">
        <v>1</v>
      </c>
      <c r="E262" t="s">
        <v>3886</v>
      </c>
      <c r="F262">
        <v>2</v>
      </c>
      <c r="G262">
        <v>0</v>
      </c>
      <c r="H262" t="s">
        <v>66</v>
      </c>
      <c r="I262">
        <v>0</v>
      </c>
      <c r="J262" t="s">
        <v>66</v>
      </c>
      <c r="K262">
        <v>0</v>
      </c>
      <c r="L262" t="s">
        <v>66</v>
      </c>
      <c r="M262" t="s">
        <v>56</v>
      </c>
      <c r="N262">
        <v>0</v>
      </c>
      <c r="O262" t="s">
        <v>66</v>
      </c>
      <c r="P262" t="s">
        <v>56</v>
      </c>
      <c r="Q262">
        <v>0</v>
      </c>
      <c r="R262" t="s">
        <v>66</v>
      </c>
      <c r="S262" t="s">
        <v>56</v>
      </c>
      <c r="T262">
        <v>1</v>
      </c>
      <c r="U262" t="s">
        <v>1627</v>
      </c>
      <c r="V262" t="s">
        <v>56</v>
      </c>
      <c r="W262">
        <v>0</v>
      </c>
      <c r="X262" t="s">
        <v>66</v>
      </c>
      <c r="Y262" t="s">
        <v>56</v>
      </c>
      <c r="Z262">
        <v>0</v>
      </c>
      <c r="AA262" t="s">
        <v>66</v>
      </c>
      <c r="AB262" t="s">
        <v>56</v>
      </c>
      <c r="AC262">
        <v>1</v>
      </c>
      <c r="AD262" t="s">
        <v>1627</v>
      </c>
      <c r="AE262" t="s">
        <v>3887</v>
      </c>
      <c r="AF262">
        <v>0</v>
      </c>
      <c r="AG262" t="s">
        <v>66</v>
      </c>
      <c r="AH262" t="s">
        <v>56</v>
      </c>
      <c r="AI262">
        <v>1</v>
      </c>
      <c r="AJ262" t="s">
        <v>1627</v>
      </c>
      <c r="AK262" t="s">
        <v>56</v>
      </c>
      <c r="AL262" t="s">
        <v>56</v>
      </c>
      <c r="AM262" t="s">
        <v>56</v>
      </c>
      <c r="AN262" t="s">
        <v>56</v>
      </c>
      <c r="AO262" t="s">
        <v>4701</v>
      </c>
      <c r="AP262" t="s">
        <v>3971</v>
      </c>
      <c r="AQ262" t="s">
        <v>3972</v>
      </c>
      <c r="AR262" t="s">
        <v>3904</v>
      </c>
      <c r="AS262" t="s">
        <v>3905</v>
      </c>
      <c r="AT262" t="s">
        <v>4717</v>
      </c>
      <c r="AU262" t="s">
        <v>3907</v>
      </c>
      <c r="AV262" t="s">
        <v>3908</v>
      </c>
      <c r="AW262" t="s">
        <v>3909</v>
      </c>
      <c r="AX262">
        <v>24</v>
      </c>
      <c r="AY262">
        <v>2</v>
      </c>
      <c r="AZ262" t="s">
        <v>3897</v>
      </c>
      <c r="BA262">
        <v>5</v>
      </c>
      <c r="BB262" t="s">
        <v>3910</v>
      </c>
      <c r="BC262">
        <v>10</v>
      </c>
      <c r="BD262">
        <v>3</v>
      </c>
      <c r="BE262" t="s">
        <v>3911</v>
      </c>
      <c r="BF262">
        <v>10</v>
      </c>
      <c r="BG262" t="s">
        <v>3912</v>
      </c>
      <c r="BH262" t="s">
        <v>3913</v>
      </c>
      <c r="BI262" t="s">
        <v>4718</v>
      </c>
      <c r="BJ262">
        <v>1</v>
      </c>
      <c r="BK262" t="s">
        <v>3902</v>
      </c>
    </row>
    <row r="263" spans="1:63" x14ac:dyDescent="0.25">
      <c r="A263">
        <v>4160</v>
      </c>
      <c r="B263" t="str">
        <f>"20200127124017046416"</f>
        <v>20200127124017046416</v>
      </c>
      <c r="C263">
        <v>1</v>
      </c>
      <c r="D263">
        <v>1</v>
      </c>
      <c r="E263" t="s">
        <v>3886</v>
      </c>
      <c r="F263">
        <v>2</v>
      </c>
      <c r="G263">
        <v>0</v>
      </c>
      <c r="H263" t="s">
        <v>66</v>
      </c>
      <c r="I263">
        <v>0</v>
      </c>
      <c r="J263" t="s">
        <v>66</v>
      </c>
      <c r="K263">
        <v>0</v>
      </c>
      <c r="L263" t="s">
        <v>66</v>
      </c>
      <c r="M263" t="s">
        <v>56</v>
      </c>
      <c r="N263">
        <v>0</v>
      </c>
      <c r="O263" t="s">
        <v>66</v>
      </c>
      <c r="P263" t="s">
        <v>56</v>
      </c>
      <c r="Q263">
        <v>0</v>
      </c>
      <c r="R263" t="s">
        <v>66</v>
      </c>
      <c r="S263" t="s">
        <v>56</v>
      </c>
      <c r="T263">
        <v>1</v>
      </c>
      <c r="U263" t="s">
        <v>1627</v>
      </c>
      <c r="V263" t="s">
        <v>4419</v>
      </c>
      <c r="W263">
        <v>0</v>
      </c>
      <c r="X263" t="s">
        <v>66</v>
      </c>
      <c r="Y263" t="s">
        <v>56</v>
      </c>
      <c r="Z263">
        <v>0</v>
      </c>
      <c r="AA263" t="s">
        <v>66</v>
      </c>
      <c r="AB263" t="s">
        <v>56</v>
      </c>
      <c r="AC263">
        <v>0</v>
      </c>
      <c r="AD263" t="s">
        <v>66</v>
      </c>
      <c r="AE263" t="s">
        <v>56</v>
      </c>
      <c r="AF263">
        <v>1</v>
      </c>
      <c r="AG263" t="s">
        <v>1627</v>
      </c>
      <c r="AH263" t="s">
        <v>4719</v>
      </c>
      <c r="AI263" t="s">
        <v>56</v>
      </c>
      <c r="AJ263" t="s">
        <v>56</v>
      </c>
      <c r="AK263" t="s">
        <v>56</v>
      </c>
      <c r="AL263" t="s">
        <v>56</v>
      </c>
      <c r="AM263" t="s">
        <v>56</v>
      </c>
      <c r="AN263" t="s">
        <v>56</v>
      </c>
      <c r="AO263" t="s">
        <v>4421</v>
      </c>
      <c r="AP263" t="s">
        <v>3889</v>
      </c>
      <c r="AQ263" t="s">
        <v>3890</v>
      </c>
      <c r="AR263" t="s">
        <v>3904</v>
      </c>
      <c r="AS263" t="s">
        <v>3905</v>
      </c>
      <c r="AT263" t="s">
        <v>4720</v>
      </c>
      <c r="AU263" t="s">
        <v>3944</v>
      </c>
      <c r="AV263" t="s">
        <v>3945</v>
      </c>
      <c r="AW263" t="s">
        <v>3946</v>
      </c>
      <c r="AX263">
        <v>24</v>
      </c>
      <c r="AY263">
        <v>2</v>
      </c>
      <c r="AZ263" t="s">
        <v>3897</v>
      </c>
      <c r="BA263">
        <v>10</v>
      </c>
      <c r="BB263" t="s">
        <v>3898</v>
      </c>
      <c r="BC263">
        <v>15</v>
      </c>
      <c r="BD263">
        <v>3</v>
      </c>
      <c r="BE263" t="s">
        <v>3911</v>
      </c>
      <c r="BF263">
        <v>15</v>
      </c>
      <c r="BG263">
        <v>75</v>
      </c>
      <c r="BH263" t="s">
        <v>4017</v>
      </c>
      <c r="BI263" t="s">
        <v>4721</v>
      </c>
      <c r="BJ263">
        <v>1</v>
      </c>
      <c r="BK263" t="s">
        <v>3902</v>
      </c>
    </row>
    <row r="264" spans="1:63" x14ac:dyDescent="0.25">
      <c r="A264">
        <v>4161</v>
      </c>
      <c r="B264" t="str">
        <f>"20200127173017046619"</f>
        <v>20200127173017046619</v>
      </c>
      <c r="C264">
        <v>1</v>
      </c>
      <c r="D264">
        <v>1</v>
      </c>
      <c r="E264" t="s">
        <v>3886</v>
      </c>
      <c r="F264">
        <v>2</v>
      </c>
      <c r="G264">
        <v>0</v>
      </c>
      <c r="H264" t="s">
        <v>66</v>
      </c>
      <c r="I264">
        <v>0</v>
      </c>
      <c r="J264" t="s">
        <v>66</v>
      </c>
      <c r="K264">
        <v>1</v>
      </c>
      <c r="L264" t="s">
        <v>1627</v>
      </c>
      <c r="M264" t="s">
        <v>4524</v>
      </c>
      <c r="N264">
        <v>1</v>
      </c>
      <c r="O264" t="s">
        <v>1627</v>
      </c>
      <c r="P264" t="s">
        <v>4625</v>
      </c>
      <c r="Q264">
        <v>0</v>
      </c>
      <c r="R264" t="s">
        <v>66</v>
      </c>
      <c r="S264" t="s">
        <v>56</v>
      </c>
      <c r="T264" t="s">
        <v>56</v>
      </c>
      <c r="U264" t="s">
        <v>56</v>
      </c>
      <c r="V264" t="s">
        <v>56</v>
      </c>
      <c r="W264">
        <v>0</v>
      </c>
      <c r="X264" t="s">
        <v>66</v>
      </c>
      <c r="Y264" t="s">
        <v>56</v>
      </c>
      <c r="Z264">
        <v>0</v>
      </c>
      <c r="AA264" t="s">
        <v>66</v>
      </c>
      <c r="AB264" t="s">
        <v>56</v>
      </c>
      <c r="AC264">
        <v>0</v>
      </c>
      <c r="AD264" t="s">
        <v>66</v>
      </c>
      <c r="AE264" t="s">
        <v>56</v>
      </c>
      <c r="AF264">
        <v>0</v>
      </c>
      <c r="AG264" t="s">
        <v>66</v>
      </c>
      <c r="AH264" t="s">
        <v>56</v>
      </c>
      <c r="AI264">
        <v>1</v>
      </c>
      <c r="AJ264" t="s">
        <v>1627</v>
      </c>
      <c r="AK264">
        <v>0</v>
      </c>
      <c r="AL264" t="s">
        <v>66</v>
      </c>
      <c r="AM264" t="s">
        <v>56</v>
      </c>
      <c r="AN264" t="s">
        <v>56</v>
      </c>
      <c r="AO264" t="s">
        <v>4526</v>
      </c>
      <c r="AP264" t="s">
        <v>3962</v>
      </c>
      <c r="AQ264" t="s">
        <v>3963</v>
      </c>
      <c r="AR264" t="s">
        <v>3941</v>
      </c>
      <c r="AS264" t="s">
        <v>3942</v>
      </c>
      <c r="AT264" t="s">
        <v>4722</v>
      </c>
      <c r="AU264">
        <v>9000</v>
      </c>
      <c r="AV264" t="s">
        <v>3956</v>
      </c>
      <c r="AW264" t="s">
        <v>3956</v>
      </c>
      <c r="AX264">
        <v>1</v>
      </c>
      <c r="AY264">
        <v>3</v>
      </c>
      <c r="AZ264" t="s">
        <v>3911</v>
      </c>
      <c r="BA264">
        <v>10</v>
      </c>
      <c r="BB264" t="s">
        <v>3898</v>
      </c>
      <c r="BC264">
        <v>4</v>
      </c>
      <c r="BD264">
        <v>5</v>
      </c>
      <c r="BE264" t="s">
        <v>3899</v>
      </c>
      <c r="BF264">
        <v>120</v>
      </c>
      <c r="BG264">
        <v>66</v>
      </c>
      <c r="BH264" t="s">
        <v>3965</v>
      </c>
      <c r="BI264" t="s">
        <v>4723</v>
      </c>
      <c r="BJ264">
        <v>1</v>
      </c>
      <c r="BK264" t="s">
        <v>3902</v>
      </c>
    </row>
    <row r="265" spans="1:63" x14ac:dyDescent="0.25">
      <c r="A265">
        <v>4162</v>
      </c>
      <c r="B265" t="str">
        <f>"20200127137017046678"</f>
        <v>20200127137017046678</v>
      </c>
      <c r="C265">
        <v>1</v>
      </c>
      <c r="D265">
        <v>1</v>
      </c>
      <c r="E265" t="s">
        <v>3886</v>
      </c>
      <c r="F265">
        <v>1</v>
      </c>
      <c r="G265">
        <v>0</v>
      </c>
      <c r="H265" t="s">
        <v>66</v>
      </c>
      <c r="I265">
        <v>0</v>
      </c>
      <c r="J265" t="s">
        <v>66</v>
      </c>
      <c r="K265">
        <v>1</v>
      </c>
      <c r="L265" t="s">
        <v>1627</v>
      </c>
      <c r="M265" t="s">
        <v>4372</v>
      </c>
      <c r="N265">
        <v>1</v>
      </c>
      <c r="O265" t="s">
        <v>1627</v>
      </c>
      <c r="P265" t="s">
        <v>4724</v>
      </c>
      <c r="Q265">
        <v>0</v>
      </c>
      <c r="R265" t="s">
        <v>66</v>
      </c>
      <c r="S265" t="s">
        <v>56</v>
      </c>
      <c r="T265" t="s">
        <v>56</v>
      </c>
      <c r="U265" t="s">
        <v>56</v>
      </c>
      <c r="V265" t="s">
        <v>56</v>
      </c>
      <c r="W265">
        <v>0</v>
      </c>
      <c r="X265" t="s">
        <v>66</v>
      </c>
      <c r="Y265" t="s">
        <v>56</v>
      </c>
      <c r="Z265">
        <v>0</v>
      </c>
      <c r="AA265" t="s">
        <v>66</v>
      </c>
      <c r="AB265" t="s">
        <v>56</v>
      </c>
      <c r="AC265">
        <v>0</v>
      </c>
      <c r="AD265" t="s">
        <v>66</v>
      </c>
      <c r="AE265" t="s">
        <v>56</v>
      </c>
      <c r="AF265">
        <v>0</v>
      </c>
      <c r="AG265" t="s">
        <v>66</v>
      </c>
      <c r="AH265" t="s">
        <v>56</v>
      </c>
      <c r="AI265">
        <v>1</v>
      </c>
      <c r="AJ265" t="s">
        <v>1627</v>
      </c>
      <c r="AK265" t="s">
        <v>56</v>
      </c>
      <c r="AL265" t="s">
        <v>56</v>
      </c>
      <c r="AM265" t="s">
        <v>56</v>
      </c>
      <c r="AN265" t="s">
        <v>56</v>
      </c>
      <c r="AO265" t="s">
        <v>4374</v>
      </c>
      <c r="AP265" t="s">
        <v>4375</v>
      </c>
      <c r="AQ265" t="s">
        <v>4376</v>
      </c>
      <c r="AR265" t="s">
        <v>4071</v>
      </c>
      <c r="AS265" t="s">
        <v>4072</v>
      </c>
      <c r="AT265" t="s">
        <v>4725</v>
      </c>
      <c r="AU265">
        <v>9000</v>
      </c>
      <c r="AV265" t="s">
        <v>3956</v>
      </c>
      <c r="AW265" t="s">
        <v>3956</v>
      </c>
      <c r="AX265">
        <v>72</v>
      </c>
      <c r="AY265">
        <v>2</v>
      </c>
      <c r="AZ265" t="s">
        <v>3897</v>
      </c>
      <c r="BA265">
        <v>10</v>
      </c>
      <c r="BB265" t="s">
        <v>3898</v>
      </c>
      <c r="BC265">
        <v>20</v>
      </c>
      <c r="BD265">
        <v>3</v>
      </c>
      <c r="BE265" t="s">
        <v>3911</v>
      </c>
      <c r="BF265">
        <v>1</v>
      </c>
      <c r="BG265">
        <v>73</v>
      </c>
      <c r="BH265" t="s">
        <v>3999</v>
      </c>
      <c r="BI265" t="s">
        <v>4726</v>
      </c>
      <c r="BJ265">
        <v>1</v>
      </c>
      <c r="BK265" t="s">
        <v>3902</v>
      </c>
    </row>
    <row r="266" spans="1:63" x14ac:dyDescent="0.25">
      <c r="A266">
        <v>4163</v>
      </c>
      <c r="B266" t="str">
        <f>"20200127164017046965"</f>
        <v>20200127164017046965</v>
      </c>
      <c r="C266">
        <v>1</v>
      </c>
      <c r="D266">
        <v>1</v>
      </c>
      <c r="E266" t="s">
        <v>3886</v>
      </c>
      <c r="F266">
        <v>2</v>
      </c>
      <c r="G266">
        <v>0</v>
      </c>
      <c r="H266" t="s">
        <v>66</v>
      </c>
      <c r="I266">
        <v>0</v>
      </c>
      <c r="J266" t="s">
        <v>66</v>
      </c>
      <c r="K266">
        <v>1</v>
      </c>
      <c r="L266" t="s">
        <v>1627</v>
      </c>
      <c r="M266" t="s">
        <v>4116</v>
      </c>
      <c r="N266">
        <v>1</v>
      </c>
      <c r="O266" t="s">
        <v>1627</v>
      </c>
      <c r="P266" t="s">
        <v>4625</v>
      </c>
      <c r="Q266">
        <v>0</v>
      </c>
      <c r="R266" t="s">
        <v>66</v>
      </c>
      <c r="S266" t="s">
        <v>56</v>
      </c>
      <c r="T266" t="s">
        <v>56</v>
      </c>
      <c r="U266" t="s">
        <v>56</v>
      </c>
      <c r="V266" t="s">
        <v>56</v>
      </c>
      <c r="W266">
        <v>0</v>
      </c>
      <c r="X266" t="s">
        <v>66</v>
      </c>
      <c r="Y266" t="s">
        <v>56</v>
      </c>
      <c r="Z266">
        <v>0</v>
      </c>
      <c r="AA266" t="s">
        <v>66</v>
      </c>
      <c r="AB266" t="s">
        <v>56</v>
      </c>
      <c r="AC266">
        <v>0</v>
      </c>
      <c r="AD266" t="s">
        <v>66</v>
      </c>
      <c r="AE266" t="s">
        <v>56</v>
      </c>
      <c r="AF266">
        <v>0</v>
      </c>
      <c r="AG266" t="s">
        <v>66</v>
      </c>
      <c r="AH266" t="s">
        <v>56</v>
      </c>
      <c r="AI266">
        <v>1</v>
      </c>
      <c r="AJ266" t="s">
        <v>1627</v>
      </c>
      <c r="AK266" t="s">
        <v>56</v>
      </c>
      <c r="AL266" t="s">
        <v>56</v>
      </c>
      <c r="AM266" t="s">
        <v>56</v>
      </c>
      <c r="AN266" t="s">
        <v>56</v>
      </c>
      <c r="AO266" t="s">
        <v>4727</v>
      </c>
      <c r="AP266" t="s">
        <v>3962</v>
      </c>
      <c r="AQ266" t="s">
        <v>3963</v>
      </c>
      <c r="AR266" t="s">
        <v>3941</v>
      </c>
      <c r="AS266" t="s">
        <v>3942</v>
      </c>
      <c r="AT266" t="s">
        <v>4728</v>
      </c>
      <c r="AU266">
        <v>9000</v>
      </c>
      <c r="AV266" t="s">
        <v>3956</v>
      </c>
      <c r="AW266" t="s">
        <v>3956</v>
      </c>
      <c r="AX266">
        <v>1</v>
      </c>
      <c r="AY266">
        <v>3</v>
      </c>
      <c r="AZ266" t="s">
        <v>3911</v>
      </c>
      <c r="BA266">
        <v>10</v>
      </c>
      <c r="BB266" t="s">
        <v>3898</v>
      </c>
      <c r="BC266">
        <v>1</v>
      </c>
      <c r="BD266">
        <v>6</v>
      </c>
      <c r="BE266" t="s">
        <v>4216</v>
      </c>
      <c r="BF266">
        <v>360</v>
      </c>
      <c r="BG266">
        <v>66</v>
      </c>
      <c r="BH266" t="s">
        <v>3965</v>
      </c>
      <c r="BI266" t="s">
        <v>4723</v>
      </c>
      <c r="BJ266">
        <v>1</v>
      </c>
      <c r="BK266" t="s">
        <v>3902</v>
      </c>
    </row>
    <row r="267" spans="1:63" x14ac:dyDescent="0.25">
      <c r="A267">
        <v>4164</v>
      </c>
      <c r="B267" t="str">
        <f>"20200127191017047446"</f>
        <v>20200127191017047446</v>
      </c>
      <c r="C267">
        <v>1</v>
      </c>
      <c r="D267">
        <v>1</v>
      </c>
      <c r="E267" t="s">
        <v>3886</v>
      </c>
      <c r="F267">
        <v>1</v>
      </c>
      <c r="G267">
        <v>0</v>
      </c>
      <c r="H267" t="s">
        <v>66</v>
      </c>
      <c r="I267">
        <v>0</v>
      </c>
      <c r="J267" t="s">
        <v>66</v>
      </c>
      <c r="K267">
        <v>1</v>
      </c>
      <c r="L267" t="s">
        <v>1627</v>
      </c>
      <c r="M267" t="s">
        <v>4729</v>
      </c>
      <c r="N267">
        <v>1</v>
      </c>
      <c r="O267" t="s">
        <v>1627</v>
      </c>
      <c r="P267" t="s">
        <v>4730</v>
      </c>
      <c r="Q267">
        <v>0</v>
      </c>
      <c r="R267" t="s">
        <v>66</v>
      </c>
      <c r="S267" t="s">
        <v>56</v>
      </c>
      <c r="T267" t="s">
        <v>56</v>
      </c>
      <c r="U267" t="s">
        <v>56</v>
      </c>
      <c r="V267" t="s">
        <v>56</v>
      </c>
      <c r="W267">
        <v>0</v>
      </c>
      <c r="X267" t="s">
        <v>66</v>
      </c>
      <c r="Y267" t="s">
        <v>56</v>
      </c>
      <c r="Z267">
        <v>0</v>
      </c>
      <c r="AA267" t="s">
        <v>66</v>
      </c>
      <c r="AB267" t="s">
        <v>56</v>
      </c>
      <c r="AC267">
        <v>0</v>
      </c>
      <c r="AD267" t="s">
        <v>66</v>
      </c>
      <c r="AE267" t="s">
        <v>56</v>
      </c>
      <c r="AF267">
        <v>0</v>
      </c>
      <c r="AG267" t="s">
        <v>66</v>
      </c>
      <c r="AH267" t="s">
        <v>56</v>
      </c>
      <c r="AI267">
        <v>1</v>
      </c>
      <c r="AJ267" t="s">
        <v>1627</v>
      </c>
      <c r="AK267" t="s">
        <v>56</v>
      </c>
      <c r="AL267" t="s">
        <v>56</v>
      </c>
      <c r="AM267" t="s">
        <v>56</v>
      </c>
      <c r="AN267" t="s">
        <v>56</v>
      </c>
      <c r="AO267" t="s">
        <v>4731</v>
      </c>
      <c r="AP267" t="s">
        <v>4069</v>
      </c>
      <c r="AQ267" t="s">
        <v>4070</v>
      </c>
      <c r="AR267" t="s">
        <v>4071</v>
      </c>
      <c r="AS267" t="s">
        <v>4072</v>
      </c>
      <c r="AT267" t="s">
        <v>4732</v>
      </c>
      <c r="AU267">
        <v>9000</v>
      </c>
      <c r="AV267" t="s">
        <v>3956</v>
      </c>
      <c r="AW267" t="s">
        <v>3956</v>
      </c>
      <c r="AX267">
        <v>24</v>
      </c>
      <c r="AY267">
        <v>2</v>
      </c>
      <c r="AZ267" t="s">
        <v>3897</v>
      </c>
      <c r="BA267">
        <v>10</v>
      </c>
      <c r="BB267" t="s">
        <v>3898</v>
      </c>
      <c r="BC267">
        <v>20</v>
      </c>
      <c r="BD267">
        <v>3</v>
      </c>
      <c r="BE267" t="s">
        <v>3911</v>
      </c>
      <c r="BF267">
        <v>1</v>
      </c>
      <c r="BG267">
        <v>73</v>
      </c>
      <c r="BH267" t="s">
        <v>3999</v>
      </c>
      <c r="BI267" t="s">
        <v>4733</v>
      </c>
      <c r="BJ267">
        <v>1</v>
      </c>
      <c r="BK267" t="s">
        <v>3902</v>
      </c>
    </row>
    <row r="268" spans="1:63" x14ac:dyDescent="0.25">
      <c r="A268">
        <v>4165</v>
      </c>
      <c r="B268" t="str">
        <f>"20200127124017047971"</f>
        <v>20200127124017047971</v>
      </c>
      <c r="C268">
        <v>1</v>
      </c>
      <c r="D268">
        <v>1</v>
      </c>
      <c r="E268" t="s">
        <v>3886</v>
      </c>
      <c r="F268">
        <v>2</v>
      </c>
      <c r="G268">
        <v>0</v>
      </c>
      <c r="H268" t="s">
        <v>66</v>
      </c>
      <c r="I268">
        <v>0</v>
      </c>
      <c r="J268" t="s">
        <v>66</v>
      </c>
      <c r="K268">
        <v>0</v>
      </c>
      <c r="L268" t="s">
        <v>66</v>
      </c>
      <c r="M268" t="s">
        <v>56</v>
      </c>
      <c r="N268">
        <v>0</v>
      </c>
      <c r="O268" t="s">
        <v>66</v>
      </c>
      <c r="P268" t="s">
        <v>56</v>
      </c>
      <c r="Q268">
        <v>0</v>
      </c>
      <c r="R268" t="s">
        <v>66</v>
      </c>
      <c r="S268" t="s">
        <v>56</v>
      </c>
      <c r="T268">
        <v>1</v>
      </c>
      <c r="U268" t="s">
        <v>1627</v>
      </c>
      <c r="V268" t="s">
        <v>56</v>
      </c>
      <c r="W268">
        <v>0</v>
      </c>
      <c r="X268" t="s">
        <v>66</v>
      </c>
      <c r="Y268" t="s">
        <v>56</v>
      </c>
      <c r="Z268">
        <v>0</v>
      </c>
      <c r="AA268" t="s">
        <v>66</v>
      </c>
      <c r="AB268" t="s">
        <v>56</v>
      </c>
      <c r="AC268">
        <v>1</v>
      </c>
      <c r="AD268" t="s">
        <v>1627</v>
      </c>
      <c r="AE268" t="s">
        <v>3887</v>
      </c>
      <c r="AF268">
        <v>0</v>
      </c>
      <c r="AG268" t="s">
        <v>66</v>
      </c>
      <c r="AH268" t="s">
        <v>56</v>
      </c>
      <c r="AI268">
        <v>1</v>
      </c>
      <c r="AJ268" t="s">
        <v>1627</v>
      </c>
      <c r="AK268" t="s">
        <v>56</v>
      </c>
      <c r="AL268" t="s">
        <v>56</v>
      </c>
      <c r="AM268" t="s">
        <v>56</v>
      </c>
      <c r="AN268" t="s">
        <v>56</v>
      </c>
      <c r="AO268" t="s">
        <v>4050</v>
      </c>
      <c r="AP268" t="s">
        <v>3962</v>
      </c>
      <c r="AQ268" t="s">
        <v>3963</v>
      </c>
      <c r="AR268" t="s">
        <v>3941</v>
      </c>
      <c r="AS268" t="s">
        <v>3942</v>
      </c>
      <c r="AT268" t="s">
        <v>4734</v>
      </c>
      <c r="AU268" t="s">
        <v>4026</v>
      </c>
      <c r="AV268" t="s">
        <v>4027</v>
      </c>
      <c r="AW268" t="s">
        <v>4028</v>
      </c>
      <c r="AX268">
        <v>8</v>
      </c>
      <c r="AY268">
        <v>2</v>
      </c>
      <c r="AZ268" t="s">
        <v>3897</v>
      </c>
      <c r="BA268">
        <v>10</v>
      </c>
      <c r="BB268" t="s">
        <v>3898</v>
      </c>
      <c r="BC268">
        <v>90</v>
      </c>
      <c r="BD268">
        <v>3</v>
      </c>
      <c r="BE268" t="s">
        <v>3911</v>
      </c>
      <c r="BF268">
        <v>270</v>
      </c>
      <c r="BG268">
        <v>66</v>
      </c>
      <c r="BH268" t="s">
        <v>3965</v>
      </c>
      <c r="BI268" t="s">
        <v>4735</v>
      </c>
      <c r="BJ268">
        <v>1</v>
      </c>
      <c r="BK268" t="s">
        <v>3902</v>
      </c>
    </row>
    <row r="269" spans="1:63" x14ac:dyDescent="0.25">
      <c r="A269">
        <v>4166</v>
      </c>
      <c r="B269" t="str">
        <f>"20200127165017047976"</f>
        <v>20200127165017047976</v>
      </c>
      <c r="C269">
        <v>1</v>
      </c>
      <c r="D269">
        <v>1</v>
      </c>
      <c r="E269" t="s">
        <v>3886</v>
      </c>
      <c r="F269">
        <v>2</v>
      </c>
      <c r="G269">
        <v>0</v>
      </c>
      <c r="H269" t="s">
        <v>66</v>
      </c>
      <c r="I269">
        <v>0</v>
      </c>
      <c r="J269" t="s">
        <v>66</v>
      </c>
      <c r="K269">
        <v>0</v>
      </c>
      <c r="L269" t="s">
        <v>66</v>
      </c>
      <c r="M269" t="s">
        <v>56</v>
      </c>
      <c r="N269">
        <v>0</v>
      </c>
      <c r="O269" t="s">
        <v>66</v>
      </c>
      <c r="P269" t="s">
        <v>56</v>
      </c>
      <c r="Q269">
        <v>0</v>
      </c>
      <c r="R269" t="s">
        <v>66</v>
      </c>
      <c r="S269" t="s">
        <v>56</v>
      </c>
      <c r="T269">
        <v>1</v>
      </c>
      <c r="U269" t="s">
        <v>1627</v>
      </c>
      <c r="V269" t="s">
        <v>56</v>
      </c>
      <c r="W269">
        <v>0</v>
      </c>
      <c r="X269" t="s">
        <v>66</v>
      </c>
      <c r="Y269" t="s">
        <v>56</v>
      </c>
      <c r="Z269">
        <v>0</v>
      </c>
      <c r="AA269" t="s">
        <v>66</v>
      </c>
      <c r="AB269" t="s">
        <v>56</v>
      </c>
      <c r="AC269">
        <v>1</v>
      </c>
      <c r="AD269" t="s">
        <v>1627</v>
      </c>
      <c r="AE269" t="s">
        <v>3887</v>
      </c>
      <c r="AF269">
        <v>0</v>
      </c>
      <c r="AG269" t="s">
        <v>66</v>
      </c>
      <c r="AH269" t="s">
        <v>56</v>
      </c>
      <c r="AI269">
        <v>1</v>
      </c>
      <c r="AJ269" t="s">
        <v>1627</v>
      </c>
      <c r="AK269" t="s">
        <v>56</v>
      </c>
      <c r="AL269" t="s">
        <v>56</v>
      </c>
      <c r="AM269" t="s">
        <v>56</v>
      </c>
      <c r="AN269" t="s">
        <v>56</v>
      </c>
      <c r="AO269" t="s">
        <v>3949</v>
      </c>
      <c r="AP269" t="s">
        <v>3889</v>
      </c>
      <c r="AQ269" t="s">
        <v>3890</v>
      </c>
      <c r="AR269" t="s">
        <v>3891</v>
      </c>
      <c r="AS269" t="s">
        <v>3892</v>
      </c>
      <c r="AT269" t="s">
        <v>4736</v>
      </c>
      <c r="AU269" t="s">
        <v>3894</v>
      </c>
      <c r="AV269" t="s">
        <v>3895</v>
      </c>
      <c r="AW269" t="s">
        <v>3896</v>
      </c>
      <c r="AX269">
        <v>6</v>
      </c>
      <c r="AY269">
        <v>2</v>
      </c>
      <c r="AZ269" t="s">
        <v>3897</v>
      </c>
      <c r="BA269">
        <v>10</v>
      </c>
      <c r="BB269" t="s">
        <v>3898</v>
      </c>
      <c r="BC269">
        <v>6</v>
      </c>
      <c r="BD269">
        <v>5</v>
      </c>
      <c r="BE269" t="s">
        <v>3899</v>
      </c>
      <c r="BF269">
        <v>6</v>
      </c>
      <c r="BG269">
        <v>13</v>
      </c>
      <c r="BH269" t="s">
        <v>3900</v>
      </c>
      <c r="BI269" t="s">
        <v>4668</v>
      </c>
      <c r="BJ269">
        <v>1</v>
      </c>
      <c r="BK269" t="s">
        <v>3902</v>
      </c>
    </row>
    <row r="270" spans="1:63" x14ac:dyDescent="0.25">
      <c r="A270">
        <v>4167</v>
      </c>
      <c r="B270" t="str">
        <f>"20200127172017047983"</f>
        <v>20200127172017047983</v>
      </c>
      <c r="C270">
        <v>1</v>
      </c>
      <c r="D270">
        <v>1</v>
      </c>
      <c r="E270" t="s">
        <v>3886</v>
      </c>
      <c r="F270">
        <v>1</v>
      </c>
      <c r="G270">
        <v>0</v>
      </c>
      <c r="H270" t="s">
        <v>66</v>
      </c>
      <c r="I270">
        <v>0</v>
      </c>
      <c r="J270" t="s">
        <v>66</v>
      </c>
      <c r="K270">
        <v>0</v>
      </c>
      <c r="L270" t="s">
        <v>66</v>
      </c>
      <c r="M270" t="s">
        <v>56</v>
      </c>
      <c r="N270">
        <v>0</v>
      </c>
      <c r="O270" t="s">
        <v>66</v>
      </c>
      <c r="P270" t="s">
        <v>56</v>
      </c>
      <c r="Q270">
        <v>0</v>
      </c>
      <c r="R270" t="s">
        <v>66</v>
      </c>
      <c r="S270" t="s">
        <v>56</v>
      </c>
      <c r="T270">
        <v>1</v>
      </c>
      <c r="U270" t="s">
        <v>1627</v>
      </c>
      <c r="V270" t="s">
        <v>56</v>
      </c>
      <c r="W270">
        <v>0</v>
      </c>
      <c r="X270" t="s">
        <v>66</v>
      </c>
      <c r="Y270" t="s">
        <v>56</v>
      </c>
      <c r="Z270">
        <v>0</v>
      </c>
      <c r="AA270" t="s">
        <v>66</v>
      </c>
      <c r="AB270" t="s">
        <v>56</v>
      </c>
      <c r="AC270">
        <v>1</v>
      </c>
      <c r="AD270" t="s">
        <v>1627</v>
      </c>
      <c r="AE270" t="s">
        <v>3887</v>
      </c>
      <c r="AF270">
        <v>0</v>
      </c>
      <c r="AG270" t="s">
        <v>66</v>
      </c>
      <c r="AH270" t="s">
        <v>56</v>
      </c>
      <c r="AI270">
        <v>1</v>
      </c>
      <c r="AJ270" t="s">
        <v>1627</v>
      </c>
      <c r="AK270" t="s">
        <v>56</v>
      </c>
      <c r="AL270" t="s">
        <v>56</v>
      </c>
      <c r="AM270" t="s">
        <v>56</v>
      </c>
      <c r="AN270" t="s">
        <v>56</v>
      </c>
      <c r="AO270" t="s">
        <v>4737</v>
      </c>
      <c r="AP270" t="s">
        <v>4330</v>
      </c>
      <c r="AQ270" t="s">
        <v>4331</v>
      </c>
      <c r="AR270" t="s">
        <v>3941</v>
      </c>
      <c r="AS270" t="s">
        <v>3942</v>
      </c>
      <c r="AT270" t="s">
        <v>4738</v>
      </c>
      <c r="AU270" t="s">
        <v>4026</v>
      </c>
      <c r="AV270" t="s">
        <v>4027</v>
      </c>
      <c r="AW270" t="s">
        <v>4028</v>
      </c>
      <c r="AX270">
        <v>6</v>
      </c>
      <c r="AY270">
        <v>2</v>
      </c>
      <c r="AZ270" t="s">
        <v>3897</v>
      </c>
      <c r="BA270">
        <v>10</v>
      </c>
      <c r="BB270" t="s">
        <v>3898</v>
      </c>
      <c r="BC270">
        <v>1</v>
      </c>
      <c r="BD270">
        <v>3</v>
      </c>
      <c r="BE270" t="s">
        <v>3911</v>
      </c>
      <c r="BF270">
        <v>4</v>
      </c>
      <c r="BG270">
        <v>78</v>
      </c>
      <c r="BH270" t="s">
        <v>4333</v>
      </c>
      <c r="BI270" t="s">
        <v>4739</v>
      </c>
      <c r="BJ270">
        <v>1</v>
      </c>
      <c r="BK270" t="s">
        <v>3902</v>
      </c>
    </row>
    <row r="271" spans="1:63" x14ac:dyDescent="0.25">
      <c r="A271">
        <v>4168</v>
      </c>
      <c r="B271" t="str">
        <f>"20200127185017048383"</f>
        <v>20200127185017048383</v>
      </c>
      <c r="C271">
        <v>1</v>
      </c>
      <c r="D271">
        <v>1</v>
      </c>
      <c r="E271" t="s">
        <v>3886</v>
      </c>
      <c r="F271">
        <v>2</v>
      </c>
      <c r="G271">
        <v>0</v>
      </c>
      <c r="H271" t="s">
        <v>66</v>
      </c>
      <c r="I271">
        <v>0</v>
      </c>
      <c r="J271" t="s">
        <v>66</v>
      </c>
      <c r="K271">
        <v>0</v>
      </c>
      <c r="L271" t="s">
        <v>66</v>
      </c>
      <c r="M271" t="s">
        <v>56</v>
      </c>
      <c r="N271">
        <v>0</v>
      </c>
      <c r="O271" t="s">
        <v>66</v>
      </c>
      <c r="P271" t="s">
        <v>56</v>
      </c>
      <c r="Q271">
        <v>0</v>
      </c>
      <c r="R271" t="s">
        <v>66</v>
      </c>
      <c r="S271" t="s">
        <v>56</v>
      </c>
      <c r="T271">
        <v>1</v>
      </c>
      <c r="U271" t="s">
        <v>1627</v>
      </c>
      <c r="V271" t="s">
        <v>56</v>
      </c>
      <c r="W271">
        <v>0</v>
      </c>
      <c r="X271" t="s">
        <v>66</v>
      </c>
      <c r="Y271" t="s">
        <v>56</v>
      </c>
      <c r="Z271">
        <v>0</v>
      </c>
      <c r="AA271" t="s">
        <v>66</v>
      </c>
      <c r="AB271" t="s">
        <v>56</v>
      </c>
      <c r="AC271">
        <v>1</v>
      </c>
      <c r="AD271" t="s">
        <v>1627</v>
      </c>
      <c r="AE271" t="s">
        <v>3887</v>
      </c>
      <c r="AF271">
        <v>0</v>
      </c>
      <c r="AG271" t="s">
        <v>66</v>
      </c>
      <c r="AH271" t="s">
        <v>56</v>
      </c>
      <c r="AI271">
        <v>1</v>
      </c>
      <c r="AJ271" t="s">
        <v>1627</v>
      </c>
      <c r="AK271" t="s">
        <v>56</v>
      </c>
      <c r="AL271" t="s">
        <v>56</v>
      </c>
      <c r="AM271" t="s">
        <v>56</v>
      </c>
      <c r="AN271" t="s">
        <v>56</v>
      </c>
      <c r="AO271" t="s">
        <v>3949</v>
      </c>
      <c r="AP271" t="s">
        <v>3889</v>
      </c>
      <c r="AQ271" t="s">
        <v>3890</v>
      </c>
      <c r="AR271" t="s">
        <v>3891</v>
      </c>
      <c r="AS271" t="s">
        <v>3892</v>
      </c>
      <c r="AT271" t="s">
        <v>4740</v>
      </c>
      <c r="AU271" t="s">
        <v>3894</v>
      </c>
      <c r="AV271" t="s">
        <v>3895</v>
      </c>
      <c r="AW271" t="s">
        <v>3896</v>
      </c>
      <c r="AX271">
        <v>8</v>
      </c>
      <c r="AY271">
        <v>2</v>
      </c>
      <c r="AZ271" t="s">
        <v>3897</v>
      </c>
      <c r="BA271">
        <v>10</v>
      </c>
      <c r="BB271" t="s">
        <v>3898</v>
      </c>
      <c r="BC271">
        <v>3</v>
      </c>
      <c r="BD271">
        <v>5</v>
      </c>
      <c r="BE271" t="s">
        <v>3899</v>
      </c>
      <c r="BF271">
        <v>3</v>
      </c>
      <c r="BG271">
        <v>13</v>
      </c>
      <c r="BH271" t="s">
        <v>3900</v>
      </c>
      <c r="BI271" t="s">
        <v>4173</v>
      </c>
      <c r="BJ271">
        <v>1</v>
      </c>
      <c r="BK271" t="s">
        <v>3902</v>
      </c>
    </row>
    <row r="272" spans="1:63" x14ac:dyDescent="0.25">
      <c r="A272">
        <v>4169</v>
      </c>
      <c r="B272" t="str">
        <f>"20200127127017048406"</f>
        <v>20200127127017048406</v>
      </c>
      <c r="C272">
        <v>1</v>
      </c>
      <c r="D272">
        <v>1</v>
      </c>
      <c r="E272" t="s">
        <v>3886</v>
      </c>
      <c r="F272">
        <v>1</v>
      </c>
      <c r="G272">
        <v>0</v>
      </c>
      <c r="H272" t="s">
        <v>66</v>
      </c>
      <c r="I272">
        <v>0</v>
      </c>
      <c r="J272" t="s">
        <v>66</v>
      </c>
      <c r="K272">
        <v>1</v>
      </c>
      <c r="L272" t="s">
        <v>1627</v>
      </c>
      <c r="M272" t="s">
        <v>4063</v>
      </c>
      <c r="N272">
        <v>1</v>
      </c>
      <c r="O272" t="s">
        <v>1627</v>
      </c>
      <c r="P272" t="s">
        <v>4552</v>
      </c>
      <c r="Q272">
        <v>0</v>
      </c>
      <c r="R272" t="s">
        <v>66</v>
      </c>
      <c r="S272" t="s">
        <v>56</v>
      </c>
      <c r="T272" t="s">
        <v>56</v>
      </c>
      <c r="U272" t="s">
        <v>56</v>
      </c>
      <c r="V272" t="s">
        <v>56</v>
      </c>
      <c r="W272">
        <v>0</v>
      </c>
      <c r="X272" t="s">
        <v>66</v>
      </c>
      <c r="Y272" t="s">
        <v>56</v>
      </c>
      <c r="Z272">
        <v>0</v>
      </c>
      <c r="AA272" t="s">
        <v>66</v>
      </c>
      <c r="AB272" t="s">
        <v>56</v>
      </c>
      <c r="AC272">
        <v>0</v>
      </c>
      <c r="AD272" t="s">
        <v>66</v>
      </c>
      <c r="AE272" t="s">
        <v>56</v>
      </c>
      <c r="AF272">
        <v>0</v>
      </c>
      <c r="AG272" t="s">
        <v>66</v>
      </c>
      <c r="AH272" t="s">
        <v>56</v>
      </c>
      <c r="AI272">
        <v>1</v>
      </c>
      <c r="AJ272" t="s">
        <v>1627</v>
      </c>
      <c r="AK272" t="s">
        <v>56</v>
      </c>
      <c r="AL272" t="s">
        <v>56</v>
      </c>
      <c r="AM272" t="s">
        <v>56</v>
      </c>
      <c r="AN272" t="s">
        <v>56</v>
      </c>
      <c r="AO272" t="s">
        <v>3985</v>
      </c>
      <c r="AP272" t="s">
        <v>3962</v>
      </c>
      <c r="AQ272" t="s">
        <v>3963</v>
      </c>
      <c r="AR272" t="s">
        <v>3941</v>
      </c>
      <c r="AS272" t="s">
        <v>3942</v>
      </c>
      <c r="AT272" t="s">
        <v>4741</v>
      </c>
      <c r="AU272" t="s">
        <v>3944</v>
      </c>
      <c r="AV272" t="s">
        <v>3945</v>
      </c>
      <c r="AW272" t="s">
        <v>3946</v>
      </c>
      <c r="AX272">
        <v>24</v>
      </c>
      <c r="AY272">
        <v>2</v>
      </c>
      <c r="AZ272" t="s">
        <v>3897</v>
      </c>
      <c r="BA272">
        <v>1</v>
      </c>
      <c r="BB272" t="s">
        <v>4149</v>
      </c>
      <c r="BC272">
        <v>90</v>
      </c>
      <c r="BD272">
        <v>3</v>
      </c>
      <c r="BE272" t="s">
        <v>3911</v>
      </c>
      <c r="BF272">
        <v>90</v>
      </c>
      <c r="BG272">
        <v>66</v>
      </c>
      <c r="BH272" t="s">
        <v>3965</v>
      </c>
      <c r="BI272" t="s">
        <v>4742</v>
      </c>
      <c r="BJ272">
        <v>1</v>
      </c>
      <c r="BK272" t="s">
        <v>3902</v>
      </c>
    </row>
    <row r="273" spans="1:63" x14ac:dyDescent="0.25">
      <c r="A273">
        <v>4170</v>
      </c>
      <c r="B273" t="str">
        <f>"20200127127017048406"</f>
        <v>20200127127017048406</v>
      </c>
      <c r="C273">
        <v>2</v>
      </c>
      <c r="D273">
        <v>1</v>
      </c>
      <c r="E273" t="s">
        <v>3886</v>
      </c>
      <c r="F273">
        <v>1</v>
      </c>
      <c r="G273">
        <v>0</v>
      </c>
      <c r="H273" t="s">
        <v>66</v>
      </c>
      <c r="I273">
        <v>0</v>
      </c>
      <c r="J273" t="s">
        <v>66</v>
      </c>
      <c r="K273">
        <v>1</v>
      </c>
      <c r="L273" t="s">
        <v>1627</v>
      </c>
      <c r="M273" t="s">
        <v>4063</v>
      </c>
      <c r="N273">
        <v>1</v>
      </c>
      <c r="O273" t="s">
        <v>1627</v>
      </c>
      <c r="P273" t="s">
        <v>4743</v>
      </c>
      <c r="Q273">
        <v>0</v>
      </c>
      <c r="R273" t="s">
        <v>66</v>
      </c>
      <c r="S273" t="s">
        <v>56</v>
      </c>
      <c r="T273" t="s">
        <v>56</v>
      </c>
      <c r="U273" t="s">
        <v>56</v>
      </c>
      <c r="V273" t="s">
        <v>56</v>
      </c>
      <c r="W273">
        <v>0</v>
      </c>
      <c r="X273" t="s">
        <v>66</v>
      </c>
      <c r="Y273" t="s">
        <v>56</v>
      </c>
      <c r="Z273">
        <v>0</v>
      </c>
      <c r="AA273" t="s">
        <v>66</v>
      </c>
      <c r="AB273" t="s">
        <v>56</v>
      </c>
      <c r="AC273">
        <v>0</v>
      </c>
      <c r="AD273" t="s">
        <v>66</v>
      </c>
      <c r="AE273" t="s">
        <v>56</v>
      </c>
      <c r="AF273">
        <v>0</v>
      </c>
      <c r="AG273" t="s">
        <v>66</v>
      </c>
      <c r="AH273" t="s">
        <v>56</v>
      </c>
      <c r="AI273">
        <v>1</v>
      </c>
      <c r="AJ273" t="s">
        <v>1627</v>
      </c>
      <c r="AK273" t="s">
        <v>56</v>
      </c>
      <c r="AL273" t="s">
        <v>56</v>
      </c>
      <c r="AM273" t="s">
        <v>56</v>
      </c>
      <c r="AN273" t="s">
        <v>56</v>
      </c>
      <c r="AO273" t="s">
        <v>4553</v>
      </c>
      <c r="AP273" t="s">
        <v>4077</v>
      </c>
      <c r="AQ273" t="s">
        <v>4078</v>
      </c>
      <c r="AR273" t="s">
        <v>3941</v>
      </c>
      <c r="AS273" t="s">
        <v>3942</v>
      </c>
      <c r="AT273" t="s">
        <v>4744</v>
      </c>
      <c r="AU273" t="s">
        <v>3944</v>
      </c>
      <c r="AV273" t="s">
        <v>3945</v>
      </c>
      <c r="AW273" t="s">
        <v>3946</v>
      </c>
      <c r="AX273">
        <v>24</v>
      </c>
      <c r="AY273">
        <v>2</v>
      </c>
      <c r="AZ273" t="s">
        <v>3897</v>
      </c>
      <c r="BA273">
        <v>1</v>
      </c>
      <c r="BB273" t="s">
        <v>4149</v>
      </c>
      <c r="BC273">
        <v>90</v>
      </c>
      <c r="BD273">
        <v>3</v>
      </c>
      <c r="BE273" t="s">
        <v>3911</v>
      </c>
      <c r="BF273">
        <v>90</v>
      </c>
      <c r="BG273">
        <v>66</v>
      </c>
      <c r="BH273" t="s">
        <v>3965</v>
      </c>
      <c r="BI273" t="s">
        <v>4742</v>
      </c>
      <c r="BJ273">
        <v>1</v>
      </c>
      <c r="BK273" t="s">
        <v>3902</v>
      </c>
    </row>
    <row r="274" spans="1:63" x14ac:dyDescent="0.25">
      <c r="A274">
        <v>4156</v>
      </c>
      <c r="B274" t="str">
        <f>"20200127168017045252"</f>
        <v>20200127168017045252</v>
      </c>
      <c r="C274">
        <v>1</v>
      </c>
      <c r="D274">
        <v>1</v>
      </c>
      <c r="E274" t="s">
        <v>3886</v>
      </c>
      <c r="F274">
        <v>2</v>
      </c>
      <c r="G274">
        <v>0</v>
      </c>
      <c r="H274" t="s">
        <v>66</v>
      </c>
      <c r="I274">
        <v>0</v>
      </c>
      <c r="J274" t="s">
        <v>66</v>
      </c>
      <c r="K274">
        <v>1</v>
      </c>
      <c r="L274" t="s">
        <v>1627</v>
      </c>
      <c r="M274" t="s">
        <v>4704</v>
      </c>
      <c r="N274">
        <v>1</v>
      </c>
      <c r="O274" t="s">
        <v>1627</v>
      </c>
      <c r="P274" t="s">
        <v>4451</v>
      </c>
      <c r="Q274">
        <v>0</v>
      </c>
      <c r="R274" t="s">
        <v>66</v>
      </c>
      <c r="S274" t="s">
        <v>56</v>
      </c>
      <c r="T274" t="s">
        <v>56</v>
      </c>
      <c r="U274" t="s">
        <v>56</v>
      </c>
      <c r="V274" t="s">
        <v>56</v>
      </c>
      <c r="W274">
        <v>0</v>
      </c>
      <c r="X274" t="s">
        <v>66</v>
      </c>
      <c r="Y274" t="s">
        <v>56</v>
      </c>
      <c r="Z274">
        <v>0</v>
      </c>
      <c r="AA274" t="s">
        <v>66</v>
      </c>
      <c r="AB274" t="s">
        <v>56</v>
      </c>
      <c r="AC274">
        <v>0</v>
      </c>
      <c r="AD274" t="s">
        <v>66</v>
      </c>
      <c r="AE274" t="s">
        <v>56</v>
      </c>
      <c r="AF274">
        <v>0</v>
      </c>
      <c r="AG274" t="s">
        <v>66</v>
      </c>
      <c r="AH274" t="s">
        <v>56</v>
      </c>
      <c r="AI274">
        <v>1</v>
      </c>
      <c r="AJ274" t="s">
        <v>1627</v>
      </c>
      <c r="AK274" t="s">
        <v>56</v>
      </c>
      <c r="AL274" t="s">
        <v>56</v>
      </c>
      <c r="AM274" t="s">
        <v>56</v>
      </c>
      <c r="AN274" t="s">
        <v>56</v>
      </c>
      <c r="AO274" t="s">
        <v>4101</v>
      </c>
      <c r="AP274" t="s">
        <v>3939</v>
      </c>
      <c r="AQ274" t="s">
        <v>3940</v>
      </c>
      <c r="AR274" t="s">
        <v>3941</v>
      </c>
      <c r="AS274" t="s">
        <v>3942</v>
      </c>
      <c r="AT274" t="s">
        <v>4745</v>
      </c>
      <c r="AU274" t="s">
        <v>3944</v>
      </c>
      <c r="AV274" t="s">
        <v>3945</v>
      </c>
      <c r="AW274" t="s">
        <v>3946</v>
      </c>
      <c r="AX274">
        <v>8</v>
      </c>
      <c r="AY274">
        <v>2</v>
      </c>
      <c r="AZ274" t="s">
        <v>3897</v>
      </c>
      <c r="BA274">
        <v>1</v>
      </c>
      <c r="BB274" t="s">
        <v>4149</v>
      </c>
      <c r="BC274">
        <v>3</v>
      </c>
      <c r="BD274">
        <v>5</v>
      </c>
      <c r="BE274" t="s">
        <v>3899</v>
      </c>
      <c r="BF274">
        <v>540</v>
      </c>
      <c r="BG274">
        <v>66</v>
      </c>
      <c r="BH274" t="s">
        <v>3965</v>
      </c>
      <c r="BI274" t="s">
        <v>4746</v>
      </c>
      <c r="BJ274">
        <v>1</v>
      </c>
      <c r="BK274" t="s">
        <v>3902</v>
      </c>
    </row>
    <row r="275" spans="1:63" x14ac:dyDescent="0.25">
      <c r="A275">
        <v>4157</v>
      </c>
      <c r="B275" t="str">
        <f>"20200127162017045346"</f>
        <v>20200127162017045346</v>
      </c>
      <c r="C275">
        <v>1</v>
      </c>
      <c r="D275">
        <v>1</v>
      </c>
      <c r="E275" t="s">
        <v>3886</v>
      </c>
      <c r="F275">
        <v>1</v>
      </c>
      <c r="G275">
        <v>0</v>
      </c>
      <c r="H275" t="s">
        <v>66</v>
      </c>
      <c r="I275">
        <v>0</v>
      </c>
      <c r="J275" t="s">
        <v>66</v>
      </c>
      <c r="K275">
        <v>1</v>
      </c>
      <c r="L275" t="s">
        <v>1627</v>
      </c>
      <c r="M275" t="s">
        <v>4551</v>
      </c>
      <c r="N275">
        <v>1</v>
      </c>
      <c r="O275" t="s">
        <v>1627</v>
      </c>
      <c r="P275" t="s">
        <v>4747</v>
      </c>
      <c r="Q275">
        <v>0</v>
      </c>
      <c r="R275" t="s">
        <v>66</v>
      </c>
      <c r="S275" t="s">
        <v>56</v>
      </c>
      <c r="T275" t="s">
        <v>56</v>
      </c>
      <c r="U275" t="s">
        <v>56</v>
      </c>
      <c r="V275" t="s">
        <v>56</v>
      </c>
      <c r="W275">
        <v>0</v>
      </c>
      <c r="X275" t="s">
        <v>66</v>
      </c>
      <c r="Y275" t="s">
        <v>56</v>
      </c>
      <c r="Z275">
        <v>0</v>
      </c>
      <c r="AA275" t="s">
        <v>66</v>
      </c>
      <c r="AB275" t="s">
        <v>56</v>
      </c>
      <c r="AC275">
        <v>0</v>
      </c>
      <c r="AD275" t="s">
        <v>66</v>
      </c>
      <c r="AE275" t="s">
        <v>56</v>
      </c>
      <c r="AF275">
        <v>0</v>
      </c>
      <c r="AG275" t="s">
        <v>66</v>
      </c>
      <c r="AH275" t="s">
        <v>56</v>
      </c>
      <c r="AI275">
        <v>1</v>
      </c>
      <c r="AJ275" t="s">
        <v>1627</v>
      </c>
      <c r="AK275" t="s">
        <v>56</v>
      </c>
      <c r="AL275" t="s">
        <v>56</v>
      </c>
      <c r="AM275" t="s">
        <v>56</v>
      </c>
      <c r="AN275" t="s">
        <v>56</v>
      </c>
      <c r="AO275" t="s">
        <v>3985</v>
      </c>
      <c r="AP275" t="s">
        <v>3962</v>
      </c>
      <c r="AQ275" t="s">
        <v>3963</v>
      </c>
      <c r="AR275" t="s">
        <v>3941</v>
      </c>
      <c r="AS275" t="s">
        <v>3942</v>
      </c>
      <c r="AT275" t="s">
        <v>4748</v>
      </c>
      <c r="AU275" t="s">
        <v>3944</v>
      </c>
      <c r="AV275" t="s">
        <v>3945</v>
      </c>
      <c r="AW275" t="s">
        <v>3946</v>
      </c>
      <c r="AX275">
        <v>24</v>
      </c>
      <c r="AY275">
        <v>2</v>
      </c>
      <c r="AZ275" t="s">
        <v>3897</v>
      </c>
      <c r="BA275">
        <v>10</v>
      </c>
      <c r="BB275" t="s">
        <v>3898</v>
      </c>
      <c r="BC275">
        <v>90</v>
      </c>
      <c r="BD275">
        <v>3</v>
      </c>
      <c r="BE275" t="s">
        <v>3911</v>
      </c>
      <c r="BF275">
        <v>90</v>
      </c>
      <c r="BG275">
        <v>66</v>
      </c>
      <c r="BH275" t="s">
        <v>3965</v>
      </c>
      <c r="BI275" t="s">
        <v>4749</v>
      </c>
      <c r="BJ275">
        <v>1</v>
      </c>
      <c r="BK275" t="s">
        <v>3902</v>
      </c>
    </row>
    <row r="276" spans="1:63" x14ac:dyDescent="0.25">
      <c r="A276">
        <v>4171</v>
      </c>
      <c r="B276" t="str">
        <f>"20200127115017048512"</f>
        <v>20200127115017048512</v>
      </c>
      <c r="C276">
        <v>1</v>
      </c>
      <c r="D276">
        <v>1</v>
      </c>
      <c r="E276" t="s">
        <v>3886</v>
      </c>
      <c r="F276">
        <v>1</v>
      </c>
      <c r="G276">
        <v>0</v>
      </c>
      <c r="H276" t="s">
        <v>66</v>
      </c>
      <c r="I276">
        <v>0</v>
      </c>
      <c r="J276" t="s">
        <v>66</v>
      </c>
      <c r="K276">
        <v>0</v>
      </c>
      <c r="L276" t="s">
        <v>66</v>
      </c>
      <c r="M276" t="s">
        <v>56</v>
      </c>
      <c r="N276">
        <v>0</v>
      </c>
      <c r="O276" t="s">
        <v>66</v>
      </c>
      <c r="P276" t="s">
        <v>56</v>
      </c>
      <c r="Q276">
        <v>0</v>
      </c>
      <c r="R276" t="s">
        <v>66</v>
      </c>
      <c r="S276" t="s">
        <v>56</v>
      </c>
      <c r="T276">
        <v>1</v>
      </c>
      <c r="U276" t="s">
        <v>1627</v>
      </c>
      <c r="V276" t="s">
        <v>56</v>
      </c>
      <c r="W276">
        <v>0</v>
      </c>
      <c r="X276" t="s">
        <v>66</v>
      </c>
      <c r="Y276" t="s">
        <v>56</v>
      </c>
      <c r="Z276">
        <v>0</v>
      </c>
      <c r="AA276" t="s">
        <v>66</v>
      </c>
      <c r="AB276" t="s">
        <v>56</v>
      </c>
      <c r="AC276">
        <v>1</v>
      </c>
      <c r="AD276" t="s">
        <v>1627</v>
      </c>
      <c r="AE276" t="s">
        <v>3887</v>
      </c>
      <c r="AF276">
        <v>0</v>
      </c>
      <c r="AG276" t="s">
        <v>66</v>
      </c>
      <c r="AH276" t="s">
        <v>56</v>
      </c>
      <c r="AI276">
        <v>1</v>
      </c>
      <c r="AJ276" t="s">
        <v>1627</v>
      </c>
      <c r="AK276" t="s">
        <v>56</v>
      </c>
      <c r="AL276" t="s">
        <v>56</v>
      </c>
      <c r="AM276" t="s">
        <v>56</v>
      </c>
      <c r="AN276" t="s">
        <v>56</v>
      </c>
      <c r="AO276" t="s">
        <v>4294</v>
      </c>
      <c r="AP276" t="s">
        <v>3962</v>
      </c>
      <c r="AQ276" t="s">
        <v>3963</v>
      </c>
      <c r="AR276" t="s">
        <v>3941</v>
      </c>
      <c r="AS276" t="s">
        <v>3942</v>
      </c>
      <c r="AT276" t="s">
        <v>4750</v>
      </c>
      <c r="AU276" t="s">
        <v>4026</v>
      </c>
      <c r="AV276" t="s">
        <v>4027</v>
      </c>
      <c r="AW276" t="s">
        <v>4028</v>
      </c>
      <c r="AX276">
        <v>24</v>
      </c>
      <c r="AY276">
        <v>2</v>
      </c>
      <c r="AZ276" t="s">
        <v>3897</v>
      </c>
      <c r="BA276">
        <v>10</v>
      </c>
      <c r="BB276" t="s">
        <v>3898</v>
      </c>
      <c r="BC276">
        <v>30</v>
      </c>
      <c r="BD276">
        <v>3</v>
      </c>
      <c r="BE276" t="s">
        <v>3911</v>
      </c>
      <c r="BF276">
        <v>30</v>
      </c>
      <c r="BG276">
        <v>66</v>
      </c>
      <c r="BH276" t="s">
        <v>3965</v>
      </c>
      <c r="BI276" t="s">
        <v>4751</v>
      </c>
      <c r="BJ276">
        <v>1</v>
      </c>
      <c r="BK276" t="s">
        <v>3902</v>
      </c>
    </row>
    <row r="277" spans="1:63" x14ac:dyDescent="0.25">
      <c r="A277">
        <v>4172</v>
      </c>
      <c r="B277" t="str">
        <f>"20200127162017048553"</f>
        <v>20200127162017048553</v>
      </c>
      <c r="C277">
        <v>1</v>
      </c>
      <c r="D277">
        <v>1</v>
      </c>
      <c r="E277" t="s">
        <v>3886</v>
      </c>
      <c r="F277">
        <v>2</v>
      </c>
      <c r="G277">
        <v>0</v>
      </c>
      <c r="H277" t="s">
        <v>66</v>
      </c>
      <c r="I277">
        <v>0</v>
      </c>
      <c r="J277" t="s">
        <v>66</v>
      </c>
      <c r="K277">
        <v>0</v>
      </c>
      <c r="L277" t="s">
        <v>66</v>
      </c>
      <c r="M277" t="s">
        <v>56</v>
      </c>
      <c r="N277">
        <v>0</v>
      </c>
      <c r="O277" t="s">
        <v>66</v>
      </c>
      <c r="P277" t="s">
        <v>56</v>
      </c>
      <c r="Q277">
        <v>0</v>
      </c>
      <c r="R277" t="s">
        <v>66</v>
      </c>
      <c r="S277" t="s">
        <v>56</v>
      </c>
      <c r="T277">
        <v>1</v>
      </c>
      <c r="U277" t="s">
        <v>1627</v>
      </c>
      <c r="V277" t="s">
        <v>56</v>
      </c>
      <c r="W277">
        <v>0</v>
      </c>
      <c r="X277" t="s">
        <v>66</v>
      </c>
      <c r="Y277" t="s">
        <v>56</v>
      </c>
      <c r="Z277">
        <v>0</v>
      </c>
      <c r="AA277" t="s">
        <v>66</v>
      </c>
      <c r="AB277" t="s">
        <v>56</v>
      </c>
      <c r="AC277">
        <v>1</v>
      </c>
      <c r="AD277" t="s">
        <v>1627</v>
      </c>
      <c r="AE277" t="s">
        <v>3887</v>
      </c>
      <c r="AF277">
        <v>0</v>
      </c>
      <c r="AG277" t="s">
        <v>66</v>
      </c>
      <c r="AH277" t="s">
        <v>56</v>
      </c>
      <c r="AI277">
        <v>1</v>
      </c>
      <c r="AJ277" t="s">
        <v>1627</v>
      </c>
      <c r="AK277" t="s">
        <v>56</v>
      </c>
      <c r="AL277" t="s">
        <v>56</v>
      </c>
      <c r="AM277" t="s">
        <v>56</v>
      </c>
      <c r="AN277" t="s">
        <v>56</v>
      </c>
      <c r="AO277" t="s">
        <v>3975</v>
      </c>
      <c r="AP277" t="s">
        <v>3962</v>
      </c>
      <c r="AQ277" t="s">
        <v>3963</v>
      </c>
      <c r="AR277" t="s">
        <v>3941</v>
      </c>
      <c r="AS277" t="s">
        <v>3942</v>
      </c>
      <c r="AT277" t="s">
        <v>4752</v>
      </c>
      <c r="AU277" t="s">
        <v>3944</v>
      </c>
      <c r="AV277" t="s">
        <v>3945</v>
      </c>
      <c r="AW277" t="s">
        <v>3946</v>
      </c>
      <c r="AX277">
        <v>12</v>
      </c>
      <c r="AY277">
        <v>2</v>
      </c>
      <c r="AZ277" t="s">
        <v>3897</v>
      </c>
      <c r="BA277">
        <v>10</v>
      </c>
      <c r="BB277" t="s">
        <v>3898</v>
      </c>
      <c r="BC277">
        <v>90</v>
      </c>
      <c r="BD277">
        <v>3</v>
      </c>
      <c r="BE277" t="s">
        <v>3911</v>
      </c>
      <c r="BF277">
        <v>180</v>
      </c>
      <c r="BG277">
        <v>66</v>
      </c>
      <c r="BH277" t="s">
        <v>3965</v>
      </c>
      <c r="BI277" t="s">
        <v>4753</v>
      </c>
      <c r="BJ277">
        <v>1</v>
      </c>
      <c r="BK277" t="s">
        <v>3902</v>
      </c>
    </row>
    <row r="278" spans="1:63" x14ac:dyDescent="0.25">
      <c r="A278">
        <v>4173</v>
      </c>
      <c r="B278" t="str">
        <f>"20200127140017048993"</f>
        <v>20200127140017048993</v>
      </c>
      <c r="C278">
        <v>1</v>
      </c>
      <c r="D278">
        <v>1</v>
      </c>
      <c r="E278" t="s">
        <v>3886</v>
      </c>
      <c r="F278">
        <v>2</v>
      </c>
      <c r="G278">
        <v>0</v>
      </c>
      <c r="H278" t="s">
        <v>66</v>
      </c>
      <c r="I278">
        <v>0</v>
      </c>
      <c r="J278" t="s">
        <v>66</v>
      </c>
      <c r="K278">
        <v>1</v>
      </c>
      <c r="L278" t="s">
        <v>1627</v>
      </c>
      <c r="M278" t="s">
        <v>4754</v>
      </c>
      <c r="N278">
        <v>0</v>
      </c>
      <c r="O278" t="s">
        <v>66</v>
      </c>
      <c r="P278" t="s">
        <v>56</v>
      </c>
      <c r="Q278">
        <v>1</v>
      </c>
      <c r="R278" t="s">
        <v>1627</v>
      </c>
      <c r="S278" t="s">
        <v>4351</v>
      </c>
      <c r="T278" t="s">
        <v>56</v>
      </c>
      <c r="U278" t="s">
        <v>56</v>
      </c>
      <c r="V278" t="s">
        <v>56</v>
      </c>
      <c r="W278">
        <v>0</v>
      </c>
      <c r="X278" t="s">
        <v>66</v>
      </c>
      <c r="Y278" t="s">
        <v>56</v>
      </c>
      <c r="Z278">
        <v>0</v>
      </c>
      <c r="AA278" t="s">
        <v>66</v>
      </c>
      <c r="AB278" t="s">
        <v>56</v>
      </c>
      <c r="AC278">
        <v>0</v>
      </c>
      <c r="AD278" t="s">
        <v>66</v>
      </c>
      <c r="AE278" t="s">
        <v>56</v>
      </c>
      <c r="AF278">
        <v>0</v>
      </c>
      <c r="AG278" t="s">
        <v>66</v>
      </c>
      <c r="AH278" t="s">
        <v>56</v>
      </c>
      <c r="AI278">
        <v>1</v>
      </c>
      <c r="AJ278" t="s">
        <v>1627</v>
      </c>
      <c r="AK278" t="s">
        <v>56</v>
      </c>
      <c r="AL278" t="s">
        <v>56</v>
      </c>
      <c r="AM278" t="s">
        <v>56</v>
      </c>
      <c r="AN278" t="s">
        <v>56</v>
      </c>
      <c r="AO278" t="s">
        <v>4755</v>
      </c>
      <c r="AP278" t="s">
        <v>3889</v>
      </c>
      <c r="AQ278" t="s">
        <v>3890</v>
      </c>
      <c r="AR278" t="s">
        <v>4146</v>
      </c>
      <c r="AS278" t="s">
        <v>4147</v>
      </c>
      <c r="AT278" t="s">
        <v>4756</v>
      </c>
      <c r="AU278" t="s">
        <v>4621</v>
      </c>
      <c r="AV278" t="s">
        <v>4622</v>
      </c>
      <c r="AW278" t="s">
        <v>4623</v>
      </c>
      <c r="AX278">
        <v>3</v>
      </c>
      <c r="AY278">
        <v>3</v>
      </c>
      <c r="AZ278" t="s">
        <v>3911</v>
      </c>
      <c r="BA278">
        <v>3</v>
      </c>
      <c r="BB278" t="s">
        <v>4309</v>
      </c>
      <c r="BC278">
        <v>6</v>
      </c>
      <c r="BD278">
        <v>5</v>
      </c>
      <c r="BE278" t="s">
        <v>3899</v>
      </c>
      <c r="BF278">
        <v>6</v>
      </c>
      <c r="BG278">
        <v>74</v>
      </c>
      <c r="BH278" t="s">
        <v>3923</v>
      </c>
      <c r="BI278" t="s">
        <v>4757</v>
      </c>
      <c r="BJ278">
        <v>1</v>
      </c>
      <c r="BK278" t="s">
        <v>3902</v>
      </c>
    </row>
    <row r="279" spans="1:63" x14ac:dyDescent="0.25">
      <c r="A279">
        <v>4174</v>
      </c>
      <c r="B279" t="str">
        <f>"20200127147017048995"</f>
        <v>20200127147017048995</v>
      </c>
      <c r="C279">
        <v>1</v>
      </c>
      <c r="D279">
        <v>1</v>
      </c>
      <c r="E279" t="s">
        <v>3886</v>
      </c>
      <c r="F279">
        <v>2</v>
      </c>
      <c r="G279">
        <v>0</v>
      </c>
      <c r="H279" t="s">
        <v>66</v>
      </c>
      <c r="I279">
        <v>0</v>
      </c>
      <c r="J279" t="s">
        <v>66</v>
      </c>
      <c r="K279">
        <v>1</v>
      </c>
      <c r="L279" t="s">
        <v>1627</v>
      </c>
      <c r="M279" t="s">
        <v>4463</v>
      </c>
      <c r="N279">
        <v>1</v>
      </c>
      <c r="O279" t="s">
        <v>1627</v>
      </c>
      <c r="P279" t="s">
        <v>4464</v>
      </c>
      <c r="Q279">
        <v>0</v>
      </c>
      <c r="R279" t="s">
        <v>66</v>
      </c>
      <c r="S279" t="s">
        <v>56</v>
      </c>
      <c r="T279" t="s">
        <v>56</v>
      </c>
      <c r="U279" t="s">
        <v>56</v>
      </c>
      <c r="V279" t="s">
        <v>56</v>
      </c>
      <c r="W279">
        <v>0</v>
      </c>
      <c r="X279" t="s">
        <v>66</v>
      </c>
      <c r="Y279" t="s">
        <v>56</v>
      </c>
      <c r="Z279">
        <v>0</v>
      </c>
      <c r="AA279" t="s">
        <v>66</v>
      </c>
      <c r="AB279" t="s">
        <v>56</v>
      </c>
      <c r="AC279">
        <v>0</v>
      </c>
      <c r="AD279" t="s">
        <v>66</v>
      </c>
      <c r="AE279" t="s">
        <v>56</v>
      </c>
      <c r="AF279">
        <v>0</v>
      </c>
      <c r="AG279" t="s">
        <v>66</v>
      </c>
      <c r="AH279" t="s">
        <v>56</v>
      </c>
      <c r="AI279">
        <v>1</v>
      </c>
      <c r="AJ279" t="s">
        <v>1627</v>
      </c>
      <c r="AK279" t="s">
        <v>56</v>
      </c>
      <c r="AL279" t="s">
        <v>56</v>
      </c>
      <c r="AM279" t="s">
        <v>56</v>
      </c>
      <c r="AN279" t="s">
        <v>56</v>
      </c>
      <c r="AO279" t="s">
        <v>4349</v>
      </c>
      <c r="AP279" t="s">
        <v>3962</v>
      </c>
      <c r="AQ279" t="s">
        <v>3963</v>
      </c>
      <c r="AR279" t="s">
        <v>3941</v>
      </c>
      <c r="AS279" t="s">
        <v>3942</v>
      </c>
      <c r="AT279" t="s">
        <v>4758</v>
      </c>
      <c r="AU279" t="s">
        <v>3944</v>
      </c>
      <c r="AV279" t="s">
        <v>3945</v>
      </c>
      <c r="AW279" t="s">
        <v>3946</v>
      </c>
      <c r="AX279">
        <v>24</v>
      </c>
      <c r="AY279">
        <v>2</v>
      </c>
      <c r="AZ279" t="s">
        <v>3897</v>
      </c>
      <c r="BA279">
        <v>10</v>
      </c>
      <c r="BB279" t="s">
        <v>3898</v>
      </c>
      <c r="BC279">
        <v>90</v>
      </c>
      <c r="BD279">
        <v>3</v>
      </c>
      <c r="BE279" t="s">
        <v>3911</v>
      </c>
      <c r="BF279">
        <v>90</v>
      </c>
      <c r="BG279">
        <v>66</v>
      </c>
      <c r="BH279" t="s">
        <v>3965</v>
      </c>
      <c r="BI279" t="s">
        <v>4466</v>
      </c>
      <c r="BJ279">
        <v>1</v>
      </c>
      <c r="BK279" t="s">
        <v>3902</v>
      </c>
    </row>
    <row r="280" spans="1:63" x14ac:dyDescent="0.25">
      <c r="A280">
        <v>4175</v>
      </c>
      <c r="B280" t="str">
        <f>"20200127156017049169"</f>
        <v>20200127156017049169</v>
      </c>
      <c r="C280">
        <v>1</v>
      </c>
      <c r="D280">
        <v>1</v>
      </c>
      <c r="E280" t="s">
        <v>3886</v>
      </c>
      <c r="F280">
        <v>1</v>
      </c>
      <c r="G280">
        <v>0</v>
      </c>
      <c r="H280" t="s">
        <v>66</v>
      </c>
      <c r="I280">
        <v>0</v>
      </c>
      <c r="J280" t="s">
        <v>66</v>
      </c>
      <c r="K280">
        <v>0</v>
      </c>
      <c r="L280" t="s">
        <v>66</v>
      </c>
      <c r="M280" t="s">
        <v>56</v>
      </c>
      <c r="N280">
        <v>0</v>
      </c>
      <c r="O280" t="s">
        <v>66</v>
      </c>
      <c r="P280" t="s">
        <v>56</v>
      </c>
      <c r="Q280">
        <v>0</v>
      </c>
      <c r="R280" t="s">
        <v>66</v>
      </c>
      <c r="S280" t="s">
        <v>56</v>
      </c>
      <c r="T280">
        <v>1</v>
      </c>
      <c r="U280" t="s">
        <v>1627</v>
      </c>
      <c r="V280" t="s">
        <v>56</v>
      </c>
      <c r="W280">
        <v>0</v>
      </c>
      <c r="X280" t="s">
        <v>66</v>
      </c>
      <c r="Y280" t="s">
        <v>56</v>
      </c>
      <c r="Z280">
        <v>0</v>
      </c>
      <c r="AA280" t="s">
        <v>66</v>
      </c>
      <c r="AB280" t="s">
        <v>56</v>
      </c>
      <c r="AC280">
        <v>1</v>
      </c>
      <c r="AD280" t="s">
        <v>1627</v>
      </c>
      <c r="AE280" t="s">
        <v>3887</v>
      </c>
      <c r="AF280">
        <v>0</v>
      </c>
      <c r="AG280" t="s">
        <v>66</v>
      </c>
      <c r="AH280" t="s">
        <v>56</v>
      </c>
      <c r="AI280">
        <v>1</v>
      </c>
      <c r="AJ280" t="s">
        <v>1627</v>
      </c>
      <c r="AK280" t="s">
        <v>56</v>
      </c>
      <c r="AL280" t="s">
        <v>56</v>
      </c>
      <c r="AM280" t="s">
        <v>56</v>
      </c>
      <c r="AN280" t="s">
        <v>56</v>
      </c>
      <c r="AO280" t="s">
        <v>4759</v>
      </c>
      <c r="AP280" t="s">
        <v>3962</v>
      </c>
      <c r="AQ280" t="s">
        <v>3963</v>
      </c>
      <c r="AR280" t="s">
        <v>3941</v>
      </c>
      <c r="AS280" t="s">
        <v>3942</v>
      </c>
      <c r="AT280" t="s">
        <v>4760</v>
      </c>
      <c r="AU280">
        <v>9000</v>
      </c>
      <c r="AV280" t="s">
        <v>3956</v>
      </c>
      <c r="AW280" t="s">
        <v>3956</v>
      </c>
      <c r="AX280">
        <v>24</v>
      </c>
      <c r="AY280">
        <v>2</v>
      </c>
      <c r="AZ280" t="s">
        <v>3897</v>
      </c>
      <c r="BA280">
        <v>10</v>
      </c>
      <c r="BB280" t="s">
        <v>3898</v>
      </c>
      <c r="BC280">
        <v>30</v>
      </c>
      <c r="BD280">
        <v>3</v>
      </c>
      <c r="BE280" t="s">
        <v>3911</v>
      </c>
      <c r="BF280">
        <v>30</v>
      </c>
      <c r="BG280">
        <v>66</v>
      </c>
      <c r="BH280" t="s">
        <v>3965</v>
      </c>
      <c r="BI280" t="s">
        <v>4679</v>
      </c>
      <c r="BJ280">
        <v>1</v>
      </c>
      <c r="BK280" t="s">
        <v>3902</v>
      </c>
    </row>
    <row r="281" spans="1:63" x14ac:dyDescent="0.25">
      <c r="A281">
        <v>4176</v>
      </c>
      <c r="B281" t="str">
        <f>"20200127156017049169"</f>
        <v>20200127156017049169</v>
      </c>
      <c r="C281">
        <v>2</v>
      </c>
      <c r="D281">
        <v>1</v>
      </c>
      <c r="E281" t="s">
        <v>3886</v>
      </c>
      <c r="F281">
        <v>1</v>
      </c>
      <c r="G281">
        <v>0</v>
      </c>
      <c r="H281" t="s">
        <v>66</v>
      </c>
      <c r="I281">
        <v>0</v>
      </c>
      <c r="J281" t="s">
        <v>66</v>
      </c>
      <c r="K281">
        <v>0</v>
      </c>
      <c r="L281" t="s">
        <v>66</v>
      </c>
      <c r="M281" t="s">
        <v>56</v>
      </c>
      <c r="N281">
        <v>0</v>
      </c>
      <c r="O281" t="s">
        <v>66</v>
      </c>
      <c r="P281" t="s">
        <v>56</v>
      </c>
      <c r="Q281">
        <v>0</v>
      </c>
      <c r="R281" t="s">
        <v>66</v>
      </c>
      <c r="S281" t="s">
        <v>56</v>
      </c>
      <c r="T281">
        <v>1</v>
      </c>
      <c r="U281" t="s">
        <v>1627</v>
      </c>
      <c r="V281" t="s">
        <v>56</v>
      </c>
      <c r="W281">
        <v>0</v>
      </c>
      <c r="X281" t="s">
        <v>66</v>
      </c>
      <c r="Y281" t="s">
        <v>56</v>
      </c>
      <c r="Z281">
        <v>0</v>
      </c>
      <c r="AA281" t="s">
        <v>66</v>
      </c>
      <c r="AB281" t="s">
        <v>56</v>
      </c>
      <c r="AC281">
        <v>1</v>
      </c>
      <c r="AD281" t="s">
        <v>1627</v>
      </c>
      <c r="AE281" t="s">
        <v>3887</v>
      </c>
      <c r="AF281">
        <v>0</v>
      </c>
      <c r="AG281" t="s">
        <v>66</v>
      </c>
      <c r="AH281" t="s">
        <v>56</v>
      </c>
      <c r="AI281">
        <v>1</v>
      </c>
      <c r="AJ281" t="s">
        <v>1627</v>
      </c>
      <c r="AK281" t="s">
        <v>56</v>
      </c>
      <c r="AL281" t="s">
        <v>56</v>
      </c>
      <c r="AM281" t="s">
        <v>56</v>
      </c>
      <c r="AN281" t="s">
        <v>56</v>
      </c>
      <c r="AO281" t="s">
        <v>4761</v>
      </c>
      <c r="AP281" t="s">
        <v>4762</v>
      </c>
      <c r="AQ281" t="s">
        <v>4763</v>
      </c>
      <c r="AR281" t="s">
        <v>3941</v>
      </c>
      <c r="AS281" t="s">
        <v>3942</v>
      </c>
      <c r="AT281" t="s">
        <v>4760</v>
      </c>
      <c r="AU281">
        <v>9000</v>
      </c>
      <c r="AV281" t="s">
        <v>3956</v>
      </c>
      <c r="AW281" t="s">
        <v>3956</v>
      </c>
      <c r="AX281">
        <v>24</v>
      </c>
      <c r="AY281">
        <v>2</v>
      </c>
      <c r="AZ281" t="s">
        <v>3897</v>
      </c>
      <c r="BA281">
        <v>10</v>
      </c>
      <c r="BB281" t="s">
        <v>3898</v>
      </c>
      <c r="BC281">
        <v>30</v>
      </c>
      <c r="BD281">
        <v>3</v>
      </c>
      <c r="BE281" t="s">
        <v>3911</v>
      </c>
      <c r="BF281">
        <v>30</v>
      </c>
      <c r="BG281">
        <v>14</v>
      </c>
      <c r="BH281" t="s">
        <v>3947</v>
      </c>
      <c r="BI281" t="s">
        <v>4764</v>
      </c>
      <c r="BJ281">
        <v>1</v>
      </c>
      <c r="BK281" t="s">
        <v>3902</v>
      </c>
    </row>
    <row r="282" spans="1:63" x14ac:dyDescent="0.25">
      <c r="A282">
        <v>4177</v>
      </c>
      <c r="B282" t="str">
        <f>"20200127134017049214"</f>
        <v>20200127134017049214</v>
      </c>
      <c r="C282">
        <v>1</v>
      </c>
      <c r="D282">
        <v>1</v>
      </c>
      <c r="E282" t="s">
        <v>3886</v>
      </c>
      <c r="F282">
        <v>2</v>
      </c>
      <c r="G282">
        <v>0</v>
      </c>
      <c r="H282" t="s">
        <v>66</v>
      </c>
      <c r="I282">
        <v>0</v>
      </c>
      <c r="J282" t="s">
        <v>66</v>
      </c>
      <c r="K282">
        <v>0</v>
      </c>
      <c r="L282" t="s">
        <v>66</v>
      </c>
      <c r="M282" t="s">
        <v>56</v>
      </c>
      <c r="N282">
        <v>0</v>
      </c>
      <c r="O282" t="s">
        <v>66</v>
      </c>
      <c r="P282" t="s">
        <v>56</v>
      </c>
      <c r="Q282">
        <v>0</v>
      </c>
      <c r="R282" t="s">
        <v>66</v>
      </c>
      <c r="S282" t="s">
        <v>56</v>
      </c>
      <c r="T282">
        <v>1</v>
      </c>
      <c r="U282" t="s">
        <v>1627</v>
      </c>
      <c r="V282" t="s">
        <v>56</v>
      </c>
      <c r="W282">
        <v>0</v>
      </c>
      <c r="X282" t="s">
        <v>66</v>
      </c>
      <c r="Y282" t="s">
        <v>56</v>
      </c>
      <c r="Z282">
        <v>0</v>
      </c>
      <c r="AA282" t="s">
        <v>66</v>
      </c>
      <c r="AB282" t="s">
        <v>56</v>
      </c>
      <c r="AC282">
        <v>1</v>
      </c>
      <c r="AD282" t="s">
        <v>1627</v>
      </c>
      <c r="AE282" t="s">
        <v>3887</v>
      </c>
      <c r="AF282">
        <v>0</v>
      </c>
      <c r="AG282" t="s">
        <v>66</v>
      </c>
      <c r="AH282" t="s">
        <v>56</v>
      </c>
      <c r="AI282">
        <v>1</v>
      </c>
      <c r="AJ282" t="s">
        <v>1627</v>
      </c>
      <c r="AK282" t="s">
        <v>56</v>
      </c>
      <c r="AL282" t="s">
        <v>56</v>
      </c>
      <c r="AM282" t="s">
        <v>56</v>
      </c>
      <c r="AN282" t="s">
        <v>56</v>
      </c>
      <c r="AO282" t="s">
        <v>4765</v>
      </c>
      <c r="AP282" t="s">
        <v>3889</v>
      </c>
      <c r="AQ282" t="s">
        <v>3890</v>
      </c>
      <c r="AR282" t="s">
        <v>3891</v>
      </c>
      <c r="AS282" t="s">
        <v>3892</v>
      </c>
      <c r="AT282" t="s">
        <v>3893</v>
      </c>
      <c r="AU282" t="s">
        <v>3894</v>
      </c>
      <c r="AV282" t="s">
        <v>3895</v>
      </c>
      <c r="AW282" t="s">
        <v>3896</v>
      </c>
      <c r="AX282">
        <v>12</v>
      </c>
      <c r="AY282">
        <v>2</v>
      </c>
      <c r="AZ282" t="s">
        <v>3897</v>
      </c>
      <c r="BA282">
        <v>10</v>
      </c>
      <c r="BB282" t="s">
        <v>3898</v>
      </c>
      <c r="BC282">
        <v>3</v>
      </c>
      <c r="BD282">
        <v>5</v>
      </c>
      <c r="BE282" t="s">
        <v>3899</v>
      </c>
      <c r="BF282">
        <v>2</v>
      </c>
      <c r="BG282">
        <v>13</v>
      </c>
      <c r="BH282" t="s">
        <v>3900</v>
      </c>
      <c r="BI282" t="s">
        <v>4766</v>
      </c>
      <c r="BJ282">
        <v>1</v>
      </c>
      <c r="BK282" t="s">
        <v>3902</v>
      </c>
    </row>
    <row r="283" spans="1:63" x14ac:dyDescent="0.25">
      <c r="A283">
        <v>4178</v>
      </c>
      <c r="B283" t="str">
        <f>"20200127137017049892"</f>
        <v>20200127137017049892</v>
      </c>
      <c r="C283">
        <v>1</v>
      </c>
      <c r="D283">
        <v>1</v>
      </c>
      <c r="E283" t="s">
        <v>3886</v>
      </c>
      <c r="F283">
        <v>2</v>
      </c>
      <c r="G283">
        <v>0</v>
      </c>
      <c r="H283" t="s">
        <v>66</v>
      </c>
      <c r="I283">
        <v>0</v>
      </c>
      <c r="J283" t="s">
        <v>66</v>
      </c>
      <c r="K283">
        <v>1</v>
      </c>
      <c r="L283" t="s">
        <v>1627</v>
      </c>
      <c r="M283" t="s">
        <v>4704</v>
      </c>
      <c r="N283">
        <v>1</v>
      </c>
      <c r="O283" t="s">
        <v>1627</v>
      </c>
      <c r="P283" t="s">
        <v>4705</v>
      </c>
      <c r="Q283">
        <v>0</v>
      </c>
      <c r="R283" t="s">
        <v>66</v>
      </c>
      <c r="S283" t="s">
        <v>56</v>
      </c>
      <c r="T283" t="s">
        <v>56</v>
      </c>
      <c r="U283" t="s">
        <v>56</v>
      </c>
      <c r="V283" t="s">
        <v>56</v>
      </c>
      <c r="W283">
        <v>0</v>
      </c>
      <c r="X283" t="s">
        <v>66</v>
      </c>
      <c r="Y283" t="s">
        <v>56</v>
      </c>
      <c r="Z283">
        <v>0</v>
      </c>
      <c r="AA283" t="s">
        <v>66</v>
      </c>
      <c r="AB283" t="s">
        <v>56</v>
      </c>
      <c r="AC283">
        <v>0</v>
      </c>
      <c r="AD283" t="s">
        <v>66</v>
      </c>
      <c r="AE283" t="s">
        <v>56</v>
      </c>
      <c r="AF283">
        <v>0</v>
      </c>
      <c r="AG283" t="s">
        <v>66</v>
      </c>
      <c r="AH283" t="s">
        <v>56</v>
      </c>
      <c r="AI283">
        <v>1</v>
      </c>
      <c r="AJ283" t="s">
        <v>1627</v>
      </c>
      <c r="AK283" t="s">
        <v>56</v>
      </c>
      <c r="AL283" t="s">
        <v>56</v>
      </c>
      <c r="AM283" t="s">
        <v>56</v>
      </c>
      <c r="AN283" t="s">
        <v>56</v>
      </c>
      <c r="AO283" t="s">
        <v>4050</v>
      </c>
      <c r="AP283" t="s">
        <v>3962</v>
      </c>
      <c r="AQ283" t="s">
        <v>3963</v>
      </c>
      <c r="AR283" t="s">
        <v>3941</v>
      </c>
      <c r="AS283" t="s">
        <v>3942</v>
      </c>
      <c r="AT283" t="s">
        <v>4767</v>
      </c>
      <c r="AU283" t="s">
        <v>3944</v>
      </c>
      <c r="AV283" t="s">
        <v>3945</v>
      </c>
      <c r="AW283" t="s">
        <v>3946</v>
      </c>
      <c r="AX283">
        <v>12</v>
      </c>
      <c r="AY283">
        <v>2</v>
      </c>
      <c r="AZ283" t="s">
        <v>3897</v>
      </c>
      <c r="BA283">
        <v>10</v>
      </c>
      <c r="BB283" t="s">
        <v>3898</v>
      </c>
      <c r="BC283">
        <v>15</v>
      </c>
      <c r="BD283">
        <v>3</v>
      </c>
      <c r="BE283" t="s">
        <v>3911</v>
      </c>
      <c r="BF283">
        <v>30</v>
      </c>
      <c r="BG283">
        <v>66</v>
      </c>
      <c r="BH283" t="s">
        <v>3965</v>
      </c>
      <c r="BI283" t="s">
        <v>4707</v>
      </c>
      <c r="BJ283">
        <v>1</v>
      </c>
      <c r="BK283" t="s">
        <v>3902</v>
      </c>
    </row>
    <row r="284" spans="1:63" x14ac:dyDescent="0.25">
      <c r="A284">
        <v>4179</v>
      </c>
      <c r="B284" t="str">
        <f>"20200127159017050123"</f>
        <v>20200127159017050123</v>
      </c>
      <c r="C284">
        <v>1</v>
      </c>
      <c r="D284">
        <v>1</v>
      </c>
      <c r="E284" t="s">
        <v>3886</v>
      </c>
      <c r="F284">
        <v>2</v>
      </c>
      <c r="G284">
        <v>0</v>
      </c>
      <c r="H284" t="s">
        <v>66</v>
      </c>
      <c r="I284">
        <v>0</v>
      </c>
      <c r="J284" t="s">
        <v>66</v>
      </c>
      <c r="K284">
        <v>1</v>
      </c>
      <c r="L284" t="s">
        <v>1627</v>
      </c>
      <c r="M284" t="s">
        <v>3976</v>
      </c>
      <c r="N284">
        <v>1</v>
      </c>
      <c r="O284" t="s">
        <v>1627</v>
      </c>
      <c r="P284" t="s">
        <v>4768</v>
      </c>
      <c r="Q284">
        <v>0</v>
      </c>
      <c r="R284" t="s">
        <v>66</v>
      </c>
      <c r="S284" t="s">
        <v>56</v>
      </c>
      <c r="T284" t="s">
        <v>56</v>
      </c>
      <c r="U284" t="s">
        <v>56</v>
      </c>
      <c r="V284" t="s">
        <v>56</v>
      </c>
      <c r="W284">
        <v>0</v>
      </c>
      <c r="X284" t="s">
        <v>66</v>
      </c>
      <c r="Y284" t="s">
        <v>56</v>
      </c>
      <c r="Z284">
        <v>0</v>
      </c>
      <c r="AA284" t="s">
        <v>66</v>
      </c>
      <c r="AB284" t="s">
        <v>56</v>
      </c>
      <c r="AC284">
        <v>0</v>
      </c>
      <c r="AD284" t="s">
        <v>66</v>
      </c>
      <c r="AE284" t="s">
        <v>56</v>
      </c>
      <c r="AF284">
        <v>0</v>
      </c>
      <c r="AG284" t="s">
        <v>66</v>
      </c>
      <c r="AH284" t="s">
        <v>56</v>
      </c>
      <c r="AI284">
        <v>1</v>
      </c>
      <c r="AJ284" t="s">
        <v>1627</v>
      </c>
      <c r="AK284" t="s">
        <v>56</v>
      </c>
      <c r="AL284" t="s">
        <v>56</v>
      </c>
      <c r="AM284" t="s">
        <v>56</v>
      </c>
      <c r="AN284" t="s">
        <v>56</v>
      </c>
      <c r="AO284" t="s">
        <v>4076</v>
      </c>
      <c r="AP284" t="s">
        <v>3962</v>
      </c>
      <c r="AQ284" t="s">
        <v>3963</v>
      </c>
      <c r="AR284" t="s">
        <v>3941</v>
      </c>
      <c r="AS284" t="s">
        <v>3942</v>
      </c>
      <c r="AT284" t="s">
        <v>4769</v>
      </c>
      <c r="AU284">
        <v>9000</v>
      </c>
      <c r="AV284" t="s">
        <v>3956</v>
      </c>
      <c r="AW284" t="s">
        <v>3956</v>
      </c>
      <c r="AX284">
        <v>12</v>
      </c>
      <c r="AY284">
        <v>2</v>
      </c>
      <c r="AZ284" t="s">
        <v>3897</v>
      </c>
      <c r="BA284">
        <v>10</v>
      </c>
      <c r="BB284" t="s">
        <v>3898</v>
      </c>
      <c r="BC284">
        <v>3</v>
      </c>
      <c r="BD284">
        <v>5</v>
      </c>
      <c r="BE284" t="s">
        <v>3899</v>
      </c>
      <c r="BF284">
        <v>180</v>
      </c>
      <c r="BG284">
        <v>66</v>
      </c>
      <c r="BH284" t="s">
        <v>3965</v>
      </c>
      <c r="BI284" t="s">
        <v>4770</v>
      </c>
      <c r="BJ284">
        <v>1</v>
      </c>
      <c r="BK284" t="s">
        <v>3902</v>
      </c>
    </row>
    <row r="285" spans="1:63" x14ac:dyDescent="0.25">
      <c r="A285">
        <v>4180</v>
      </c>
      <c r="B285" t="str">
        <f>"20200127110017050240"</f>
        <v>20200127110017050240</v>
      </c>
      <c r="C285">
        <v>1</v>
      </c>
      <c r="D285">
        <v>1</v>
      </c>
      <c r="E285" t="s">
        <v>3886</v>
      </c>
      <c r="F285">
        <v>2</v>
      </c>
      <c r="G285">
        <v>0</v>
      </c>
      <c r="H285" t="s">
        <v>66</v>
      </c>
      <c r="I285">
        <v>0</v>
      </c>
      <c r="J285" t="s">
        <v>66</v>
      </c>
      <c r="K285">
        <v>1</v>
      </c>
      <c r="L285" t="s">
        <v>1627</v>
      </c>
      <c r="M285" t="s">
        <v>4771</v>
      </c>
      <c r="N285">
        <v>1</v>
      </c>
      <c r="O285" t="s">
        <v>1627</v>
      </c>
      <c r="P285" t="s">
        <v>4772</v>
      </c>
      <c r="Q285">
        <v>0</v>
      </c>
      <c r="R285" t="s">
        <v>66</v>
      </c>
      <c r="S285" t="s">
        <v>56</v>
      </c>
      <c r="T285" t="s">
        <v>56</v>
      </c>
      <c r="U285" t="s">
        <v>56</v>
      </c>
      <c r="V285" t="s">
        <v>56</v>
      </c>
      <c r="W285">
        <v>0</v>
      </c>
      <c r="X285" t="s">
        <v>66</v>
      </c>
      <c r="Y285" t="s">
        <v>56</v>
      </c>
      <c r="Z285">
        <v>0</v>
      </c>
      <c r="AA285" t="s">
        <v>66</v>
      </c>
      <c r="AB285" t="s">
        <v>56</v>
      </c>
      <c r="AC285">
        <v>0</v>
      </c>
      <c r="AD285" t="s">
        <v>66</v>
      </c>
      <c r="AE285" t="s">
        <v>56</v>
      </c>
      <c r="AF285">
        <v>0</v>
      </c>
      <c r="AG285" t="s">
        <v>66</v>
      </c>
      <c r="AH285" t="s">
        <v>56</v>
      </c>
      <c r="AI285">
        <v>1</v>
      </c>
      <c r="AJ285" t="s">
        <v>1627</v>
      </c>
      <c r="AK285">
        <v>1</v>
      </c>
      <c r="AL285" t="s">
        <v>1627</v>
      </c>
      <c r="AM285" t="s">
        <v>56</v>
      </c>
      <c r="AN285" t="s">
        <v>56</v>
      </c>
      <c r="AO285" t="s">
        <v>4773</v>
      </c>
      <c r="AP285" t="s">
        <v>3889</v>
      </c>
      <c r="AQ285" t="s">
        <v>3890</v>
      </c>
      <c r="AR285" t="s">
        <v>3941</v>
      </c>
      <c r="AS285" t="s">
        <v>3942</v>
      </c>
      <c r="AT285" t="s">
        <v>4774</v>
      </c>
      <c r="AU285" t="s">
        <v>3894</v>
      </c>
      <c r="AV285" t="s">
        <v>3895</v>
      </c>
      <c r="AW285" t="s">
        <v>3896</v>
      </c>
      <c r="AX285">
        <v>12</v>
      </c>
      <c r="AY285">
        <v>2</v>
      </c>
      <c r="AZ285" t="s">
        <v>3897</v>
      </c>
      <c r="BA285">
        <v>10</v>
      </c>
      <c r="BB285" t="s">
        <v>3898</v>
      </c>
      <c r="BC285">
        <v>90</v>
      </c>
      <c r="BD285">
        <v>3</v>
      </c>
      <c r="BE285" t="s">
        <v>3911</v>
      </c>
      <c r="BF285">
        <v>3</v>
      </c>
      <c r="BG285">
        <v>13</v>
      </c>
      <c r="BH285" t="s">
        <v>3900</v>
      </c>
      <c r="BI285" t="s">
        <v>4775</v>
      </c>
      <c r="BJ285">
        <v>2</v>
      </c>
      <c r="BK285" t="s">
        <v>4776</v>
      </c>
    </row>
    <row r="286" spans="1:63" x14ac:dyDescent="0.25">
      <c r="A286">
        <v>4181</v>
      </c>
      <c r="B286" t="str">
        <f>"20200127121017050294"</f>
        <v>20200127121017050294</v>
      </c>
      <c r="C286">
        <v>1</v>
      </c>
      <c r="D286">
        <v>1</v>
      </c>
      <c r="E286" t="s">
        <v>3886</v>
      </c>
      <c r="F286">
        <v>2</v>
      </c>
      <c r="G286">
        <v>0</v>
      </c>
      <c r="H286" t="s">
        <v>66</v>
      </c>
      <c r="I286">
        <v>0</v>
      </c>
      <c r="J286" t="s">
        <v>66</v>
      </c>
      <c r="K286">
        <v>1</v>
      </c>
      <c r="L286" t="s">
        <v>1627</v>
      </c>
      <c r="M286" t="s">
        <v>4199</v>
      </c>
      <c r="N286">
        <v>1</v>
      </c>
      <c r="O286" t="s">
        <v>1627</v>
      </c>
      <c r="P286" t="s">
        <v>4200</v>
      </c>
      <c r="Q286">
        <v>0</v>
      </c>
      <c r="R286" t="s">
        <v>66</v>
      </c>
      <c r="S286" t="s">
        <v>56</v>
      </c>
      <c r="T286" t="s">
        <v>56</v>
      </c>
      <c r="U286" t="s">
        <v>56</v>
      </c>
      <c r="V286" t="s">
        <v>56</v>
      </c>
      <c r="W286">
        <v>0</v>
      </c>
      <c r="X286" t="s">
        <v>66</v>
      </c>
      <c r="Y286" t="s">
        <v>56</v>
      </c>
      <c r="Z286">
        <v>0</v>
      </c>
      <c r="AA286" t="s">
        <v>66</v>
      </c>
      <c r="AB286" t="s">
        <v>56</v>
      </c>
      <c r="AC286">
        <v>0</v>
      </c>
      <c r="AD286" t="s">
        <v>66</v>
      </c>
      <c r="AE286" t="s">
        <v>56</v>
      </c>
      <c r="AF286">
        <v>0</v>
      </c>
      <c r="AG286" t="s">
        <v>66</v>
      </c>
      <c r="AH286" t="s">
        <v>56</v>
      </c>
      <c r="AI286">
        <v>1</v>
      </c>
      <c r="AJ286" t="s">
        <v>1627</v>
      </c>
      <c r="AK286" t="s">
        <v>56</v>
      </c>
      <c r="AL286" t="s">
        <v>56</v>
      </c>
      <c r="AM286" t="s">
        <v>56</v>
      </c>
      <c r="AN286" t="s">
        <v>56</v>
      </c>
      <c r="AO286" t="s">
        <v>4201</v>
      </c>
      <c r="AP286" t="s">
        <v>3962</v>
      </c>
      <c r="AQ286" t="s">
        <v>3963</v>
      </c>
      <c r="AR286" t="s">
        <v>3941</v>
      </c>
      <c r="AS286" t="s">
        <v>3942</v>
      </c>
      <c r="AT286" t="s">
        <v>4427</v>
      </c>
      <c r="AU286" t="s">
        <v>3944</v>
      </c>
      <c r="AV286" t="s">
        <v>3945</v>
      </c>
      <c r="AW286" t="s">
        <v>3946</v>
      </c>
      <c r="AX286">
        <v>12</v>
      </c>
      <c r="AY286">
        <v>2</v>
      </c>
      <c r="AZ286" t="s">
        <v>3897</v>
      </c>
      <c r="BA286">
        <v>10</v>
      </c>
      <c r="BB286" t="s">
        <v>3898</v>
      </c>
      <c r="BC286">
        <v>3</v>
      </c>
      <c r="BD286">
        <v>5</v>
      </c>
      <c r="BE286" t="s">
        <v>3899</v>
      </c>
      <c r="BF286">
        <v>180</v>
      </c>
      <c r="BG286">
        <v>66</v>
      </c>
      <c r="BH286" t="s">
        <v>3965</v>
      </c>
      <c r="BI286" t="s">
        <v>4777</v>
      </c>
      <c r="BJ286">
        <v>1</v>
      </c>
      <c r="BK286" t="s">
        <v>3902</v>
      </c>
    </row>
    <row r="287" spans="1:63" x14ac:dyDescent="0.25">
      <c r="A287">
        <v>4182</v>
      </c>
      <c r="B287" t="str">
        <f>"20200127195017050363"</f>
        <v>20200127195017050363</v>
      </c>
      <c r="C287">
        <v>1</v>
      </c>
      <c r="D287">
        <v>1</v>
      </c>
      <c r="E287" t="s">
        <v>3886</v>
      </c>
      <c r="F287">
        <v>2</v>
      </c>
      <c r="G287">
        <v>0</v>
      </c>
      <c r="H287" t="s">
        <v>66</v>
      </c>
      <c r="I287">
        <v>0</v>
      </c>
      <c r="J287" t="s">
        <v>66</v>
      </c>
      <c r="K287">
        <v>0</v>
      </c>
      <c r="L287" t="s">
        <v>66</v>
      </c>
      <c r="M287" t="s">
        <v>56</v>
      </c>
      <c r="N287">
        <v>0</v>
      </c>
      <c r="O287" t="s">
        <v>66</v>
      </c>
      <c r="P287" t="s">
        <v>56</v>
      </c>
      <c r="Q287">
        <v>0</v>
      </c>
      <c r="R287" t="s">
        <v>66</v>
      </c>
      <c r="S287" t="s">
        <v>56</v>
      </c>
      <c r="T287">
        <v>1</v>
      </c>
      <c r="U287" t="s">
        <v>1627</v>
      </c>
      <c r="V287" t="s">
        <v>56</v>
      </c>
      <c r="W287">
        <v>0</v>
      </c>
      <c r="X287" t="s">
        <v>66</v>
      </c>
      <c r="Y287" t="s">
        <v>56</v>
      </c>
      <c r="Z287">
        <v>0</v>
      </c>
      <c r="AA287" t="s">
        <v>66</v>
      </c>
      <c r="AB287" t="s">
        <v>56</v>
      </c>
      <c r="AC287">
        <v>1</v>
      </c>
      <c r="AD287" t="s">
        <v>1627</v>
      </c>
      <c r="AE287" t="s">
        <v>3887</v>
      </c>
      <c r="AF287">
        <v>0</v>
      </c>
      <c r="AG287" t="s">
        <v>66</v>
      </c>
      <c r="AH287" t="s">
        <v>56</v>
      </c>
      <c r="AI287">
        <v>1</v>
      </c>
      <c r="AJ287" t="s">
        <v>1627</v>
      </c>
      <c r="AK287" t="s">
        <v>56</v>
      </c>
      <c r="AL287" t="s">
        <v>56</v>
      </c>
      <c r="AM287" t="s">
        <v>56</v>
      </c>
      <c r="AN287" t="s">
        <v>56</v>
      </c>
      <c r="AO287" t="s">
        <v>3958</v>
      </c>
      <c r="AP287" t="s">
        <v>3939</v>
      </c>
      <c r="AQ287" t="s">
        <v>3940</v>
      </c>
      <c r="AR287" t="s">
        <v>3941</v>
      </c>
      <c r="AS287" t="s">
        <v>3942</v>
      </c>
      <c r="AT287" t="s">
        <v>4778</v>
      </c>
      <c r="AU287" t="s">
        <v>3944</v>
      </c>
      <c r="AV287" t="s">
        <v>3945</v>
      </c>
      <c r="AW287" t="s">
        <v>3946</v>
      </c>
      <c r="AX287">
        <v>24</v>
      </c>
      <c r="AY287">
        <v>2</v>
      </c>
      <c r="AZ287" t="s">
        <v>3897</v>
      </c>
      <c r="BA287">
        <v>10</v>
      </c>
      <c r="BB287" t="s">
        <v>3898</v>
      </c>
      <c r="BC287">
        <v>90</v>
      </c>
      <c r="BD287">
        <v>3</v>
      </c>
      <c r="BE287" t="s">
        <v>3911</v>
      </c>
      <c r="BF287">
        <v>360</v>
      </c>
      <c r="BG287">
        <v>14</v>
      </c>
      <c r="BH287" t="s">
        <v>3947</v>
      </c>
      <c r="BI287" t="s">
        <v>4779</v>
      </c>
      <c r="BJ287">
        <v>1</v>
      </c>
      <c r="BK287" t="s">
        <v>3902</v>
      </c>
    </row>
    <row r="288" spans="1:63" x14ac:dyDescent="0.25">
      <c r="A288">
        <v>4183</v>
      </c>
      <c r="B288" t="str">
        <f>"20200127178017050518"</f>
        <v>20200127178017050518</v>
      </c>
      <c r="C288">
        <v>1</v>
      </c>
      <c r="D288">
        <v>1</v>
      </c>
      <c r="E288" t="s">
        <v>3886</v>
      </c>
      <c r="F288">
        <v>2</v>
      </c>
      <c r="G288">
        <v>0</v>
      </c>
      <c r="H288" t="s">
        <v>66</v>
      </c>
      <c r="I288">
        <v>0</v>
      </c>
      <c r="J288" t="s">
        <v>66</v>
      </c>
      <c r="K288">
        <v>0</v>
      </c>
      <c r="L288" t="s">
        <v>66</v>
      </c>
      <c r="M288" t="s">
        <v>56</v>
      </c>
      <c r="N288">
        <v>0</v>
      </c>
      <c r="O288" t="s">
        <v>66</v>
      </c>
      <c r="P288" t="s">
        <v>56</v>
      </c>
      <c r="Q288">
        <v>0</v>
      </c>
      <c r="R288" t="s">
        <v>66</v>
      </c>
      <c r="S288" t="s">
        <v>56</v>
      </c>
      <c r="T288">
        <v>1</v>
      </c>
      <c r="U288" t="s">
        <v>1627</v>
      </c>
      <c r="V288" t="s">
        <v>56</v>
      </c>
      <c r="W288">
        <v>0</v>
      </c>
      <c r="X288" t="s">
        <v>66</v>
      </c>
      <c r="Y288" t="s">
        <v>56</v>
      </c>
      <c r="Z288">
        <v>0</v>
      </c>
      <c r="AA288" t="s">
        <v>66</v>
      </c>
      <c r="AB288" t="s">
        <v>56</v>
      </c>
      <c r="AC288">
        <v>1</v>
      </c>
      <c r="AD288" t="s">
        <v>1627</v>
      </c>
      <c r="AE288" t="s">
        <v>3887</v>
      </c>
      <c r="AF288">
        <v>0</v>
      </c>
      <c r="AG288" t="s">
        <v>66</v>
      </c>
      <c r="AH288" t="s">
        <v>56</v>
      </c>
      <c r="AI288">
        <v>1</v>
      </c>
      <c r="AJ288" t="s">
        <v>1627</v>
      </c>
      <c r="AK288" t="s">
        <v>56</v>
      </c>
      <c r="AL288" t="s">
        <v>56</v>
      </c>
      <c r="AM288" t="s">
        <v>56</v>
      </c>
      <c r="AN288" t="s">
        <v>56</v>
      </c>
      <c r="AO288" t="s">
        <v>4394</v>
      </c>
      <c r="AP288" t="s">
        <v>3889</v>
      </c>
      <c r="AQ288" t="s">
        <v>3890</v>
      </c>
      <c r="AR288" t="s">
        <v>3926</v>
      </c>
      <c r="AS288" t="s">
        <v>3927</v>
      </c>
      <c r="AT288" t="s">
        <v>4780</v>
      </c>
      <c r="AU288" t="s">
        <v>3894</v>
      </c>
      <c r="AV288" t="s">
        <v>3895</v>
      </c>
      <c r="AW288" t="s">
        <v>3896</v>
      </c>
      <c r="AX288">
        <v>24</v>
      </c>
      <c r="AY288">
        <v>2</v>
      </c>
      <c r="AZ288" t="s">
        <v>3897</v>
      </c>
      <c r="BA288">
        <v>10</v>
      </c>
      <c r="BB288" t="s">
        <v>3898</v>
      </c>
      <c r="BC288">
        <v>6</v>
      </c>
      <c r="BD288">
        <v>5</v>
      </c>
      <c r="BE288" t="s">
        <v>3899</v>
      </c>
      <c r="BF288">
        <v>6</v>
      </c>
      <c r="BG288">
        <v>13</v>
      </c>
      <c r="BH288" t="s">
        <v>3900</v>
      </c>
      <c r="BI288" t="s">
        <v>4781</v>
      </c>
      <c r="BJ288">
        <v>1</v>
      </c>
      <c r="BK288" t="s">
        <v>3902</v>
      </c>
    </row>
    <row r="289" spans="1:63" x14ac:dyDescent="0.25">
      <c r="A289">
        <v>4184</v>
      </c>
      <c r="B289" t="str">
        <f>"20200127164017050635"</f>
        <v>20200127164017050635</v>
      </c>
      <c r="C289">
        <v>1</v>
      </c>
      <c r="D289">
        <v>1</v>
      </c>
      <c r="E289" t="s">
        <v>3886</v>
      </c>
      <c r="F289">
        <v>2</v>
      </c>
      <c r="G289">
        <v>0</v>
      </c>
      <c r="H289" t="s">
        <v>66</v>
      </c>
      <c r="I289">
        <v>0</v>
      </c>
      <c r="J289" t="s">
        <v>66</v>
      </c>
      <c r="K289">
        <v>0</v>
      </c>
      <c r="L289" t="s">
        <v>66</v>
      </c>
      <c r="M289" t="s">
        <v>56</v>
      </c>
      <c r="N289">
        <v>0</v>
      </c>
      <c r="O289" t="s">
        <v>66</v>
      </c>
      <c r="P289" t="s">
        <v>56</v>
      </c>
      <c r="Q289">
        <v>0</v>
      </c>
      <c r="R289" t="s">
        <v>66</v>
      </c>
      <c r="S289" t="s">
        <v>56</v>
      </c>
      <c r="T289">
        <v>1</v>
      </c>
      <c r="U289" t="s">
        <v>1627</v>
      </c>
      <c r="V289" t="s">
        <v>56</v>
      </c>
      <c r="W289">
        <v>0</v>
      </c>
      <c r="X289" t="s">
        <v>66</v>
      </c>
      <c r="Y289" t="s">
        <v>56</v>
      </c>
      <c r="Z289">
        <v>0</v>
      </c>
      <c r="AA289" t="s">
        <v>66</v>
      </c>
      <c r="AB289" t="s">
        <v>56</v>
      </c>
      <c r="AC289">
        <v>1</v>
      </c>
      <c r="AD289" t="s">
        <v>1627</v>
      </c>
      <c r="AE289" t="s">
        <v>3887</v>
      </c>
      <c r="AF289">
        <v>0</v>
      </c>
      <c r="AG289" t="s">
        <v>66</v>
      </c>
      <c r="AH289" t="s">
        <v>56</v>
      </c>
      <c r="AI289">
        <v>1</v>
      </c>
      <c r="AJ289" t="s">
        <v>1627</v>
      </c>
      <c r="AK289" t="s">
        <v>56</v>
      </c>
      <c r="AL289" t="s">
        <v>56</v>
      </c>
      <c r="AM289" t="s">
        <v>56</v>
      </c>
      <c r="AN289" t="s">
        <v>56</v>
      </c>
      <c r="AO289" t="s">
        <v>4046</v>
      </c>
      <c r="AP289" t="s">
        <v>3889</v>
      </c>
      <c r="AQ289" t="s">
        <v>3890</v>
      </c>
      <c r="AR289" t="s">
        <v>3926</v>
      </c>
      <c r="AS289" t="s">
        <v>3927</v>
      </c>
      <c r="AT289" t="s">
        <v>4370</v>
      </c>
      <c r="AU289" t="s">
        <v>3894</v>
      </c>
      <c r="AV289" t="s">
        <v>3895</v>
      </c>
      <c r="AW289" t="s">
        <v>3896</v>
      </c>
      <c r="AX289">
        <v>12</v>
      </c>
      <c r="AY289">
        <v>2</v>
      </c>
      <c r="AZ289" t="s">
        <v>3897</v>
      </c>
      <c r="BA289">
        <v>10</v>
      </c>
      <c r="BB289" t="s">
        <v>3898</v>
      </c>
      <c r="BC289">
        <v>90</v>
      </c>
      <c r="BD289">
        <v>3</v>
      </c>
      <c r="BE289" t="s">
        <v>3911</v>
      </c>
      <c r="BF289">
        <v>3</v>
      </c>
      <c r="BG289">
        <v>13</v>
      </c>
      <c r="BH289" t="s">
        <v>3900</v>
      </c>
      <c r="BI289" t="s">
        <v>4371</v>
      </c>
      <c r="BJ289">
        <v>1</v>
      </c>
      <c r="BK289" t="s">
        <v>3902</v>
      </c>
    </row>
    <row r="290" spans="1:63" x14ac:dyDescent="0.25">
      <c r="A290">
        <v>4185</v>
      </c>
      <c r="B290" t="str">
        <f>"20200127130017050878"</f>
        <v>20200127130017050878</v>
      </c>
      <c r="C290">
        <v>1</v>
      </c>
      <c r="D290">
        <v>1</v>
      </c>
      <c r="E290" t="s">
        <v>3886</v>
      </c>
      <c r="F290">
        <v>2</v>
      </c>
      <c r="G290">
        <v>0</v>
      </c>
      <c r="H290" t="s">
        <v>66</v>
      </c>
      <c r="I290">
        <v>0</v>
      </c>
      <c r="J290" t="s">
        <v>66</v>
      </c>
      <c r="K290">
        <v>1</v>
      </c>
      <c r="L290" t="s">
        <v>1627</v>
      </c>
      <c r="M290" t="s">
        <v>4353</v>
      </c>
      <c r="N290">
        <v>1</v>
      </c>
      <c r="O290" t="s">
        <v>1627</v>
      </c>
      <c r="P290" t="s">
        <v>4782</v>
      </c>
      <c r="Q290">
        <v>0</v>
      </c>
      <c r="R290" t="s">
        <v>66</v>
      </c>
      <c r="S290" t="s">
        <v>56</v>
      </c>
      <c r="T290" t="s">
        <v>56</v>
      </c>
      <c r="U290" t="s">
        <v>56</v>
      </c>
      <c r="V290" t="s">
        <v>56</v>
      </c>
      <c r="W290">
        <v>0</v>
      </c>
      <c r="X290" t="s">
        <v>66</v>
      </c>
      <c r="Y290" t="s">
        <v>56</v>
      </c>
      <c r="Z290">
        <v>0</v>
      </c>
      <c r="AA290" t="s">
        <v>66</v>
      </c>
      <c r="AB290" t="s">
        <v>56</v>
      </c>
      <c r="AC290">
        <v>0</v>
      </c>
      <c r="AD290" t="s">
        <v>66</v>
      </c>
      <c r="AE290" t="s">
        <v>56</v>
      </c>
      <c r="AF290">
        <v>0</v>
      </c>
      <c r="AG290" t="s">
        <v>66</v>
      </c>
      <c r="AH290" t="s">
        <v>56</v>
      </c>
      <c r="AI290">
        <v>1</v>
      </c>
      <c r="AJ290" t="s">
        <v>1627</v>
      </c>
      <c r="AK290" t="s">
        <v>56</v>
      </c>
      <c r="AL290" t="s">
        <v>56</v>
      </c>
      <c r="AM290" t="s">
        <v>56</v>
      </c>
      <c r="AN290" t="s">
        <v>56</v>
      </c>
      <c r="AO290" t="s">
        <v>4783</v>
      </c>
      <c r="AP290" t="s">
        <v>3889</v>
      </c>
      <c r="AQ290" t="s">
        <v>3890</v>
      </c>
      <c r="AR290" t="s">
        <v>3920</v>
      </c>
      <c r="AS290" t="s">
        <v>3921</v>
      </c>
      <c r="AT290" t="s">
        <v>4784</v>
      </c>
      <c r="AU290" t="s">
        <v>3907</v>
      </c>
      <c r="AV290" t="s">
        <v>3908</v>
      </c>
      <c r="AW290" t="s">
        <v>3909</v>
      </c>
      <c r="AX290">
        <v>24</v>
      </c>
      <c r="AY290">
        <v>2</v>
      </c>
      <c r="AZ290" t="s">
        <v>3897</v>
      </c>
      <c r="BA290">
        <v>10</v>
      </c>
      <c r="BB290" t="s">
        <v>3898</v>
      </c>
      <c r="BC290">
        <v>120</v>
      </c>
      <c r="BD290">
        <v>3</v>
      </c>
      <c r="BE290" t="s">
        <v>3911</v>
      </c>
      <c r="BF290">
        <v>4</v>
      </c>
      <c r="BG290">
        <v>37</v>
      </c>
      <c r="BH290" t="s">
        <v>4007</v>
      </c>
      <c r="BI290" t="s">
        <v>4785</v>
      </c>
      <c r="BJ290">
        <v>1</v>
      </c>
      <c r="BK290" t="s">
        <v>3902</v>
      </c>
    </row>
    <row r="291" spans="1:63" x14ac:dyDescent="0.25">
      <c r="A291">
        <v>4684</v>
      </c>
      <c r="B291" t="str">
        <f>"20200131117017168704"</f>
        <v>20200131117017168704</v>
      </c>
      <c r="C291">
        <v>1</v>
      </c>
      <c r="D291">
        <v>1</v>
      </c>
      <c r="E291" t="s">
        <v>3886</v>
      </c>
      <c r="F291">
        <v>2</v>
      </c>
      <c r="G291">
        <v>0</v>
      </c>
      <c r="H291" t="s">
        <v>66</v>
      </c>
      <c r="I291">
        <v>0</v>
      </c>
      <c r="J291" t="s">
        <v>66</v>
      </c>
      <c r="K291">
        <v>0</v>
      </c>
      <c r="L291" t="s">
        <v>66</v>
      </c>
      <c r="M291" t="s">
        <v>56</v>
      </c>
      <c r="N291">
        <v>0</v>
      </c>
      <c r="O291" t="s">
        <v>66</v>
      </c>
      <c r="P291" t="s">
        <v>56</v>
      </c>
      <c r="Q291">
        <v>0</v>
      </c>
      <c r="R291" t="s">
        <v>66</v>
      </c>
      <c r="S291" t="s">
        <v>56</v>
      </c>
      <c r="T291">
        <v>1</v>
      </c>
      <c r="U291" t="s">
        <v>1627</v>
      </c>
      <c r="V291" t="s">
        <v>56</v>
      </c>
      <c r="W291">
        <v>0</v>
      </c>
      <c r="X291" t="s">
        <v>66</v>
      </c>
      <c r="Y291" t="s">
        <v>56</v>
      </c>
      <c r="Z291">
        <v>0</v>
      </c>
      <c r="AA291" t="s">
        <v>66</v>
      </c>
      <c r="AB291" t="s">
        <v>56</v>
      </c>
      <c r="AC291">
        <v>1</v>
      </c>
      <c r="AD291" t="s">
        <v>1627</v>
      </c>
      <c r="AE291" t="s">
        <v>3887</v>
      </c>
      <c r="AF291">
        <v>0</v>
      </c>
      <c r="AG291" t="s">
        <v>66</v>
      </c>
      <c r="AH291" t="s">
        <v>56</v>
      </c>
      <c r="AI291">
        <v>1</v>
      </c>
      <c r="AJ291" t="s">
        <v>1627</v>
      </c>
      <c r="AK291" t="s">
        <v>56</v>
      </c>
      <c r="AL291" t="s">
        <v>56</v>
      </c>
      <c r="AM291" t="s">
        <v>56</v>
      </c>
      <c r="AN291" t="s">
        <v>56</v>
      </c>
      <c r="AO291" t="s">
        <v>4139</v>
      </c>
      <c r="AP291" t="s">
        <v>3889</v>
      </c>
      <c r="AQ291" t="s">
        <v>3890</v>
      </c>
      <c r="AR291" t="s">
        <v>3891</v>
      </c>
      <c r="AS291" t="s">
        <v>3892</v>
      </c>
      <c r="AT291" t="s">
        <v>4786</v>
      </c>
      <c r="AU291" t="s">
        <v>3894</v>
      </c>
      <c r="AV291" t="s">
        <v>3895</v>
      </c>
      <c r="AW291" t="s">
        <v>3896</v>
      </c>
      <c r="AX291">
        <v>12</v>
      </c>
      <c r="AY291">
        <v>2</v>
      </c>
      <c r="AZ291" t="s">
        <v>3897</v>
      </c>
      <c r="BA291">
        <v>10</v>
      </c>
      <c r="BB291" t="s">
        <v>3898</v>
      </c>
      <c r="BC291">
        <v>4</v>
      </c>
      <c r="BD291">
        <v>5</v>
      </c>
      <c r="BE291" t="s">
        <v>3899</v>
      </c>
      <c r="BF291">
        <v>4</v>
      </c>
      <c r="BG291">
        <v>13</v>
      </c>
      <c r="BH291" t="s">
        <v>3900</v>
      </c>
      <c r="BI291" t="s">
        <v>4787</v>
      </c>
      <c r="BJ291">
        <v>1</v>
      </c>
      <c r="BK291" t="s">
        <v>3902</v>
      </c>
    </row>
    <row r="292" spans="1:63" x14ac:dyDescent="0.25">
      <c r="A292">
        <v>4685</v>
      </c>
      <c r="B292" t="str">
        <f>"20200131123017169102"</f>
        <v>20200131123017169102</v>
      </c>
      <c r="C292">
        <v>1</v>
      </c>
      <c r="D292">
        <v>1</v>
      </c>
      <c r="E292" t="s">
        <v>3886</v>
      </c>
      <c r="F292">
        <v>2</v>
      </c>
      <c r="G292">
        <v>0</v>
      </c>
      <c r="H292" t="s">
        <v>66</v>
      </c>
      <c r="I292">
        <v>0</v>
      </c>
      <c r="J292" t="s">
        <v>66</v>
      </c>
      <c r="K292">
        <v>1</v>
      </c>
      <c r="L292" t="s">
        <v>1627</v>
      </c>
      <c r="M292" t="s">
        <v>4788</v>
      </c>
      <c r="N292">
        <v>1</v>
      </c>
      <c r="O292" t="s">
        <v>1627</v>
      </c>
      <c r="P292" t="s">
        <v>4789</v>
      </c>
      <c r="Q292">
        <v>0</v>
      </c>
      <c r="R292" t="s">
        <v>66</v>
      </c>
      <c r="S292" t="s">
        <v>56</v>
      </c>
      <c r="T292" t="s">
        <v>56</v>
      </c>
      <c r="U292" t="s">
        <v>56</v>
      </c>
      <c r="V292" t="s">
        <v>56</v>
      </c>
      <c r="W292">
        <v>0</v>
      </c>
      <c r="X292" t="s">
        <v>66</v>
      </c>
      <c r="Y292" t="s">
        <v>56</v>
      </c>
      <c r="Z292">
        <v>0</v>
      </c>
      <c r="AA292" t="s">
        <v>66</v>
      </c>
      <c r="AB292" t="s">
        <v>56</v>
      </c>
      <c r="AC292">
        <v>0</v>
      </c>
      <c r="AD292" t="s">
        <v>66</v>
      </c>
      <c r="AE292" t="s">
        <v>56</v>
      </c>
      <c r="AF292">
        <v>0</v>
      </c>
      <c r="AG292" t="s">
        <v>66</v>
      </c>
      <c r="AH292" t="s">
        <v>56</v>
      </c>
      <c r="AI292">
        <v>1</v>
      </c>
      <c r="AJ292" t="s">
        <v>1627</v>
      </c>
      <c r="AK292" t="s">
        <v>56</v>
      </c>
      <c r="AL292" t="s">
        <v>56</v>
      </c>
      <c r="AM292" t="s">
        <v>56</v>
      </c>
      <c r="AN292" t="s">
        <v>56</v>
      </c>
      <c r="AO292" t="s">
        <v>3985</v>
      </c>
      <c r="AP292" t="s">
        <v>3962</v>
      </c>
      <c r="AQ292" t="s">
        <v>3963</v>
      </c>
      <c r="AR292" t="s">
        <v>3941</v>
      </c>
      <c r="AS292" t="s">
        <v>3942</v>
      </c>
      <c r="AT292" t="s">
        <v>4790</v>
      </c>
      <c r="AU292">
        <v>9000</v>
      </c>
      <c r="AV292" t="s">
        <v>3956</v>
      </c>
      <c r="AW292" t="s">
        <v>3956</v>
      </c>
      <c r="AX292">
        <v>24</v>
      </c>
      <c r="AY292">
        <v>2</v>
      </c>
      <c r="AZ292" t="s">
        <v>3897</v>
      </c>
      <c r="BA292">
        <v>10</v>
      </c>
      <c r="BB292" t="s">
        <v>3898</v>
      </c>
      <c r="BC292">
        <v>90</v>
      </c>
      <c r="BD292">
        <v>3</v>
      </c>
      <c r="BE292" t="s">
        <v>3911</v>
      </c>
      <c r="BF292">
        <v>90</v>
      </c>
      <c r="BG292">
        <v>66</v>
      </c>
      <c r="BH292" t="s">
        <v>3965</v>
      </c>
      <c r="BI292" t="s">
        <v>4791</v>
      </c>
      <c r="BJ292">
        <v>1</v>
      </c>
      <c r="BK292" t="s">
        <v>3902</v>
      </c>
    </row>
    <row r="293" spans="1:63" x14ac:dyDescent="0.25">
      <c r="A293">
        <v>4686</v>
      </c>
      <c r="B293" t="str">
        <f>"20200131172017169235"</f>
        <v>20200131172017169235</v>
      </c>
      <c r="C293">
        <v>1</v>
      </c>
      <c r="D293">
        <v>1</v>
      </c>
      <c r="E293" t="s">
        <v>3886</v>
      </c>
      <c r="F293">
        <v>1</v>
      </c>
      <c r="G293">
        <v>0</v>
      </c>
      <c r="H293" t="s">
        <v>66</v>
      </c>
      <c r="I293">
        <v>0</v>
      </c>
      <c r="J293" t="s">
        <v>66</v>
      </c>
      <c r="K293">
        <v>0</v>
      </c>
      <c r="L293" t="s">
        <v>66</v>
      </c>
      <c r="M293" t="s">
        <v>56</v>
      </c>
      <c r="N293">
        <v>0</v>
      </c>
      <c r="O293" t="s">
        <v>66</v>
      </c>
      <c r="P293" t="s">
        <v>56</v>
      </c>
      <c r="Q293">
        <v>0</v>
      </c>
      <c r="R293" t="s">
        <v>66</v>
      </c>
      <c r="S293" t="s">
        <v>56</v>
      </c>
      <c r="T293">
        <v>1</v>
      </c>
      <c r="U293" t="s">
        <v>1627</v>
      </c>
      <c r="V293" t="s">
        <v>56</v>
      </c>
      <c r="W293">
        <v>0</v>
      </c>
      <c r="X293" t="s">
        <v>66</v>
      </c>
      <c r="Y293" t="s">
        <v>56</v>
      </c>
      <c r="Z293">
        <v>0</v>
      </c>
      <c r="AA293" t="s">
        <v>66</v>
      </c>
      <c r="AB293" t="s">
        <v>56</v>
      </c>
      <c r="AC293">
        <v>1</v>
      </c>
      <c r="AD293" t="s">
        <v>1627</v>
      </c>
      <c r="AE293" t="s">
        <v>3887</v>
      </c>
      <c r="AF293">
        <v>0</v>
      </c>
      <c r="AG293" t="s">
        <v>66</v>
      </c>
      <c r="AH293" t="s">
        <v>56</v>
      </c>
      <c r="AI293">
        <v>1</v>
      </c>
      <c r="AJ293" t="s">
        <v>1627</v>
      </c>
      <c r="AK293" t="s">
        <v>56</v>
      </c>
      <c r="AL293" t="s">
        <v>56</v>
      </c>
      <c r="AM293" t="s">
        <v>56</v>
      </c>
      <c r="AN293" t="s">
        <v>56</v>
      </c>
      <c r="AO293" t="s">
        <v>4792</v>
      </c>
      <c r="AP293" t="s">
        <v>3934</v>
      </c>
      <c r="AQ293" t="s">
        <v>3935</v>
      </c>
      <c r="AR293" t="s">
        <v>3891</v>
      </c>
      <c r="AS293" t="s">
        <v>3892</v>
      </c>
      <c r="AT293" t="s">
        <v>4793</v>
      </c>
      <c r="AU293" t="s">
        <v>3894</v>
      </c>
      <c r="AV293" t="s">
        <v>3895</v>
      </c>
      <c r="AW293" t="s">
        <v>3896</v>
      </c>
      <c r="AX293">
        <v>6</v>
      </c>
      <c r="AY293">
        <v>2</v>
      </c>
      <c r="AZ293" t="s">
        <v>3897</v>
      </c>
      <c r="BA293">
        <v>10</v>
      </c>
      <c r="BB293" t="s">
        <v>3898</v>
      </c>
      <c r="BC293">
        <v>1</v>
      </c>
      <c r="BD293">
        <v>5</v>
      </c>
      <c r="BE293" t="s">
        <v>3899</v>
      </c>
      <c r="BF293">
        <v>1</v>
      </c>
      <c r="BG293">
        <v>13</v>
      </c>
      <c r="BH293" t="s">
        <v>3900</v>
      </c>
      <c r="BI293" t="s">
        <v>4700</v>
      </c>
      <c r="BJ293">
        <v>1</v>
      </c>
      <c r="BK293" t="s">
        <v>3902</v>
      </c>
    </row>
    <row r="294" spans="1:63" x14ac:dyDescent="0.25">
      <c r="A294">
        <v>4687</v>
      </c>
      <c r="B294" t="str">
        <f>"20200131172017169235"</f>
        <v>20200131172017169235</v>
      </c>
      <c r="C294">
        <v>2</v>
      </c>
      <c r="D294">
        <v>1</v>
      </c>
      <c r="E294" t="s">
        <v>3886</v>
      </c>
      <c r="F294">
        <v>1</v>
      </c>
      <c r="G294">
        <v>0</v>
      </c>
      <c r="H294" t="s">
        <v>66</v>
      </c>
      <c r="I294">
        <v>0</v>
      </c>
      <c r="J294" t="s">
        <v>66</v>
      </c>
      <c r="K294">
        <v>0</v>
      </c>
      <c r="L294" t="s">
        <v>66</v>
      </c>
      <c r="M294" t="s">
        <v>56</v>
      </c>
      <c r="N294">
        <v>0</v>
      </c>
      <c r="O294" t="s">
        <v>66</v>
      </c>
      <c r="P294" t="s">
        <v>56</v>
      </c>
      <c r="Q294">
        <v>0</v>
      </c>
      <c r="R294" t="s">
        <v>66</v>
      </c>
      <c r="S294" t="s">
        <v>56</v>
      </c>
      <c r="T294">
        <v>1</v>
      </c>
      <c r="U294" t="s">
        <v>1627</v>
      </c>
      <c r="V294" t="s">
        <v>56</v>
      </c>
      <c r="W294">
        <v>0</v>
      </c>
      <c r="X294" t="s">
        <v>66</v>
      </c>
      <c r="Y294" t="s">
        <v>56</v>
      </c>
      <c r="Z294">
        <v>0</v>
      </c>
      <c r="AA294" t="s">
        <v>66</v>
      </c>
      <c r="AB294" t="s">
        <v>56</v>
      </c>
      <c r="AC294">
        <v>1</v>
      </c>
      <c r="AD294" t="s">
        <v>1627</v>
      </c>
      <c r="AE294" t="s">
        <v>3887</v>
      </c>
      <c r="AF294">
        <v>0</v>
      </c>
      <c r="AG294" t="s">
        <v>66</v>
      </c>
      <c r="AH294" t="s">
        <v>56</v>
      </c>
      <c r="AI294">
        <v>1</v>
      </c>
      <c r="AJ294" t="s">
        <v>1627</v>
      </c>
      <c r="AK294" t="s">
        <v>56</v>
      </c>
      <c r="AL294" t="s">
        <v>56</v>
      </c>
      <c r="AM294" t="s">
        <v>56</v>
      </c>
      <c r="AN294" t="s">
        <v>56</v>
      </c>
      <c r="AO294" t="s">
        <v>3949</v>
      </c>
      <c r="AP294" t="s">
        <v>3889</v>
      </c>
      <c r="AQ294" t="s">
        <v>3890</v>
      </c>
      <c r="AR294" t="s">
        <v>3891</v>
      </c>
      <c r="AS294" t="s">
        <v>3892</v>
      </c>
      <c r="AT294" t="s">
        <v>4794</v>
      </c>
      <c r="AU294" t="s">
        <v>3894</v>
      </c>
      <c r="AV294" t="s">
        <v>3895</v>
      </c>
      <c r="AW294" t="s">
        <v>3896</v>
      </c>
      <c r="AX294">
        <v>60</v>
      </c>
      <c r="AY294">
        <v>1</v>
      </c>
      <c r="AZ294" t="s">
        <v>4099</v>
      </c>
      <c r="BA294">
        <v>10</v>
      </c>
      <c r="BB294" t="s">
        <v>3898</v>
      </c>
      <c r="BC294">
        <v>3</v>
      </c>
      <c r="BD294">
        <v>5</v>
      </c>
      <c r="BE294" t="s">
        <v>3899</v>
      </c>
      <c r="BF294">
        <v>3</v>
      </c>
      <c r="BG294">
        <v>13</v>
      </c>
      <c r="BH294" t="s">
        <v>3900</v>
      </c>
      <c r="BI294" t="s">
        <v>4795</v>
      </c>
      <c r="BJ294">
        <v>1</v>
      </c>
      <c r="BK294" t="s">
        <v>3902</v>
      </c>
    </row>
    <row r="295" spans="1:63" x14ac:dyDescent="0.25">
      <c r="A295">
        <v>4688</v>
      </c>
      <c r="B295" t="str">
        <f>"20200131133017169557"</f>
        <v>20200131133017169557</v>
      </c>
      <c r="C295">
        <v>1</v>
      </c>
      <c r="D295">
        <v>1</v>
      </c>
      <c r="E295" t="s">
        <v>3886</v>
      </c>
      <c r="F295">
        <v>1</v>
      </c>
      <c r="G295">
        <v>0</v>
      </c>
      <c r="H295" t="s">
        <v>66</v>
      </c>
      <c r="I295">
        <v>0</v>
      </c>
      <c r="J295" t="s">
        <v>66</v>
      </c>
      <c r="K295">
        <v>0</v>
      </c>
      <c r="L295" t="s">
        <v>66</v>
      </c>
      <c r="M295" t="s">
        <v>56</v>
      </c>
      <c r="N295">
        <v>0</v>
      </c>
      <c r="O295" t="s">
        <v>66</v>
      </c>
      <c r="P295" t="s">
        <v>56</v>
      </c>
      <c r="Q295">
        <v>0</v>
      </c>
      <c r="R295" t="s">
        <v>66</v>
      </c>
      <c r="S295" t="s">
        <v>56</v>
      </c>
      <c r="T295">
        <v>1</v>
      </c>
      <c r="U295" t="s">
        <v>1627</v>
      </c>
      <c r="V295" t="s">
        <v>56</v>
      </c>
      <c r="W295">
        <v>0</v>
      </c>
      <c r="X295" t="s">
        <v>66</v>
      </c>
      <c r="Y295" t="s">
        <v>56</v>
      </c>
      <c r="Z295">
        <v>0</v>
      </c>
      <c r="AA295" t="s">
        <v>66</v>
      </c>
      <c r="AB295" t="s">
        <v>56</v>
      </c>
      <c r="AC295">
        <v>1</v>
      </c>
      <c r="AD295" t="s">
        <v>1627</v>
      </c>
      <c r="AE295" t="s">
        <v>3887</v>
      </c>
      <c r="AF295">
        <v>0</v>
      </c>
      <c r="AG295" t="s">
        <v>66</v>
      </c>
      <c r="AH295" t="s">
        <v>56</v>
      </c>
      <c r="AI295">
        <v>1</v>
      </c>
      <c r="AJ295" t="s">
        <v>1627</v>
      </c>
      <c r="AK295" t="s">
        <v>56</v>
      </c>
      <c r="AL295" t="s">
        <v>56</v>
      </c>
      <c r="AM295" t="s">
        <v>56</v>
      </c>
      <c r="AN295" t="s">
        <v>56</v>
      </c>
      <c r="AO295" t="s">
        <v>4792</v>
      </c>
      <c r="AP295" t="s">
        <v>3934</v>
      </c>
      <c r="AQ295" t="s">
        <v>3935</v>
      </c>
      <c r="AR295" t="s">
        <v>3891</v>
      </c>
      <c r="AS295" t="s">
        <v>3892</v>
      </c>
      <c r="AT295" t="s">
        <v>4796</v>
      </c>
      <c r="AU295" t="s">
        <v>3894</v>
      </c>
      <c r="AV295" t="s">
        <v>3895</v>
      </c>
      <c r="AW295" t="s">
        <v>3896</v>
      </c>
      <c r="AX295">
        <v>3</v>
      </c>
      <c r="AY295">
        <v>2</v>
      </c>
      <c r="AZ295" t="s">
        <v>3897</v>
      </c>
      <c r="BA295">
        <v>10</v>
      </c>
      <c r="BB295" t="s">
        <v>3898</v>
      </c>
      <c r="BC295">
        <v>1</v>
      </c>
      <c r="BD295">
        <v>5</v>
      </c>
      <c r="BE295" t="s">
        <v>3899</v>
      </c>
      <c r="BF295">
        <v>1</v>
      </c>
      <c r="BG295">
        <v>13</v>
      </c>
      <c r="BH295" t="s">
        <v>3900</v>
      </c>
      <c r="BI295" t="s">
        <v>4797</v>
      </c>
      <c r="BJ295">
        <v>1</v>
      </c>
      <c r="BK295" t="s">
        <v>3902</v>
      </c>
    </row>
    <row r="296" spans="1:63" x14ac:dyDescent="0.25">
      <c r="A296">
        <v>4689</v>
      </c>
      <c r="B296" t="str">
        <f>"20200131162017170097"</f>
        <v>20200131162017170097</v>
      </c>
      <c r="C296">
        <v>1</v>
      </c>
      <c r="D296">
        <v>1</v>
      </c>
      <c r="E296" t="s">
        <v>3886</v>
      </c>
      <c r="F296">
        <v>2</v>
      </c>
      <c r="G296">
        <v>0</v>
      </c>
      <c r="H296" t="s">
        <v>66</v>
      </c>
      <c r="I296">
        <v>0</v>
      </c>
      <c r="J296" t="s">
        <v>66</v>
      </c>
      <c r="K296">
        <v>1</v>
      </c>
      <c r="L296" t="s">
        <v>1627</v>
      </c>
      <c r="M296" t="s">
        <v>4798</v>
      </c>
      <c r="N296">
        <v>1</v>
      </c>
      <c r="O296" t="s">
        <v>1627</v>
      </c>
      <c r="P296" t="s">
        <v>4799</v>
      </c>
      <c r="Q296">
        <v>0</v>
      </c>
      <c r="R296" t="s">
        <v>66</v>
      </c>
      <c r="S296" t="s">
        <v>56</v>
      </c>
      <c r="T296" t="s">
        <v>56</v>
      </c>
      <c r="U296" t="s">
        <v>56</v>
      </c>
      <c r="V296" t="s">
        <v>56</v>
      </c>
      <c r="W296">
        <v>0</v>
      </c>
      <c r="X296" t="s">
        <v>66</v>
      </c>
      <c r="Y296" t="s">
        <v>56</v>
      </c>
      <c r="Z296">
        <v>0</v>
      </c>
      <c r="AA296" t="s">
        <v>66</v>
      </c>
      <c r="AB296" t="s">
        <v>56</v>
      </c>
      <c r="AC296">
        <v>0</v>
      </c>
      <c r="AD296" t="s">
        <v>66</v>
      </c>
      <c r="AE296" t="s">
        <v>56</v>
      </c>
      <c r="AF296">
        <v>0</v>
      </c>
      <c r="AG296" t="s">
        <v>66</v>
      </c>
      <c r="AH296" t="s">
        <v>56</v>
      </c>
      <c r="AI296">
        <v>1</v>
      </c>
      <c r="AJ296" t="s">
        <v>1627</v>
      </c>
      <c r="AK296" t="s">
        <v>56</v>
      </c>
      <c r="AL296" t="s">
        <v>56</v>
      </c>
      <c r="AM296" t="s">
        <v>56</v>
      </c>
      <c r="AN296" t="s">
        <v>56</v>
      </c>
      <c r="AO296" t="s">
        <v>4424</v>
      </c>
      <c r="AP296" t="s">
        <v>3962</v>
      </c>
      <c r="AQ296" t="s">
        <v>3963</v>
      </c>
      <c r="AR296" t="s">
        <v>3941</v>
      </c>
      <c r="AS296" t="s">
        <v>3942</v>
      </c>
      <c r="AT296" t="s">
        <v>4800</v>
      </c>
      <c r="AU296" t="s">
        <v>3944</v>
      </c>
      <c r="AV296" t="s">
        <v>3945</v>
      </c>
      <c r="AW296" t="s">
        <v>3946</v>
      </c>
      <c r="AX296">
        <v>24</v>
      </c>
      <c r="AY296">
        <v>3</v>
      </c>
      <c r="AZ296" t="s">
        <v>3911</v>
      </c>
      <c r="BA296">
        <v>10</v>
      </c>
      <c r="BB296" t="s">
        <v>3898</v>
      </c>
      <c r="BC296">
        <v>60</v>
      </c>
      <c r="BD296">
        <v>3</v>
      </c>
      <c r="BE296" t="s">
        <v>3911</v>
      </c>
      <c r="BF296">
        <v>60</v>
      </c>
      <c r="BG296">
        <v>66</v>
      </c>
      <c r="BH296" t="s">
        <v>3965</v>
      </c>
      <c r="BI296" t="s">
        <v>4801</v>
      </c>
      <c r="BJ296">
        <v>1</v>
      </c>
      <c r="BK296" t="s">
        <v>3902</v>
      </c>
    </row>
    <row r="297" spans="1:63" x14ac:dyDescent="0.25">
      <c r="A297">
        <v>4690</v>
      </c>
      <c r="B297" t="str">
        <f>"20200131164017170299"</f>
        <v>20200131164017170299</v>
      </c>
      <c r="C297">
        <v>1</v>
      </c>
      <c r="D297">
        <v>1</v>
      </c>
      <c r="E297" t="s">
        <v>3886</v>
      </c>
      <c r="F297">
        <v>1</v>
      </c>
      <c r="G297">
        <v>0</v>
      </c>
      <c r="H297" t="s">
        <v>66</v>
      </c>
      <c r="I297">
        <v>0</v>
      </c>
      <c r="J297" t="s">
        <v>66</v>
      </c>
      <c r="K297">
        <v>1</v>
      </c>
      <c r="L297" t="s">
        <v>1627</v>
      </c>
      <c r="M297" t="s">
        <v>4802</v>
      </c>
      <c r="N297">
        <v>1</v>
      </c>
      <c r="O297" t="s">
        <v>1627</v>
      </c>
      <c r="P297" t="s">
        <v>4803</v>
      </c>
      <c r="Q297">
        <v>0</v>
      </c>
      <c r="R297" t="s">
        <v>66</v>
      </c>
      <c r="S297" t="s">
        <v>56</v>
      </c>
      <c r="T297" t="s">
        <v>56</v>
      </c>
      <c r="U297" t="s">
        <v>56</v>
      </c>
      <c r="V297" t="s">
        <v>56</v>
      </c>
      <c r="W297">
        <v>0</v>
      </c>
      <c r="X297" t="s">
        <v>66</v>
      </c>
      <c r="Y297" t="s">
        <v>56</v>
      </c>
      <c r="Z297">
        <v>0</v>
      </c>
      <c r="AA297" t="s">
        <v>66</v>
      </c>
      <c r="AB297" t="s">
        <v>56</v>
      </c>
      <c r="AC297">
        <v>0</v>
      </c>
      <c r="AD297" t="s">
        <v>66</v>
      </c>
      <c r="AE297" t="s">
        <v>56</v>
      </c>
      <c r="AF297">
        <v>0</v>
      </c>
      <c r="AG297" t="s">
        <v>66</v>
      </c>
      <c r="AH297" t="s">
        <v>56</v>
      </c>
      <c r="AI297">
        <v>1</v>
      </c>
      <c r="AJ297" t="s">
        <v>1627</v>
      </c>
      <c r="AK297" t="s">
        <v>56</v>
      </c>
      <c r="AL297" t="s">
        <v>56</v>
      </c>
      <c r="AM297" t="s">
        <v>56</v>
      </c>
      <c r="AN297" t="s">
        <v>56</v>
      </c>
      <c r="AO297" t="s">
        <v>4804</v>
      </c>
      <c r="AP297" t="s">
        <v>3962</v>
      </c>
      <c r="AQ297" t="s">
        <v>3963</v>
      </c>
      <c r="AR297" t="s">
        <v>3941</v>
      </c>
      <c r="AS297" t="s">
        <v>3942</v>
      </c>
      <c r="AT297" t="s">
        <v>4805</v>
      </c>
      <c r="AU297" t="s">
        <v>3944</v>
      </c>
      <c r="AV297" t="s">
        <v>3945</v>
      </c>
      <c r="AW297" t="s">
        <v>3946</v>
      </c>
      <c r="AX297">
        <v>12</v>
      </c>
      <c r="AY297">
        <v>2</v>
      </c>
      <c r="AZ297" t="s">
        <v>3897</v>
      </c>
      <c r="BA297">
        <v>10</v>
      </c>
      <c r="BB297" t="s">
        <v>3898</v>
      </c>
      <c r="BC297">
        <v>3</v>
      </c>
      <c r="BD297">
        <v>5</v>
      </c>
      <c r="BE297" t="s">
        <v>3899</v>
      </c>
      <c r="BF297">
        <v>180</v>
      </c>
      <c r="BG297">
        <v>66</v>
      </c>
      <c r="BH297" t="s">
        <v>3965</v>
      </c>
      <c r="BI297" t="s">
        <v>4806</v>
      </c>
      <c r="BJ297">
        <v>1</v>
      </c>
      <c r="BK297" t="s">
        <v>3902</v>
      </c>
    </row>
    <row r="298" spans="1:63" x14ac:dyDescent="0.25">
      <c r="A298">
        <v>4691</v>
      </c>
      <c r="B298" t="str">
        <f>"20200131179017170797"</f>
        <v>20200131179017170797</v>
      </c>
      <c r="C298">
        <v>1</v>
      </c>
      <c r="D298">
        <v>1</v>
      </c>
      <c r="E298" t="s">
        <v>3886</v>
      </c>
      <c r="F298">
        <v>2</v>
      </c>
      <c r="G298">
        <v>0</v>
      </c>
      <c r="H298" t="s">
        <v>66</v>
      </c>
      <c r="I298">
        <v>0</v>
      </c>
      <c r="J298" t="s">
        <v>66</v>
      </c>
      <c r="K298">
        <v>0</v>
      </c>
      <c r="L298" t="s">
        <v>66</v>
      </c>
      <c r="M298" t="s">
        <v>56</v>
      </c>
      <c r="N298">
        <v>0</v>
      </c>
      <c r="O298" t="s">
        <v>66</v>
      </c>
      <c r="P298" t="s">
        <v>56</v>
      </c>
      <c r="Q298">
        <v>0</v>
      </c>
      <c r="R298" t="s">
        <v>66</v>
      </c>
      <c r="S298" t="s">
        <v>56</v>
      </c>
      <c r="T298">
        <v>1</v>
      </c>
      <c r="U298" t="s">
        <v>1627</v>
      </c>
      <c r="V298" t="s">
        <v>56</v>
      </c>
      <c r="W298">
        <v>0</v>
      </c>
      <c r="X298" t="s">
        <v>66</v>
      </c>
      <c r="Y298" t="s">
        <v>56</v>
      </c>
      <c r="Z298">
        <v>0</v>
      </c>
      <c r="AA298" t="s">
        <v>66</v>
      </c>
      <c r="AB298" t="s">
        <v>56</v>
      </c>
      <c r="AC298">
        <v>1</v>
      </c>
      <c r="AD298" t="s">
        <v>1627</v>
      </c>
      <c r="AE298" t="s">
        <v>3887</v>
      </c>
      <c r="AF298">
        <v>0</v>
      </c>
      <c r="AG298" t="s">
        <v>66</v>
      </c>
      <c r="AH298" t="s">
        <v>56</v>
      </c>
      <c r="AI298">
        <v>1</v>
      </c>
      <c r="AJ298" t="s">
        <v>1627</v>
      </c>
      <c r="AK298" t="s">
        <v>56</v>
      </c>
      <c r="AL298" t="s">
        <v>56</v>
      </c>
      <c r="AM298" t="s">
        <v>56</v>
      </c>
      <c r="AN298" t="s">
        <v>56</v>
      </c>
      <c r="AO298" t="s">
        <v>4807</v>
      </c>
      <c r="AP298" t="s">
        <v>3962</v>
      </c>
      <c r="AQ298" t="s">
        <v>3963</v>
      </c>
      <c r="AR298" t="s">
        <v>3941</v>
      </c>
      <c r="AS298" t="s">
        <v>3942</v>
      </c>
      <c r="AT298" t="s">
        <v>4808</v>
      </c>
      <c r="AU298" t="s">
        <v>3944</v>
      </c>
      <c r="AV298" t="s">
        <v>3945</v>
      </c>
      <c r="AW298" t="s">
        <v>3946</v>
      </c>
      <c r="AX298">
        <v>24</v>
      </c>
      <c r="AY298">
        <v>2</v>
      </c>
      <c r="AZ298" t="s">
        <v>3897</v>
      </c>
      <c r="BA298">
        <v>10</v>
      </c>
      <c r="BB298" t="s">
        <v>3898</v>
      </c>
      <c r="BC298">
        <v>3</v>
      </c>
      <c r="BD298">
        <v>5</v>
      </c>
      <c r="BE298" t="s">
        <v>3899</v>
      </c>
      <c r="BF298">
        <v>90</v>
      </c>
      <c r="BG298">
        <v>74</v>
      </c>
      <c r="BH298" t="s">
        <v>3923</v>
      </c>
      <c r="BI298" t="s">
        <v>4809</v>
      </c>
      <c r="BJ298">
        <v>1</v>
      </c>
      <c r="BK298" t="s">
        <v>3902</v>
      </c>
    </row>
    <row r="299" spans="1:63" x14ac:dyDescent="0.25">
      <c r="A299">
        <v>4692</v>
      </c>
      <c r="B299" t="str">
        <f>"20200131193017171127"</f>
        <v>20200131193017171127</v>
      </c>
      <c r="C299">
        <v>1</v>
      </c>
      <c r="D299">
        <v>1</v>
      </c>
      <c r="E299" t="s">
        <v>3886</v>
      </c>
      <c r="F299">
        <v>2</v>
      </c>
      <c r="G299">
        <v>0</v>
      </c>
      <c r="H299" t="s">
        <v>66</v>
      </c>
      <c r="I299">
        <v>0</v>
      </c>
      <c r="J299" t="s">
        <v>66</v>
      </c>
      <c r="K299">
        <v>0</v>
      </c>
      <c r="L299" t="s">
        <v>66</v>
      </c>
      <c r="M299" t="s">
        <v>56</v>
      </c>
      <c r="N299">
        <v>0</v>
      </c>
      <c r="O299" t="s">
        <v>66</v>
      </c>
      <c r="P299" t="s">
        <v>56</v>
      </c>
      <c r="Q299">
        <v>0</v>
      </c>
      <c r="R299" t="s">
        <v>66</v>
      </c>
      <c r="S299" t="s">
        <v>56</v>
      </c>
      <c r="T299">
        <v>1</v>
      </c>
      <c r="U299" t="s">
        <v>1627</v>
      </c>
      <c r="V299" t="s">
        <v>56</v>
      </c>
      <c r="W299">
        <v>0</v>
      </c>
      <c r="X299" t="s">
        <v>66</v>
      </c>
      <c r="Y299" t="s">
        <v>56</v>
      </c>
      <c r="Z299">
        <v>0</v>
      </c>
      <c r="AA299" t="s">
        <v>66</v>
      </c>
      <c r="AB299" t="s">
        <v>56</v>
      </c>
      <c r="AC299">
        <v>1</v>
      </c>
      <c r="AD299" t="s">
        <v>1627</v>
      </c>
      <c r="AE299" t="s">
        <v>3887</v>
      </c>
      <c r="AF299">
        <v>0</v>
      </c>
      <c r="AG299" t="s">
        <v>66</v>
      </c>
      <c r="AH299" t="s">
        <v>56</v>
      </c>
      <c r="AI299">
        <v>1</v>
      </c>
      <c r="AJ299" t="s">
        <v>1627</v>
      </c>
      <c r="AK299">
        <v>0</v>
      </c>
      <c r="AL299" t="s">
        <v>66</v>
      </c>
      <c r="AM299" t="s">
        <v>56</v>
      </c>
      <c r="AN299" t="s">
        <v>56</v>
      </c>
      <c r="AO299" t="s">
        <v>4010</v>
      </c>
      <c r="AP299" t="s">
        <v>3939</v>
      </c>
      <c r="AQ299" t="s">
        <v>3940</v>
      </c>
      <c r="AR299" t="s">
        <v>3941</v>
      </c>
      <c r="AS299" t="s">
        <v>3942</v>
      </c>
      <c r="AT299" t="s">
        <v>4810</v>
      </c>
      <c r="AU299">
        <v>9000</v>
      </c>
      <c r="AV299" t="s">
        <v>3956</v>
      </c>
      <c r="AW299" t="s">
        <v>3956</v>
      </c>
      <c r="AX299">
        <v>12</v>
      </c>
      <c r="AY299">
        <v>2</v>
      </c>
      <c r="AZ299" t="s">
        <v>3897</v>
      </c>
      <c r="BA299">
        <v>10</v>
      </c>
      <c r="BB299" t="s">
        <v>3898</v>
      </c>
      <c r="BC299">
        <v>30</v>
      </c>
      <c r="BD299">
        <v>2</v>
      </c>
      <c r="BE299" t="s">
        <v>3897</v>
      </c>
      <c r="BF299">
        <v>60</v>
      </c>
      <c r="BG299">
        <v>14</v>
      </c>
      <c r="BH299" t="s">
        <v>3947</v>
      </c>
      <c r="BI299" t="s">
        <v>62</v>
      </c>
      <c r="BJ299">
        <v>1</v>
      </c>
      <c r="BK299" t="s">
        <v>3902</v>
      </c>
    </row>
    <row r="300" spans="1:63" x14ac:dyDescent="0.25">
      <c r="A300">
        <v>4693</v>
      </c>
      <c r="B300" t="str">
        <f>"20200131120017171340"</f>
        <v>20200131120017171340</v>
      </c>
      <c r="C300">
        <v>1</v>
      </c>
      <c r="D300">
        <v>1</v>
      </c>
      <c r="E300" t="s">
        <v>3886</v>
      </c>
      <c r="F300">
        <v>2</v>
      </c>
      <c r="G300">
        <v>0</v>
      </c>
      <c r="H300" t="s">
        <v>66</v>
      </c>
      <c r="I300">
        <v>0</v>
      </c>
      <c r="J300" t="s">
        <v>66</v>
      </c>
      <c r="K300">
        <v>1</v>
      </c>
      <c r="L300" t="s">
        <v>1627</v>
      </c>
      <c r="M300" t="s">
        <v>3976</v>
      </c>
      <c r="N300">
        <v>1</v>
      </c>
      <c r="O300" t="s">
        <v>1627</v>
      </c>
      <c r="P300" t="s">
        <v>4811</v>
      </c>
      <c r="Q300">
        <v>0</v>
      </c>
      <c r="R300" t="s">
        <v>66</v>
      </c>
      <c r="S300" t="s">
        <v>56</v>
      </c>
      <c r="T300" t="s">
        <v>56</v>
      </c>
      <c r="U300" t="s">
        <v>56</v>
      </c>
      <c r="V300" t="s">
        <v>56</v>
      </c>
      <c r="W300">
        <v>0</v>
      </c>
      <c r="X300" t="s">
        <v>66</v>
      </c>
      <c r="Y300" t="s">
        <v>56</v>
      </c>
      <c r="Z300">
        <v>0</v>
      </c>
      <c r="AA300" t="s">
        <v>66</v>
      </c>
      <c r="AB300" t="s">
        <v>56</v>
      </c>
      <c r="AC300">
        <v>0</v>
      </c>
      <c r="AD300" t="s">
        <v>66</v>
      </c>
      <c r="AE300" t="s">
        <v>56</v>
      </c>
      <c r="AF300">
        <v>0</v>
      </c>
      <c r="AG300" t="s">
        <v>66</v>
      </c>
      <c r="AH300" t="s">
        <v>56</v>
      </c>
      <c r="AI300">
        <v>1</v>
      </c>
      <c r="AJ300" t="s">
        <v>1627</v>
      </c>
      <c r="AK300" t="s">
        <v>56</v>
      </c>
      <c r="AL300" t="s">
        <v>56</v>
      </c>
      <c r="AM300" t="s">
        <v>56</v>
      </c>
      <c r="AN300" t="s">
        <v>56</v>
      </c>
      <c r="AO300" t="s">
        <v>4339</v>
      </c>
      <c r="AP300" t="s">
        <v>3962</v>
      </c>
      <c r="AQ300" t="s">
        <v>3963</v>
      </c>
      <c r="AR300" t="s">
        <v>3941</v>
      </c>
      <c r="AS300" t="s">
        <v>3942</v>
      </c>
      <c r="AT300" t="s">
        <v>4812</v>
      </c>
      <c r="AU300" t="s">
        <v>3944</v>
      </c>
      <c r="AV300" t="s">
        <v>3945</v>
      </c>
      <c r="AW300" t="s">
        <v>3946</v>
      </c>
      <c r="AX300">
        <v>12</v>
      </c>
      <c r="AY300">
        <v>2</v>
      </c>
      <c r="AZ300" t="s">
        <v>3897</v>
      </c>
      <c r="BA300">
        <v>10</v>
      </c>
      <c r="BB300" t="s">
        <v>3898</v>
      </c>
      <c r="BC300">
        <v>6</v>
      </c>
      <c r="BD300">
        <v>5</v>
      </c>
      <c r="BE300" t="s">
        <v>3899</v>
      </c>
      <c r="BF300">
        <v>360</v>
      </c>
      <c r="BG300">
        <v>66</v>
      </c>
      <c r="BH300" t="s">
        <v>3965</v>
      </c>
      <c r="BI300" t="s">
        <v>4813</v>
      </c>
      <c r="BJ300">
        <v>1</v>
      </c>
      <c r="BK300" t="s">
        <v>3902</v>
      </c>
    </row>
    <row r="301" spans="1:63" x14ac:dyDescent="0.25">
      <c r="A301">
        <v>4694</v>
      </c>
      <c r="B301" t="str">
        <f>"20200131166017171341"</f>
        <v>20200131166017171341</v>
      </c>
      <c r="C301">
        <v>1</v>
      </c>
      <c r="D301">
        <v>1</v>
      </c>
      <c r="E301" t="s">
        <v>3886</v>
      </c>
      <c r="F301">
        <v>2</v>
      </c>
      <c r="G301">
        <v>0</v>
      </c>
      <c r="H301" t="s">
        <v>66</v>
      </c>
      <c r="I301">
        <v>0</v>
      </c>
      <c r="J301" t="s">
        <v>66</v>
      </c>
      <c r="K301">
        <v>0</v>
      </c>
      <c r="L301" t="s">
        <v>66</v>
      </c>
      <c r="M301" t="s">
        <v>56</v>
      </c>
      <c r="N301">
        <v>0</v>
      </c>
      <c r="O301" t="s">
        <v>66</v>
      </c>
      <c r="P301" t="s">
        <v>56</v>
      </c>
      <c r="Q301">
        <v>0</v>
      </c>
      <c r="R301" t="s">
        <v>66</v>
      </c>
      <c r="S301" t="s">
        <v>56</v>
      </c>
      <c r="T301">
        <v>1</v>
      </c>
      <c r="U301" t="s">
        <v>1627</v>
      </c>
      <c r="V301" t="s">
        <v>56</v>
      </c>
      <c r="W301">
        <v>0</v>
      </c>
      <c r="X301" t="s">
        <v>66</v>
      </c>
      <c r="Y301" t="s">
        <v>56</v>
      </c>
      <c r="Z301">
        <v>0</v>
      </c>
      <c r="AA301" t="s">
        <v>66</v>
      </c>
      <c r="AB301" t="s">
        <v>56</v>
      </c>
      <c r="AC301">
        <v>1</v>
      </c>
      <c r="AD301" t="s">
        <v>1627</v>
      </c>
      <c r="AE301" t="s">
        <v>3887</v>
      </c>
      <c r="AF301">
        <v>0</v>
      </c>
      <c r="AG301" t="s">
        <v>66</v>
      </c>
      <c r="AH301" t="s">
        <v>56</v>
      </c>
      <c r="AI301">
        <v>1</v>
      </c>
      <c r="AJ301" t="s">
        <v>1627</v>
      </c>
      <c r="AK301" t="s">
        <v>56</v>
      </c>
      <c r="AL301" t="s">
        <v>56</v>
      </c>
      <c r="AM301" t="s">
        <v>56</v>
      </c>
      <c r="AN301" t="s">
        <v>56</v>
      </c>
      <c r="AO301" t="s">
        <v>3985</v>
      </c>
      <c r="AP301" t="s">
        <v>3962</v>
      </c>
      <c r="AQ301" t="s">
        <v>3963</v>
      </c>
      <c r="AR301" t="s">
        <v>3941</v>
      </c>
      <c r="AS301" t="s">
        <v>3942</v>
      </c>
      <c r="AT301" t="s">
        <v>4814</v>
      </c>
      <c r="AU301" t="s">
        <v>3944</v>
      </c>
      <c r="AV301" t="s">
        <v>3945</v>
      </c>
      <c r="AW301" t="s">
        <v>3946</v>
      </c>
      <c r="AX301">
        <v>24</v>
      </c>
      <c r="AY301">
        <v>2</v>
      </c>
      <c r="AZ301" t="s">
        <v>3897</v>
      </c>
      <c r="BA301">
        <v>10</v>
      </c>
      <c r="BB301" t="s">
        <v>3898</v>
      </c>
      <c r="BC301">
        <v>3</v>
      </c>
      <c r="BD301">
        <v>2</v>
      </c>
      <c r="BE301" t="s">
        <v>3897</v>
      </c>
      <c r="BF301">
        <v>90</v>
      </c>
      <c r="BG301">
        <v>74</v>
      </c>
      <c r="BH301" t="s">
        <v>3923</v>
      </c>
      <c r="BI301" t="s">
        <v>4815</v>
      </c>
      <c r="BJ301">
        <v>1</v>
      </c>
      <c r="BK301" t="s">
        <v>3902</v>
      </c>
    </row>
    <row r="302" spans="1:63" x14ac:dyDescent="0.25">
      <c r="A302">
        <v>4695</v>
      </c>
      <c r="B302" t="str">
        <f>"20200131141017171366"</f>
        <v>20200131141017171366</v>
      </c>
      <c r="C302">
        <v>1</v>
      </c>
      <c r="D302">
        <v>1</v>
      </c>
      <c r="E302" t="s">
        <v>3886</v>
      </c>
      <c r="F302">
        <v>2</v>
      </c>
      <c r="G302">
        <v>0</v>
      </c>
      <c r="H302" t="s">
        <v>66</v>
      </c>
      <c r="I302">
        <v>0</v>
      </c>
      <c r="J302" t="s">
        <v>66</v>
      </c>
      <c r="K302">
        <v>0</v>
      </c>
      <c r="L302" t="s">
        <v>66</v>
      </c>
      <c r="M302" t="s">
        <v>56</v>
      </c>
      <c r="N302">
        <v>0</v>
      </c>
      <c r="O302" t="s">
        <v>66</v>
      </c>
      <c r="P302" t="s">
        <v>56</v>
      </c>
      <c r="Q302">
        <v>0</v>
      </c>
      <c r="R302" t="s">
        <v>66</v>
      </c>
      <c r="S302" t="s">
        <v>56</v>
      </c>
      <c r="T302">
        <v>1</v>
      </c>
      <c r="U302" t="s">
        <v>1627</v>
      </c>
      <c r="V302" t="s">
        <v>56</v>
      </c>
      <c r="W302">
        <v>0</v>
      </c>
      <c r="X302" t="s">
        <v>66</v>
      </c>
      <c r="Y302" t="s">
        <v>56</v>
      </c>
      <c r="Z302">
        <v>0</v>
      </c>
      <c r="AA302" t="s">
        <v>66</v>
      </c>
      <c r="AB302" t="s">
        <v>56</v>
      </c>
      <c r="AC302">
        <v>1</v>
      </c>
      <c r="AD302" t="s">
        <v>1627</v>
      </c>
      <c r="AE302" t="s">
        <v>3887</v>
      </c>
      <c r="AF302">
        <v>0</v>
      </c>
      <c r="AG302" t="s">
        <v>66</v>
      </c>
      <c r="AH302" t="s">
        <v>56</v>
      </c>
      <c r="AI302">
        <v>1</v>
      </c>
      <c r="AJ302" t="s">
        <v>1627</v>
      </c>
      <c r="AK302">
        <v>0</v>
      </c>
      <c r="AL302" t="s">
        <v>66</v>
      </c>
      <c r="AM302" t="s">
        <v>56</v>
      </c>
      <c r="AN302" t="s">
        <v>56</v>
      </c>
      <c r="AO302" t="s">
        <v>4010</v>
      </c>
      <c r="AP302" t="s">
        <v>3939</v>
      </c>
      <c r="AQ302" t="s">
        <v>3940</v>
      </c>
      <c r="AR302" t="s">
        <v>3941</v>
      </c>
      <c r="AS302" t="s">
        <v>3942</v>
      </c>
      <c r="AT302" t="s">
        <v>4816</v>
      </c>
      <c r="AU302">
        <v>9000</v>
      </c>
      <c r="AV302" t="s">
        <v>3956</v>
      </c>
      <c r="AW302" t="s">
        <v>3956</v>
      </c>
      <c r="AX302">
        <v>12</v>
      </c>
      <c r="AY302">
        <v>2</v>
      </c>
      <c r="AZ302" t="s">
        <v>3897</v>
      </c>
      <c r="BA302">
        <v>10</v>
      </c>
      <c r="BB302" t="s">
        <v>3898</v>
      </c>
      <c r="BC302">
        <v>30</v>
      </c>
      <c r="BD302">
        <v>3</v>
      </c>
      <c r="BE302" t="s">
        <v>3911</v>
      </c>
      <c r="BF302">
        <v>120</v>
      </c>
      <c r="BG302">
        <v>14</v>
      </c>
      <c r="BH302" t="s">
        <v>3947</v>
      </c>
      <c r="BI302" t="s">
        <v>62</v>
      </c>
      <c r="BJ302">
        <v>1</v>
      </c>
      <c r="BK302" t="s">
        <v>3902</v>
      </c>
    </row>
    <row r="303" spans="1:63" x14ac:dyDescent="0.25">
      <c r="A303">
        <v>4696</v>
      </c>
      <c r="B303" t="str">
        <f>"20200131167017171777"</f>
        <v>20200131167017171777</v>
      </c>
      <c r="C303">
        <v>1</v>
      </c>
      <c r="D303">
        <v>1</v>
      </c>
      <c r="E303" t="s">
        <v>3886</v>
      </c>
      <c r="F303">
        <v>2</v>
      </c>
      <c r="G303">
        <v>0</v>
      </c>
      <c r="H303" t="s">
        <v>66</v>
      </c>
      <c r="I303">
        <v>0</v>
      </c>
      <c r="J303" t="s">
        <v>66</v>
      </c>
      <c r="K303">
        <v>0</v>
      </c>
      <c r="L303" t="s">
        <v>66</v>
      </c>
      <c r="M303" t="s">
        <v>56</v>
      </c>
      <c r="N303">
        <v>0</v>
      </c>
      <c r="O303" t="s">
        <v>66</v>
      </c>
      <c r="P303" t="s">
        <v>56</v>
      </c>
      <c r="Q303">
        <v>0</v>
      </c>
      <c r="R303" t="s">
        <v>66</v>
      </c>
      <c r="S303" t="s">
        <v>56</v>
      </c>
      <c r="T303">
        <v>1</v>
      </c>
      <c r="U303" t="s">
        <v>1627</v>
      </c>
      <c r="V303" t="s">
        <v>56</v>
      </c>
      <c r="W303">
        <v>0</v>
      </c>
      <c r="X303" t="s">
        <v>66</v>
      </c>
      <c r="Y303" t="s">
        <v>56</v>
      </c>
      <c r="Z303">
        <v>0</v>
      </c>
      <c r="AA303" t="s">
        <v>66</v>
      </c>
      <c r="AB303" t="s">
        <v>56</v>
      </c>
      <c r="AC303">
        <v>1</v>
      </c>
      <c r="AD303" t="s">
        <v>1627</v>
      </c>
      <c r="AE303" t="s">
        <v>3887</v>
      </c>
      <c r="AF303">
        <v>0</v>
      </c>
      <c r="AG303" t="s">
        <v>66</v>
      </c>
      <c r="AH303" t="s">
        <v>56</v>
      </c>
      <c r="AI303">
        <v>1</v>
      </c>
      <c r="AJ303" t="s">
        <v>1627</v>
      </c>
      <c r="AK303" t="s">
        <v>56</v>
      </c>
      <c r="AL303" t="s">
        <v>56</v>
      </c>
      <c r="AM303" t="s">
        <v>56</v>
      </c>
      <c r="AN303" t="s">
        <v>56</v>
      </c>
      <c r="AO303" t="s">
        <v>4092</v>
      </c>
      <c r="AP303" t="s">
        <v>3962</v>
      </c>
      <c r="AQ303" t="s">
        <v>3963</v>
      </c>
      <c r="AR303" t="s">
        <v>3941</v>
      </c>
      <c r="AS303" t="s">
        <v>3942</v>
      </c>
      <c r="AT303" t="s">
        <v>4817</v>
      </c>
      <c r="AU303" t="s">
        <v>3944</v>
      </c>
      <c r="AV303" t="s">
        <v>3945</v>
      </c>
      <c r="AW303" t="s">
        <v>3946</v>
      </c>
      <c r="AX303">
        <v>24</v>
      </c>
      <c r="AY303">
        <v>2</v>
      </c>
      <c r="AZ303" t="s">
        <v>3897</v>
      </c>
      <c r="BA303">
        <v>10</v>
      </c>
      <c r="BB303" t="s">
        <v>3898</v>
      </c>
      <c r="BC303">
        <v>3</v>
      </c>
      <c r="BD303">
        <v>5</v>
      </c>
      <c r="BE303" t="s">
        <v>3899</v>
      </c>
      <c r="BF303">
        <v>270</v>
      </c>
      <c r="BG303">
        <v>66</v>
      </c>
      <c r="BH303" t="s">
        <v>3965</v>
      </c>
      <c r="BI303" t="s">
        <v>4818</v>
      </c>
      <c r="BJ303">
        <v>1</v>
      </c>
      <c r="BK303" t="s">
        <v>3902</v>
      </c>
    </row>
    <row r="304" spans="1:63" x14ac:dyDescent="0.25">
      <c r="A304">
        <v>4697</v>
      </c>
      <c r="B304" t="str">
        <f>"20200131171017171794"</f>
        <v>20200131171017171794</v>
      </c>
      <c r="C304">
        <v>1</v>
      </c>
      <c r="D304">
        <v>1</v>
      </c>
      <c r="E304" t="s">
        <v>3886</v>
      </c>
      <c r="F304">
        <v>2</v>
      </c>
      <c r="G304">
        <v>0</v>
      </c>
      <c r="H304" t="s">
        <v>66</v>
      </c>
      <c r="I304">
        <v>0</v>
      </c>
      <c r="J304" t="s">
        <v>66</v>
      </c>
      <c r="K304">
        <v>0</v>
      </c>
      <c r="L304" t="s">
        <v>66</v>
      </c>
      <c r="M304" t="s">
        <v>56</v>
      </c>
      <c r="N304">
        <v>0</v>
      </c>
      <c r="O304" t="s">
        <v>66</v>
      </c>
      <c r="P304" t="s">
        <v>56</v>
      </c>
      <c r="Q304">
        <v>0</v>
      </c>
      <c r="R304" t="s">
        <v>66</v>
      </c>
      <c r="S304" t="s">
        <v>56</v>
      </c>
      <c r="T304">
        <v>1</v>
      </c>
      <c r="U304" t="s">
        <v>1627</v>
      </c>
      <c r="V304" t="s">
        <v>56</v>
      </c>
      <c r="W304">
        <v>0</v>
      </c>
      <c r="X304" t="s">
        <v>66</v>
      </c>
      <c r="Y304" t="s">
        <v>56</v>
      </c>
      <c r="Z304">
        <v>0</v>
      </c>
      <c r="AA304" t="s">
        <v>66</v>
      </c>
      <c r="AB304" t="s">
        <v>56</v>
      </c>
      <c r="AC304">
        <v>1</v>
      </c>
      <c r="AD304" t="s">
        <v>1627</v>
      </c>
      <c r="AE304" t="s">
        <v>3887</v>
      </c>
      <c r="AF304">
        <v>0</v>
      </c>
      <c r="AG304" t="s">
        <v>66</v>
      </c>
      <c r="AH304" t="s">
        <v>56</v>
      </c>
      <c r="AI304">
        <v>1</v>
      </c>
      <c r="AJ304" t="s">
        <v>1627</v>
      </c>
      <c r="AK304" t="s">
        <v>56</v>
      </c>
      <c r="AL304" t="s">
        <v>56</v>
      </c>
      <c r="AM304" t="s">
        <v>56</v>
      </c>
      <c r="AN304" t="s">
        <v>56</v>
      </c>
      <c r="AO304" t="s">
        <v>3985</v>
      </c>
      <c r="AP304" t="s">
        <v>3962</v>
      </c>
      <c r="AQ304" t="s">
        <v>3963</v>
      </c>
      <c r="AR304" t="s">
        <v>3941</v>
      </c>
      <c r="AS304" t="s">
        <v>3942</v>
      </c>
      <c r="AT304" t="s">
        <v>4819</v>
      </c>
      <c r="AU304" t="s">
        <v>3944</v>
      </c>
      <c r="AV304" t="s">
        <v>3945</v>
      </c>
      <c r="AW304" t="s">
        <v>3946</v>
      </c>
      <c r="AX304">
        <v>24</v>
      </c>
      <c r="AY304">
        <v>2</v>
      </c>
      <c r="AZ304" t="s">
        <v>3897</v>
      </c>
      <c r="BA304">
        <v>10</v>
      </c>
      <c r="BB304" t="s">
        <v>3898</v>
      </c>
      <c r="BC304">
        <v>3</v>
      </c>
      <c r="BD304">
        <v>5</v>
      </c>
      <c r="BE304" t="s">
        <v>3899</v>
      </c>
      <c r="BF304">
        <v>90</v>
      </c>
      <c r="BG304">
        <v>74</v>
      </c>
      <c r="BH304" t="s">
        <v>3923</v>
      </c>
      <c r="BI304" t="s">
        <v>4820</v>
      </c>
      <c r="BJ304">
        <v>1</v>
      </c>
      <c r="BK304" t="s">
        <v>3902</v>
      </c>
    </row>
    <row r="305" spans="1:63" x14ac:dyDescent="0.25">
      <c r="A305">
        <v>4698</v>
      </c>
      <c r="B305" t="str">
        <f>"20200131116017172548"</f>
        <v>20200131116017172548</v>
      </c>
      <c r="C305">
        <v>1</v>
      </c>
      <c r="D305">
        <v>1</v>
      </c>
      <c r="E305" t="s">
        <v>3886</v>
      </c>
      <c r="F305">
        <v>2</v>
      </c>
      <c r="G305">
        <v>0</v>
      </c>
      <c r="H305" t="s">
        <v>66</v>
      </c>
      <c r="I305">
        <v>0</v>
      </c>
      <c r="J305" t="s">
        <v>66</v>
      </c>
      <c r="K305">
        <v>1</v>
      </c>
      <c r="L305" t="s">
        <v>1627</v>
      </c>
      <c r="M305" t="s">
        <v>4821</v>
      </c>
      <c r="N305">
        <v>1</v>
      </c>
      <c r="O305" t="s">
        <v>1627</v>
      </c>
      <c r="P305" t="s">
        <v>4822</v>
      </c>
      <c r="Q305">
        <v>0</v>
      </c>
      <c r="R305" t="s">
        <v>66</v>
      </c>
      <c r="S305" t="s">
        <v>56</v>
      </c>
      <c r="T305" t="s">
        <v>56</v>
      </c>
      <c r="U305" t="s">
        <v>56</v>
      </c>
      <c r="V305" t="s">
        <v>56</v>
      </c>
      <c r="W305">
        <v>0</v>
      </c>
      <c r="X305" t="s">
        <v>66</v>
      </c>
      <c r="Y305" t="s">
        <v>56</v>
      </c>
      <c r="Z305">
        <v>0</v>
      </c>
      <c r="AA305" t="s">
        <v>66</v>
      </c>
      <c r="AB305" t="s">
        <v>56</v>
      </c>
      <c r="AC305">
        <v>0</v>
      </c>
      <c r="AD305" t="s">
        <v>66</v>
      </c>
      <c r="AE305" t="s">
        <v>56</v>
      </c>
      <c r="AF305">
        <v>0</v>
      </c>
      <c r="AG305" t="s">
        <v>66</v>
      </c>
      <c r="AH305" t="s">
        <v>56</v>
      </c>
      <c r="AI305">
        <v>1</v>
      </c>
      <c r="AJ305" t="s">
        <v>1627</v>
      </c>
      <c r="AK305" t="s">
        <v>56</v>
      </c>
      <c r="AL305" t="s">
        <v>56</v>
      </c>
      <c r="AM305" t="s">
        <v>56</v>
      </c>
      <c r="AN305" t="s">
        <v>56</v>
      </c>
      <c r="AO305" t="s">
        <v>4201</v>
      </c>
      <c r="AP305" t="s">
        <v>3962</v>
      </c>
      <c r="AQ305" t="s">
        <v>3963</v>
      </c>
      <c r="AR305" t="s">
        <v>3941</v>
      </c>
      <c r="AS305" t="s">
        <v>3942</v>
      </c>
      <c r="AT305" t="s">
        <v>4823</v>
      </c>
      <c r="AU305">
        <v>9000</v>
      </c>
      <c r="AV305" t="s">
        <v>3956</v>
      </c>
      <c r="AW305" t="s">
        <v>3956</v>
      </c>
      <c r="AX305">
        <v>12</v>
      </c>
      <c r="AY305">
        <v>2</v>
      </c>
      <c r="AZ305" t="s">
        <v>3897</v>
      </c>
      <c r="BA305">
        <v>10</v>
      </c>
      <c r="BB305" t="s">
        <v>3898</v>
      </c>
      <c r="BC305">
        <v>90</v>
      </c>
      <c r="BD305">
        <v>3</v>
      </c>
      <c r="BE305" t="s">
        <v>3911</v>
      </c>
      <c r="BF305">
        <v>180</v>
      </c>
      <c r="BG305">
        <v>68</v>
      </c>
      <c r="BH305" t="s">
        <v>4824</v>
      </c>
      <c r="BI305" t="s">
        <v>4825</v>
      </c>
      <c r="BJ305">
        <v>1</v>
      </c>
      <c r="BK305" t="s">
        <v>3902</v>
      </c>
    </row>
    <row r="306" spans="1:63" x14ac:dyDescent="0.25">
      <c r="A306">
        <v>4699</v>
      </c>
      <c r="B306" t="str">
        <f>"20200131134017172754"</f>
        <v>20200131134017172754</v>
      </c>
      <c r="C306">
        <v>1</v>
      </c>
      <c r="D306">
        <v>1</v>
      </c>
      <c r="E306" t="s">
        <v>3886</v>
      </c>
      <c r="F306">
        <v>2</v>
      </c>
      <c r="G306">
        <v>0</v>
      </c>
      <c r="H306" t="s">
        <v>66</v>
      </c>
      <c r="I306">
        <v>0</v>
      </c>
      <c r="J306" t="s">
        <v>66</v>
      </c>
      <c r="K306">
        <v>0</v>
      </c>
      <c r="L306" t="s">
        <v>66</v>
      </c>
      <c r="M306" t="s">
        <v>56</v>
      </c>
      <c r="N306">
        <v>0</v>
      </c>
      <c r="O306" t="s">
        <v>66</v>
      </c>
      <c r="P306" t="s">
        <v>56</v>
      </c>
      <c r="Q306">
        <v>0</v>
      </c>
      <c r="R306" t="s">
        <v>66</v>
      </c>
      <c r="S306" t="s">
        <v>56</v>
      </c>
      <c r="T306">
        <v>1</v>
      </c>
      <c r="U306" t="s">
        <v>1627</v>
      </c>
      <c r="V306" t="s">
        <v>56</v>
      </c>
      <c r="W306">
        <v>0</v>
      </c>
      <c r="X306" t="s">
        <v>66</v>
      </c>
      <c r="Y306" t="s">
        <v>56</v>
      </c>
      <c r="Z306">
        <v>0</v>
      </c>
      <c r="AA306" t="s">
        <v>66</v>
      </c>
      <c r="AB306" t="s">
        <v>56</v>
      </c>
      <c r="AC306">
        <v>1</v>
      </c>
      <c r="AD306" t="s">
        <v>1627</v>
      </c>
      <c r="AE306" t="s">
        <v>3887</v>
      </c>
      <c r="AF306">
        <v>0</v>
      </c>
      <c r="AG306" t="s">
        <v>66</v>
      </c>
      <c r="AH306" t="s">
        <v>56</v>
      </c>
      <c r="AI306">
        <v>1</v>
      </c>
      <c r="AJ306" t="s">
        <v>1627</v>
      </c>
      <c r="AK306" t="s">
        <v>56</v>
      </c>
      <c r="AL306" t="s">
        <v>56</v>
      </c>
      <c r="AM306" t="s">
        <v>56</v>
      </c>
      <c r="AN306" t="s">
        <v>56</v>
      </c>
      <c r="AO306" t="s">
        <v>4355</v>
      </c>
      <c r="AP306" t="s">
        <v>3918</v>
      </c>
      <c r="AQ306" t="s">
        <v>3919</v>
      </c>
      <c r="AR306" t="s">
        <v>3920</v>
      </c>
      <c r="AS306" t="s">
        <v>3921</v>
      </c>
      <c r="AT306" t="s">
        <v>4826</v>
      </c>
      <c r="AU306">
        <v>9000</v>
      </c>
      <c r="AV306" t="s">
        <v>3956</v>
      </c>
      <c r="AW306" t="s">
        <v>3956</v>
      </c>
      <c r="AX306">
        <v>12</v>
      </c>
      <c r="AY306">
        <v>2</v>
      </c>
      <c r="AZ306" t="s">
        <v>3897</v>
      </c>
      <c r="BA306">
        <v>10</v>
      </c>
      <c r="BB306" t="s">
        <v>3898</v>
      </c>
      <c r="BC306">
        <v>6</v>
      </c>
      <c r="BD306">
        <v>5</v>
      </c>
      <c r="BE306" t="s">
        <v>3899</v>
      </c>
      <c r="BF306">
        <v>6</v>
      </c>
      <c r="BG306">
        <v>27</v>
      </c>
      <c r="BH306" t="s">
        <v>3990</v>
      </c>
      <c r="BI306" t="s">
        <v>4827</v>
      </c>
      <c r="BJ306">
        <v>1</v>
      </c>
      <c r="BK306" t="s">
        <v>3902</v>
      </c>
    </row>
    <row r="307" spans="1:63" x14ac:dyDescent="0.25">
      <c r="A307">
        <v>4700</v>
      </c>
      <c r="B307" t="str">
        <f>"20200131150017173211"</f>
        <v>20200131150017173211</v>
      </c>
      <c r="C307">
        <v>1</v>
      </c>
      <c r="D307">
        <v>1</v>
      </c>
      <c r="E307" t="s">
        <v>3886</v>
      </c>
      <c r="F307">
        <v>2</v>
      </c>
      <c r="G307">
        <v>0</v>
      </c>
      <c r="H307" t="s">
        <v>66</v>
      </c>
      <c r="I307">
        <v>0</v>
      </c>
      <c r="J307" t="s">
        <v>66</v>
      </c>
      <c r="K307">
        <v>1</v>
      </c>
      <c r="L307" t="s">
        <v>1627</v>
      </c>
      <c r="M307" t="s">
        <v>4517</v>
      </c>
      <c r="N307">
        <v>1</v>
      </c>
      <c r="O307" t="s">
        <v>1627</v>
      </c>
      <c r="P307" t="s">
        <v>4828</v>
      </c>
      <c r="Q307">
        <v>0</v>
      </c>
      <c r="R307" t="s">
        <v>66</v>
      </c>
      <c r="S307" t="s">
        <v>56</v>
      </c>
      <c r="T307" t="s">
        <v>56</v>
      </c>
      <c r="U307" t="s">
        <v>56</v>
      </c>
      <c r="V307" t="s">
        <v>56</v>
      </c>
      <c r="W307">
        <v>0</v>
      </c>
      <c r="X307" t="s">
        <v>66</v>
      </c>
      <c r="Y307" t="s">
        <v>56</v>
      </c>
      <c r="Z307">
        <v>0</v>
      </c>
      <c r="AA307" t="s">
        <v>66</v>
      </c>
      <c r="AB307" t="s">
        <v>56</v>
      </c>
      <c r="AC307">
        <v>0</v>
      </c>
      <c r="AD307" t="s">
        <v>66</v>
      </c>
      <c r="AE307" t="s">
        <v>56</v>
      </c>
      <c r="AF307">
        <v>0</v>
      </c>
      <c r="AG307" t="s">
        <v>66</v>
      </c>
      <c r="AH307" t="s">
        <v>56</v>
      </c>
      <c r="AI307">
        <v>1</v>
      </c>
      <c r="AJ307" t="s">
        <v>1627</v>
      </c>
      <c r="AK307" t="s">
        <v>56</v>
      </c>
      <c r="AL307" t="s">
        <v>56</v>
      </c>
      <c r="AM307" t="s">
        <v>56</v>
      </c>
      <c r="AN307" t="s">
        <v>56</v>
      </c>
      <c r="AO307" t="s">
        <v>3982</v>
      </c>
      <c r="AP307" t="s">
        <v>3962</v>
      </c>
      <c r="AQ307" t="s">
        <v>3963</v>
      </c>
      <c r="AR307" t="s">
        <v>3941</v>
      </c>
      <c r="AS307" t="s">
        <v>3942</v>
      </c>
      <c r="AT307" t="s">
        <v>4829</v>
      </c>
      <c r="AU307">
        <v>9000</v>
      </c>
      <c r="AV307" t="s">
        <v>3956</v>
      </c>
      <c r="AW307" t="s">
        <v>3956</v>
      </c>
      <c r="AX307">
        <v>12</v>
      </c>
      <c r="AY307">
        <v>2</v>
      </c>
      <c r="AZ307" t="s">
        <v>3897</v>
      </c>
      <c r="BA307">
        <v>10</v>
      </c>
      <c r="BB307" t="s">
        <v>3898</v>
      </c>
      <c r="BC307">
        <v>90</v>
      </c>
      <c r="BD307">
        <v>3</v>
      </c>
      <c r="BE307" t="s">
        <v>3911</v>
      </c>
      <c r="BF307">
        <v>180</v>
      </c>
      <c r="BG307">
        <v>66</v>
      </c>
      <c r="BH307" t="s">
        <v>3965</v>
      </c>
      <c r="BI307" t="s">
        <v>4830</v>
      </c>
      <c r="BJ307">
        <v>1</v>
      </c>
      <c r="BK307" t="s">
        <v>3902</v>
      </c>
    </row>
    <row r="308" spans="1:63" x14ac:dyDescent="0.25">
      <c r="A308">
        <v>4701</v>
      </c>
      <c r="B308" t="str">
        <f>"20200131128017173370"</f>
        <v>20200131128017173370</v>
      </c>
      <c r="C308">
        <v>1</v>
      </c>
      <c r="D308">
        <v>1</v>
      </c>
      <c r="E308" t="s">
        <v>3886</v>
      </c>
      <c r="F308">
        <v>2</v>
      </c>
      <c r="G308">
        <v>0</v>
      </c>
      <c r="H308" t="s">
        <v>66</v>
      </c>
      <c r="I308">
        <v>0</v>
      </c>
      <c r="J308" t="s">
        <v>66</v>
      </c>
      <c r="K308">
        <v>0</v>
      </c>
      <c r="L308" t="s">
        <v>66</v>
      </c>
      <c r="M308" t="s">
        <v>56</v>
      </c>
      <c r="N308">
        <v>0</v>
      </c>
      <c r="O308" t="s">
        <v>66</v>
      </c>
      <c r="P308" t="s">
        <v>56</v>
      </c>
      <c r="Q308">
        <v>0</v>
      </c>
      <c r="R308" t="s">
        <v>66</v>
      </c>
      <c r="S308" t="s">
        <v>56</v>
      </c>
      <c r="T308">
        <v>1</v>
      </c>
      <c r="U308" t="s">
        <v>1627</v>
      </c>
      <c r="V308" t="s">
        <v>56</v>
      </c>
      <c r="W308">
        <v>0</v>
      </c>
      <c r="X308" t="s">
        <v>66</v>
      </c>
      <c r="Y308" t="s">
        <v>56</v>
      </c>
      <c r="Z308">
        <v>0</v>
      </c>
      <c r="AA308" t="s">
        <v>66</v>
      </c>
      <c r="AB308" t="s">
        <v>56</v>
      </c>
      <c r="AC308">
        <v>1</v>
      </c>
      <c r="AD308" t="s">
        <v>1627</v>
      </c>
      <c r="AE308" t="s">
        <v>3887</v>
      </c>
      <c r="AF308">
        <v>0</v>
      </c>
      <c r="AG308" t="s">
        <v>66</v>
      </c>
      <c r="AH308" t="s">
        <v>56</v>
      </c>
      <c r="AI308">
        <v>1</v>
      </c>
      <c r="AJ308" t="s">
        <v>1627</v>
      </c>
      <c r="AK308" t="s">
        <v>56</v>
      </c>
      <c r="AL308" t="s">
        <v>56</v>
      </c>
      <c r="AM308" t="s">
        <v>56</v>
      </c>
      <c r="AN308" t="s">
        <v>56</v>
      </c>
      <c r="AO308" t="s">
        <v>4355</v>
      </c>
      <c r="AP308" t="s">
        <v>3918</v>
      </c>
      <c r="AQ308" t="s">
        <v>3919</v>
      </c>
      <c r="AR308" t="s">
        <v>3920</v>
      </c>
      <c r="AS308" t="s">
        <v>3921</v>
      </c>
      <c r="AT308" t="s">
        <v>4831</v>
      </c>
      <c r="AU308">
        <v>9000</v>
      </c>
      <c r="AV308" t="s">
        <v>3956</v>
      </c>
      <c r="AW308" t="s">
        <v>3956</v>
      </c>
      <c r="AX308">
        <v>12</v>
      </c>
      <c r="AY308">
        <v>2</v>
      </c>
      <c r="AZ308" t="s">
        <v>3897</v>
      </c>
      <c r="BA308">
        <v>10</v>
      </c>
      <c r="BB308" t="s">
        <v>3898</v>
      </c>
      <c r="BC308">
        <v>6</v>
      </c>
      <c r="BD308">
        <v>5</v>
      </c>
      <c r="BE308" t="s">
        <v>3899</v>
      </c>
      <c r="BF308">
        <v>6</v>
      </c>
      <c r="BG308">
        <v>27</v>
      </c>
      <c r="BH308" t="s">
        <v>3990</v>
      </c>
      <c r="BI308" t="s">
        <v>4827</v>
      </c>
      <c r="BJ308">
        <v>1</v>
      </c>
      <c r="BK308" t="s">
        <v>3902</v>
      </c>
    </row>
    <row r="309" spans="1:63" x14ac:dyDescent="0.25">
      <c r="A309">
        <v>4702</v>
      </c>
      <c r="B309" t="str">
        <f>"20200131128017173370"</f>
        <v>20200131128017173370</v>
      </c>
      <c r="C309">
        <v>2</v>
      </c>
      <c r="D309">
        <v>1</v>
      </c>
      <c r="E309" t="s">
        <v>3886</v>
      </c>
      <c r="F309">
        <v>2</v>
      </c>
      <c r="G309">
        <v>0</v>
      </c>
      <c r="H309" t="s">
        <v>66</v>
      </c>
      <c r="I309">
        <v>0</v>
      </c>
      <c r="J309" t="s">
        <v>66</v>
      </c>
      <c r="K309">
        <v>0</v>
      </c>
      <c r="L309" t="s">
        <v>66</v>
      </c>
      <c r="M309" t="s">
        <v>56</v>
      </c>
      <c r="N309">
        <v>0</v>
      </c>
      <c r="O309" t="s">
        <v>66</v>
      </c>
      <c r="P309" t="s">
        <v>56</v>
      </c>
      <c r="Q309">
        <v>0</v>
      </c>
      <c r="R309" t="s">
        <v>66</v>
      </c>
      <c r="S309" t="s">
        <v>56</v>
      </c>
      <c r="T309">
        <v>1</v>
      </c>
      <c r="U309" t="s">
        <v>1627</v>
      </c>
      <c r="V309" t="s">
        <v>56</v>
      </c>
      <c r="W309">
        <v>0</v>
      </c>
      <c r="X309" t="s">
        <v>66</v>
      </c>
      <c r="Y309" t="s">
        <v>56</v>
      </c>
      <c r="Z309">
        <v>0</v>
      </c>
      <c r="AA309" t="s">
        <v>66</v>
      </c>
      <c r="AB309" t="s">
        <v>56</v>
      </c>
      <c r="AC309">
        <v>1</v>
      </c>
      <c r="AD309" t="s">
        <v>1627</v>
      </c>
      <c r="AE309" t="s">
        <v>3887</v>
      </c>
      <c r="AF309">
        <v>0</v>
      </c>
      <c r="AG309" t="s">
        <v>66</v>
      </c>
      <c r="AH309" t="s">
        <v>56</v>
      </c>
      <c r="AI309">
        <v>1</v>
      </c>
      <c r="AJ309" t="s">
        <v>1627</v>
      </c>
      <c r="AK309" t="s">
        <v>56</v>
      </c>
      <c r="AL309" t="s">
        <v>56</v>
      </c>
      <c r="AM309" t="s">
        <v>56</v>
      </c>
      <c r="AN309" t="s">
        <v>56</v>
      </c>
      <c r="AO309" t="s">
        <v>4783</v>
      </c>
      <c r="AP309" t="s">
        <v>3889</v>
      </c>
      <c r="AQ309" t="s">
        <v>3890</v>
      </c>
      <c r="AR309" t="s">
        <v>3920</v>
      </c>
      <c r="AS309" t="s">
        <v>3921</v>
      </c>
      <c r="AT309" t="s">
        <v>4832</v>
      </c>
      <c r="AU309">
        <v>9000</v>
      </c>
      <c r="AV309" t="s">
        <v>3956</v>
      </c>
      <c r="AW309" t="s">
        <v>3956</v>
      </c>
      <c r="AX309">
        <v>24</v>
      </c>
      <c r="AY309">
        <v>2</v>
      </c>
      <c r="AZ309" t="s">
        <v>3897</v>
      </c>
      <c r="BA309">
        <v>10</v>
      </c>
      <c r="BB309" t="s">
        <v>3898</v>
      </c>
      <c r="BC309">
        <v>6</v>
      </c>
      <c r="BD309">
        <v>5</v>
      </c>
      <c r="BE309" t="s">
        <v>3899</v>
      </c>
      <c r="BF309">
        <v>6</v>
      </c>
      <c r="BG309">
        <v>37</v>
      </c>
      <c r="BH309" t="s">
        <v>4007</v>
      </c>
      <c r="BI309" t="s">
        <v>4833</v>
      </c>
      <c r="BJ309">
        <v>1</v>
      </c>
      <c r="BK309" t="s">
        <v>3902</v>
      </c>
    </row>
    <row r="310" spans="1:63" x14ac:dyDescent="0.25">
      <c r="A310">
        <v>4703</v>
      </c>
      <c r="B310" t="str">
        <f>"20200131143017174148"</f>
        <v>20200131143017174148</v>
      </c>
      <c r="C310">
        <v>1</v>
      </c>
      <c r="D310">
        <v>1</v>
      </c>
      <c r="E310" t="s">
        <v>3886</v>
      </c>
      <c r="F310">
        <v>1</v>
      </c>
      <c r="G310">
        <v>0</v>
      </c>
      <c r="H310" t="s">
        <v>66</v>
      </c>
      <c r="I310">
        <v>0</v>
      </c>
      <c r="J310" t="s">
        <v>66</v>
      </c>
      <c r="K310">
        <v>0</v>
      </c>
      <c r="L310" t="s">
        <v>66</v>
      </c>
      <c r="M310" t="s">
        <v>56</v>
      </c>
      <c r="N310">
        <v>0</v>
      </c>
      <c r="O310" t="s">
        <v>66</v>
      </c>
      <c r="P310" t="s">
        <v>56</v>
      </c>
      <c r="Q310">
        <v>0</v>
      </c>
      <c r="R310" t="s">
        <v>66</v>
      </c>
      <c r="S310" t="s">
        <v>56</v>
      </c>
      <c r="T310">
        <v>1</v>
      </c>
      <c r="U310" t="s">
        <v>1627</v>
      </c>
      <c r="V310" t="s">
        <v>56</v>
      </c>
      <c r="W310">
        <v>0</v>
      </c>
      <c r="X310" t="s">
        <v>66</v>
      </c>
      <c r="Y310" t="s">
        <v>56</v>
      </c>
      <c r="Z310">
        <v>0</v>
      </c>
      <c r="AA310" t="s">
        <v>66</v>
      </c>
      <c r="AB310" t="s">
        <v>56</v>
      </c>
      <c r="AC310">
        <v>1</v>
      </c>
      <c r="AD310" t="s">
        <v>1627</v>
      </c>
      <c r="AE310" t="s">
        <v>3887</v>
      </c>
      <c r="AF310">
        <v>0</v>
      </c>
      <c r="AG310" t="s">
        <v>66</v>
      </c>
      <c r="AH310" t="s">
        <v>56</v>
      </c>
      <c r="AI310">
        <v>1</v>
      </c>
      <c r="AJ310" t="s">
        <v>1627</v>
      </c>
      <c r="AK310" t="s">
        <v>56</v>
      </c>
      <c r="AL310" t="s">
        <v>56</v>
      </c>
      <c r="AM310" t="s">
        <v>56</v>
      </c>
      <c r="AN310" t="s">
        <v>56</v>
      </c>
      <c r="AO310" t="s">
        <v>4046</v>
      </c>
      <c r="AP310" t="s">
        <v>3889</v>
      </c>
      <c r="AQ310" t="s">
        <v>3890</v>
      </c>
      <c r="AR310" t="s">
        <v>3926</v>
      </c>
      <c r="AS310" t="s">
        <v>3927</v>
      </c>
      <c r="AT310" t="s">
        <v>4834</v>
      </c>
      <c r="AU310" t="s">
        <v>3894</v>
      </c>
      <c r="AV310" t="s">
        <v>3895</v>
      </c>
      <c r="AW310" t="s">
        <v>3896</v>
      </c>
      <c r="AX310">
        <v>12</v>
      </c>
      <c r="AY310">
        <v>2</v>
      </c>
      <c r="AZ310" t="s">
        <v>3897</v>
      </c>
      <c r="BA310">
        <v>10</v>
      </c>
      <c r="BB310" t="s">
        <v>3898</v>
      </c>
      <c r="BC310">
        <v>1</v>
      </c>
      <c r="BD310">
        <v>5</v>
      </c>
      <c r="BE310" t="s">
        <v>3899</v>
      </c>
      <c r="BF310">
        <v>1</v>
      </c>
      <c r="BG310">
        <v>13</v>
      </c>
      <c r="BH310" t="s">
        <v>3900</v>
      </c>
      <c r="BI310" t="s">
        <v>4835</v>
      </c>
      <c r="BJ310">
        <v>1</v>
      </c>
      <c r="BK310" t="s">
        <v>3902</v>
      </c>
    </row>
    <row r="311" spans="1:63" x14ac:dyDescent="0.25">
      <c r="A311">
        <v>4704</v>
      </c>
      <c r="B311" t="str">
        <f>"20200131110017174150"</f>
        <v>20200131110017174150</v>
      </c>
      <c r="C311">
        <v>1</v>
      </c>
      <c r="D311">
        <v>1</v>
      </c>
      <c r="E311" t="s">
        <v>3886</v>
      </c>
      <c r="F311">
        <v>2</v>
      </c>
      <c r="G311">
        <v>0</v>
      </c>
      <c r="H311" t="s">
        <v>66</v>
      </c>
      <c r="I311">
        <v>0</v>
      </c>
      <c r="J311" t="s">
        <v>66</v>
      </c>
      <c r="K311">
        <v>0</v>
      </c>
      <c r="L311" t="s">
        <v>66</v>
      </c>
      <c r="M311" t="s">
        <v>56</v>
      </c>
      <c r="N311">
        <v>0</v>
      </c>
      <c r="O311" t="s">
        <v>66</v>
      </c>
      <c r="P311" t="s">
        <v>56</v>
      </c>
      <c r="Q311">
        <v>0</v>
      </c>
      <c r="R311" t="s">
        <v>66</v>
      </c>
      <c r="S311" t="s">
        <v>56</v>
      </c>
      <c r="T311">
        <v>1</v>
      </c>
      <c r="U311" t="s">
        <v>1627</v>
      </c>
      <c r="V311" t="s">
        <v>56</v>
      </c>
      <c r="W311">
        <v>0</v>
      </c>
      <c r="X311" t="s">
        <v>66</v>
      </c>
      <c r="Y311" t="s">
        <v>56</v>
      </c>
      <c r="Z311">
        <v>0</v>
      </c>
      <c r="AA311" t="s">
        <v>66</v>
      </c>
      <c r="AB311" t="s">
        <v>56</v>
      </c>
      <c r="AC311">
        <v>1</v>
      </c>
      <c r="AD311" t="s">
        <v>1627</v>
      </c>
      <c r="AE311" t="s">
        <v>3887</v>
      </c>
      <c r="AF311">
        <v>0</v>
      </c>
      <c r="AG311" t="s">
        <v>66</v>
      </c>
      <c r="AH311" t="s">
        <v>56</v>
      </c>
      <c r="AI311">
        <v>1</v>
      </c>
      <c r="AJ311" t="s">
        <v>1627</v>
      </c>
      <c r="AK311" t="s">
        <v>56</v>
      </c>
      <c r="AL311" t="s">
        <v>56</v>
      </c>
      <c r="AM311" t="s">
        <v>56</v>
      </c>
      <c r="AN311" t="s">
        <v>56</v>
      </c>
      <c r="AO311" t="s">
        <v>4076</v>
      </c>
      <c r="AP311" t="s">
        <v>4077</v>
      </c>
      <c r="AQ311" t="s">
        <v>4078</v>
      </c>
      <c r="AR311" t="s">
        <v>3941</v>
      </c>
      <c r="AS311" t="s">
        <v>3942</v>
      </c>
      <c r="AT311" t="s">
        <v>4836</v>
      </c>
      <c r="AU311" t="s">
        <v>3944</v>
      </c>
      <c r="AV311" t="s">
        <v>3945</v>
      </c>
      <c r="AW311" t="s">
        <v>3946</v>
      </c>
      <c r="AX311">
        <v>12</v>
      </c>
      <c r="AY311">
        <v>2</v>
      </c>
      <c r="AZ311" t="s">
        <v>3897</v>
      </c>
      <c r="BA311">
        <v>10</v>
      </c>
      <c r="BB311" t="s">
        <v>3898</v>
      </c>
      <c r="BC311">
        <v>3</v>
      </c>
      <c r="BD311">
        <v>5</v>
      </c>
      <c r="BE311" t="s">
        <v>3899</v>
      </c>
      <c r="BF311">
        <v>180</v>
      </c>
      <c r="BG311">
        <v>66</v>
      </c>
      <c r="BH311" t="s">
        <v>3965</v>
      </c>
      <c r="BI311" t="s">
        <v>4837</v>
      </c>
      <c r="BJ311">
        <v>1</v>
      </c>
      <c r="BK311" t="s">
        <v>3902</v>
      </c>
    </row>
    <row r="312" spans="1:63" x14ac:dyDescent="0.25">
      <c r="A312">
        <v>4705</v>
      </c>
      <c r="B312" t="str">
        <f>"20200131110017174150"</f>
        <v>20200131110017174150</v>
      </c>
      <c r="C312">
        <v>2</v>
      </c>
      <c r="D312">
        <v>1</v>
      </c>
      <c r="E312" t="s">
        <v>3886</v>
      </c>
      <c r="F312">
        <v>2</v>
      </c>
      <c r="G312">
        <v>0</v>
      </c>
      <c r="H312" t="s">
        <v>66</v>
      </c>
      <c r="I312">
        <v>0</v>
      </c>
      <c r="J312" t="s">
        <v>66</v>
      </c>
      <c r="K312">
        <v>1</v>
      </c>
      <c r="L312" t="s">
        <v>1627</v>
      </c>
      <c r="M312" t="s">
        <v>4551</v>
      </c>
      <c r="N312">
        <v>1</v>
      </c>
      <c r="O312" t="s">
        <v>1627</v>
      </c>
      <c r="P312" t="s">
        <v>4838</v>
      </c>
      <c r="Q312">
        <v>0</v>
      </c>
      <c r="R312" t="s">
        <v>66</v>
      </c>
      <c r="S312" t="s">
        <v>56</v>
      </c>
      <c r="T312" t="s">
        <v>56</v>
      </c>
      <c r="U312" t="s">
        <v>56</v>
      </c>
      <c r="V312" t="s">
        <v>56</v>
      </c>
      <c r="W312">
        <v>0</v>
      </c>
      <c r="X312" t="s">
        <v>66</v>
      </c>
      <c r="Y312" t="s">
        <v>56</v>
      </c>
      <c r="Z312">
        <v>0</v>
      </c>
      <c r="AA312" t="s">
        <v>66</v>
      </c>
      <c r="AB312" t="s">
        <v>56</v>
      </c>
      <c r="AC312">
        <v>0</v>
      </c>
      <c r="AD312" t="s">
        <v>66</v>
      </c>
      <c r="AE312" t="s">
        <v>56</v>
      </c>
      <c r="AF312">
        <v>0</v>
      </c>
      <c r="AG312" t="s">
        <v>66</v>
      </c>
      <c r="AH312" t="s">
        <v>56</v>
      </c>
      <c r="AI312">
        <v>1</v>
      </c>
      <c r="AJ312" t="s">
        <v>1627</v>
      </c>
      <c r="AK312" t="s">
        <v>56</v>
      </c>
      <c r="AL312" t="s">
        <v>56</v>
      </c>
      <c r="AM312" t="s">
        <v>56</v>
      </c>
      <c r="AN312" t="s">
        <v>56</v>
      </c>
      <c r="AO312" t="s">
        <v>4553</v>
      </c>
      <c r="AP312" t="s">
        <v>4077</v>
      </c>
      <c r="AQ312" t="s">
        <v>4078</v>
      </c>
      <c r="AR312" t="s">
        <v>3941</v>
      </c>
      <c r="AS312" t="s">
        <v>3942</v>
      </c>
      <c r="AT312" t="s">
        <v>4839</v>
      </c>
      <c r="AU312" t="s">
        <v>3944</v>
      </c>
      <c r="AV312" t="s">
        <v>3945</v>
      </c>
      <c r="AW312" t="s">
        <v>3946</v>
      </c>
      <c r="AX312">
        <v>12</v>
      </c>
      <c r="AY312">
        <v>2</v>
      </c>
      <c r="AZ312" t="s">
        <v>3897</v>
      </c>
      <c r="BA312">
        <v>10</v>
      </c>
      <c r="BB312" t="s">
        <v>3898</v>
      </c>
      <c r="BC312">
        <v>3</v>
      </c>
      <c r="BD312">
        <v>5</v>
      </c>
      <c r="BE312" t="s">
        <v>3899</v>
      </c>
      <c r="BF312">
        <v>180</v>
      </c>
      <c r="BG312">
        <v>66</v>
      </c>
      <c r="BH312" t="s">
        <v>3965</v>
      </c>
      <c r="BI312" t="s">
        <v>4840</v>
      </c>
      <c r="BJ312">
        <v>1</v>
      </c>
      <c r="BK312" t="s">
        <v>3902</v>
      </c>
    </row>
    <row r="313" spans="1:63" x14ac:dyDescent="0.25">
      <c r="A313">
        <v>4706</v>
      </c>
      <c r="B313" t="str">
        <f>"20200131147017174898"</f>
        <v>20200131147017174898</v>
      </c>
      <c r="C313">
        <v>1</v>
      </c>
      <c r="D313">
        <v>1</v>
      </c>
      <c r="E313" t="s">
        <v>3886</v>
      </c>
      <c r="F313">
        <v>2</v>
      </c>
      <c r="G313">
        <v>0</v>
      </c>
      <c r="H313" t="s">
        <v>66</v>
      </c>
      <c r="I313">
        <v>0</v>
      </c>
      <c r="J313" t="s">
        <v>66</v>
      </c>
      <c r="K313">
        <v>0</v>
      </c>
      <c r="L313" t="s">
        <v>66</v>
      </c>
      <c r="M313" t="s">
        <v>56</v>
      </c>
      <c r="N313">
        <v>0</v>
      </c>
      <c r="O313" t="s">
        <v>66</v>
      </c>
      <c r="P313" t="s">
        <v>56</v>
      </c>
      <c r="Q313">
        <v>0</v>
      </c>
      <c r="R313" t="s">
        <v>66</v>
      </c>
      <c r="S313" t="s">
        <v>56</v>
      </c>
      <c r="T313">
        <v>1</v>
      </c>
      <c r="U313" t="s">
        <v>1627</v>
      </c>
      <c r="V313" t="s">
        <v>56</v>
      </c>
      <c r="W313">
        <v>0</v>
      </c>
      <c r="X313" t="s">
        <v>66</v>
      </c>
      <c r="Y313" t="s">
        <v>56</v>
      </c>
      <c r="Z313">
        <v>0</v>
      </c>
      <c r="AA313" t="s">
        <v>66</v>
      </c>
      <c r="AB313" t="s">
        <v>56</v>
      </c>
      <c r="AC313">
        <v>1</v>
      </c>
      <c r="AD313" t="s">
        <v>1627</v>
      </c>
      <c r="AE313" t="s">
        <v>3887</v>
      </c>
      <c r="AF313">
        <v>0</v>
      </c>
      <c r="AG313" t="s">
        <v>66</v>
      </c>
      <c r="AH313" t="s">
        <v>56</v>
      </c>
      <c r="AI313">
        <v>1</v>
      </c>
      <c r="AJ313" t="s">
        <v>1627</v>
      </c>
      <c r="AK313" t="s">
        <v>56</v>
      </c>
      <c r="AL313" t="s">
        <v>56</v>
      </c>
      <c r="AM313" t="s">
        <v>56</v>
      </c>
      <c r="AN313" t="s">
        <v>56</v>
      </c>
      <c r="AO313" t="s">
        <v>4841</v>
      </c>
      <c r="AP313" t="s">
        <v>4058</v>
      </c>
      <c r="AQ313" t="s">
        <v>4059</v>
      </c>
      <c r="AR313">
        <v>503</v>
      </c>
      <c r="AS313" t="s">
        <v>4060</v>
      </c>
      <c r="AT313" t="s">
        <v>4842</v>
      </c>
      <c r="AU313">
        <v>9000</v>
      </c>
      <c r="AV313" t="s">
        <v>3956</v>
      </c>
      <c r="AW313" t="s">
        <v>3956</v>
      </c>
      <c r="AX313">
        <v>12</v>
      </c>
      <c r="AY313">
        <v>2</v>
      </c>
      <c r="AZ313" t="s">
        <v>3897</v>
      </c>
      <c r="BA313">
        <v>10</v>
      </c>
      <c r="BB313" t="s">
        <v>3898</v>
      </c>
      <c r="BC313">
        <v>3</v>
      </c>
      <c r="BD313">
        <v>5</v>
      </c>
      <c r="BE313" t="s">
        <v>3899</v>
      </c>
      <c r="BF313">
        <v>3</v>
      </c>
      <c r="BG313">
        <v>37</v>
      </c>
      <c r="BH313" t="s">
        <v>4007</v>
      </c>
      <c r="BI313" t="s">
        <v>4843</v>
      </c>
      <c r="BJ313">
        <v>1</v>
      </c>
      <c r="BK313" t="s">
        <v>3902</v>
      </c>
    </row>
    <row r="314" spans="1:63" x14ac:dyDescent="0.25">
      <c r="A314">
        <v>4707</v>
      </c>
      <c r="B314" t="str">
        <f>"20200131147017174898"</f>
        <v>20200131147017174898</v>
      </c>
      <c r="C314">
        <v>2</v>
      </c>
      <c r="D314">
        <v>1</v>
      </c>
      <c r="E314" t="s">
        <v>3886</v>
      </c>
      <c r="F314">
        <v>2</v>
      </c>
      <c r="G314">
        <v>0</v>
      </c>
      <c r="H314" t="s">
        <v>66</v>
      </c>
      <c r="I314">
        <v>0</v>
      </c>
      <c r="J314" t="s">
        <v>66</v>
      </c>
      <c r="K314">
        <v>0</v>
      </c>
      <c r="L314" t="s">
        <v>66</v>
      </c>
      <c r="M314" t="s">
        <v>56</v>
      </c>
      <c r="N314">
        <v>0</v>
      </c>
      <c r="O314" t="s">
        <v>66</v>
      </c>
      <c r="P314" t="s">
        <v>56</v>
      </c>
      <c r="Q314">
        <v>0</v>
      </c>
      <c r="R314" t="s">
        <v>66</v>
      </c>
      <c r="S314" t="s">
        <v>56</v>
      </c>
      <c r="T314">
        <v>1</v>
      </c>
      <c r="U314" t="s">
        <v>1627</v>
      </c>
      <c r="V314" t="s">
        <v>56</v>
      </c>
      <c r="W314">
        <v>0</v>
      </c>
      <c r="X314" t="s">
        <v>66</v>
      </c>
      <c r="Y314" t="s">
        <v>56</v>
      </c>
      <c r="Z314">
        <v>0</v>
      </c>
      <c r="AA314" t="s">
        <v>66</v>
      </c>
      <c r="AB314" t="s">
        <v>56</v>
      </c>
      <c r="AC314">
        <v>1</v>
      </c>
      <c r="AD314" t="s">
        <v>1627</v>
      </c>
      <c r="AE314" t="s">
        <v>3887</v>
      </c>
      <c r="AF314">
        <v>0</v>
      </c>
      <c r="AG314" t="s">
        <v>66</v>
      </c>
      <c r="AH314" t="s">
        <v>56</v>
      </c>
      <c r="AI314">
        <v>1</v>
      </c>
      <c r="AJ314" t="s">
        <v>1627</v>
      </c>
      <c r="AK314" t="s">
        <v>56</v>
      </c>
      <c r="AL314" t="s">
        <v>56</v>
      </c>
      <c r="AM314" t="s">
        <v>56</v>
      </c>
      <c r="AN314" t="s">
        <v>56</v>
      </c>
      <c r="AO314" t="s">
        <v>4783</v>
      </c>
      <c r="AP314" t="s">
        <v>3889</v>
      </c>
      <c r="AQ314" t="s">
        <v>3890</v>
      </c>
      <c r="AR314" t="s">
        <v>3920</v>
      </c>
      <c r="AS314" t="s">
        <v>3921</v>
      </c>
      <c r="AT314" t="s">
        <v>4844</v>
      </c>
      <c r="AU314">
        <v>9000</v>
      </c>
      <c r="AV314" t="s">
        <v>3956</v>
      </c>
      <c r="AW314" t="s">
        <v>3956</v>
      </c>
      <c r="AX314">
        <v>24</v>
      </c>
      <c r="AY314">
        <v>2</v>
      </c>
      <c r="AZ314" t="s">
        <v>3897</v>
      </c>
      <c r="BA314">
        <v>10</v>
      </c>
      <c r="BB314" t="s">
        <v>3898</v>
      </c>
      <c r="BC314">
        <v>3</v>
      </c>
      <c r="BD314">
        <v>5</v>
      </c>
      <c r="BE314" t="s">
        <v>3899</v>
      </c>
      <c r="BF314">
        <v>3</v>
      </c>
      <c r="BG314">
        <v>37</v>
      </c>
      <c r="BH314" t="s">
        <v>4007</v>
      </c>
      <c r="BI314" t="s">
        <v>4845</v>
      </c>
      <c r="BJ314">
        <v>1</v>
      </c>
      <c r="BK314" t="s">
        <v>3902</v>
      </c>
    </row>
    <row r="315" spans="1:63" x14ac:dyDescent="0.25">
      <c r="A315">
        <v>4708</v>
      </c>
      <c r="B315" t="str">
        <f>"20200131147017174898"</f>
        <v>20200131147017174898</v>
      </c>
      <c r="C315">
        <v>3</v>
      </c>
      <c r="D315">
        <v>1</v>
      </c>
      <c r="E315" t="s">
        <v>3886</v>
      </c>
      <c r="F315">
        <v>2</v>
      </c>
      <c r="G315">
        <v>0</v>
      </c>
      <c r="H315" t="s">
        <v>66</v>
      </c>
      <c r="I315">
        <v>0</v>
      </c>
      <c r="J315" t="s">
        <v>66</v>
      </c>
      <c r="K315">
        <v>0</v>
      </c>
      <c r="L315" t="s">
        <v>66</v>
      </c>
      <c r="M315" t="s">
        <v>56</v>
      </c>
      <c r="N315">
        <v>0</v>
      </c>
      <c r="O315" t="s">
        <v>66</v>
      </c>
      <c r="P315" t="s">
        <v>56</v>
      </c>
      <c r="Q315">
        <v>0</v>
      </c>
      <c r="R315" t="s">
        <v>66</v>
      </c>
      <c r="S315" t="s">
        <v>56</v>
      </c>
      <c r="T315">
        <v>1</v>
      </c>
      <c r="U315" t="s">
        <v>1627</v>
      </c>
      <c r="V315" t="s">
        <v>56</v>
      </c>
      <c r="W315">
        <v>0</v>
      </c>
      <c r="X315" t="s">
        <v>66</v>
      </c>
      <c r="Y315" t="s">
        <v>56</v>
      </c>
      <c r="Z315">
        <v>0</v>
      </c>
      <c r="AA315" t="s">
        <v>66</v>
      </c>
      <c r="AB315" t="s">
        <v>56</v>
      </c>
      <c r="AC315">
        <v>1</v>
      </c>
      <c r="AD315" t="s">
        <v>1627</v>
      </c>
      <c r="AE315" t="s">
        <v>3887</v>
      </c>
      <c r="AF315">
        <v>0</v>
      </c>
      <c r="AG315" t="s">
        <v>66</v>
      </c>
      <c r="AH315" t="s">
        <v>56</v>
      </c>
      <c r="AI315">
        <v>1</v>
      </c>
      <c r="AJ315" t="s">
        <v>1627</v>
      </c>
      <c r="AK315" t="s">
        <v>56</v>
      </c>
      <c r="AL315" t="s">
        <v>56</v>
      </c>
      <c r="AM315" t="s">
        <v>56</v>
      </c>
      <c r="AN315" t="s">
        <v>56</v>
      </c>
      <c r="AO315" t="s">
        <v>4846</v>
      </c>
      <c r="AP315" t="s">
        <v>3962</v>
      </c>
      <c r="AQ315" t="s">
        <v>3963</v>
      </c>
      <c r="AR315" t="s">
        <v>3941</v>
      </c>
      <c r="AS315" t="s">
        <v>3942</v>
      </c>
      <c r="AT315" t="s">
        <v>4844</v>
      </c>
      <c r="AU315">
        <v>9000</v>
      </c>
      <c r="AV315" t="s">
        <v>3956</v>
      </c>
      <c r="AW315" t="s">
        <v>3956</v>
      </c>
      <c r="AX315">
        <v>24</v>
      </c>
      <c r="AY315">
        <v>2</v>
      </c>
      <c r="AZ315" t="s">
        <v>3897</v>
      </c>
      <c r="BA315">
        <v>10</v>
      </c>
      <c r="BB315" t="s">
        <v>3898</v>
      </c>
      <c r="BC315">
        <v>3</v>
      </c>
      <c r="BD315">
        <v>5</v>
      </c>
      <c r="BE315" t="s">
        <v>3899</v>
      </c>
      <c r="BF315">
        <v>90</v>
      </c>
      <c r="BG315">
        <v>66</v>
      </c>
      <c r="BH315" t="s">
        <v>3965</v>
      </c>
      <c r="BI315" t="s">
        <v>4847</v>
      </c>
      <c r="BJ315">
        <v>1</v>
      </c>
      <c r="BK315" t="s">
        <v>3902</v>
      </c>
    </row>
    <row r="316" spans="1:63" x14ac:dyDescent="0.25">
      <c r="A316">
        <v>4709</v>
      </c>
      <c r="B316" t="str">
        <f>"20200131147017174898"</f>
        <v>20200131147017174898</v>
      </c>
      <c r="C316">
        <v>4</v>
      </c>
      <c r="D316">
        <v>1</v>
      </c>
      <c r="E316" t="s">
        <v>3886</v>
      </c>
      <c r="F316">
        <v>2</v>
      </c>
      <c r="G316">
        <v>0</v>
      </c>
      <c r="H316" t="s">
        <v>66</v>
      </c>
      <c r="I316">
        <v>0</v>
      </c>
      <c r="J316" t="s">
        <v>66</v>
      </c>
      <c r="K316">
        <v>0</v>
      </c>
      <c r="L316" t="s">
        <v>66</v>
      </c>
      <c r="M316" t="s">
        <v>56</v>
      </c>
      <c r="N316">
        <v>0</v>
      </c>
      <c r="O316" t="s">
        <v>66</v>
      </c>
      <c r="P316" t="s">
        <v>56</v>
      </c>
      <c r="Q316">
        <v>0</v>
      </c>
      <c r="R316" t="s">
        <v>66</v>
      </c>
      <c r="S316" t="s">
        <v>56</v>
      </c>
      <c r="T316">
        <v>1</v>
      </c>
      <c r="U316" t="s">
        <v>1627</v>
      </c>
      <c r="V316" t="s">
        <v>56</v>
      </c>
      <c r="W316">
        <v>0</v>
      </c>
      <c r="X316" t="s">
        <v>66</v>
      </c>
      <c r="Y316" t="s">
        <v>56</v>
      </c>
      <c r="Z316">
        <v>0</v>
      </c>
      <c r="AA316" t="s">
        <v>66</v>
      </c>
      <c r="AB316" t="s">
        <v>56</v>
      </c>
      <c r="AC316">
        <v>1</v>
      </c>
      <c r="AD316" t="s">
        <v>1627</v>
      </c>
      <c r="AE316" t="s">
        <v>3887</v>
      </c>
      <c r="AF316">
        <v>0</v>
      </c>
      <c r="AG316" t="s">
        <v>66</v>
      </c>
      <c r="AH316" t="s">
        <v>56</v>
      </c>
      <c r="AI316">
        <v>1</v>
      </c>
      <c r="AJ316" t="s">
        <v>1627</v>
      </c>
      <c r="AK316" t="s">
        <v>56</v>
      </c>
      <c r="AL316" t="s">
        <v>56</v>
      </c>
      <c r="AM316" t="s">
        <v>56</v>
      </c>
      <c r="AN316" t="s">
        <v>56</v>
      </c>
      <c r="AO316" t="s">
        <v>4848</v>
      </c>
      <c r="AP316" t="s">
        <v>3962</v>
      </c>
      <c r="AQ316" t="s">
        <v>3963</v>
      </c>
      <c r="AR316" t="s">
        <v>3941</v>
      </c>
      <c r="AS316" t="s">
        <v>3942</v>
      </c>
      <c r="AT316" t="s">
        <v>4844</v>
      </c>
      <c r="AU316">
        <v>9000</v>
      </c>
      <c r="AV316" t="s">
        <v>3956</v>
      </c>
      <c r="AW316" t="s">
        <v>3956</v>
      </c>
      <c r="AX316">
        <v>24</v>
      </c>
      <c r="AY316">
        <v>2</v>
      </c>
      <c r="AZ316" t="s">
        <v>3897</v>
      </c>
      <c r="BA316">
        <v>10</v>
      </c>
      <c r="BB316" t="s">
        <v>3898</v>
      </c>
      <c r="BC316">
        <v>5</v>
      </c>
      <c r="BD316">
        <v>3</v>
      </c>
      <c r="BE316" t="s">
        <v>3911</v>
      </c>
      <c r="BF316">
        <v>5</v>
      </c>
      <c r="BG316">
        <v>66</v>
      </c>
      <c r="BH316" t="s">
        <v>3965</v>
      </c>
      <c r="BI316" t="s">
        <v>4849</v>
      </c>
      <c r="BJ316">
        <v>1</v>
      </c>
      <c r="BK316" t="s">
        <v>3902</v>
      </c>
    </row>
    <row r="317" spans="1:63" x14ac:dyDescent="0.25">
      <c r="A317">
        <v>4710</v>
      </c>
      <c r="B317" t="str">
        <f>"20200131127017175398"</f>
        <v>20200131127017175398</v>
      </c>
      <c r="C317">
        <v>1</v>
      </c>
      <c r="D317">
        <v>1</v>
      </c>
      <c r="E317" t="s">
        <v>3886</v>
      </c>
      <c r="F317">
        <v>2</v>
      </c>
      <c r="G317">
        <v>0</v>
      </c>
      <c r="H317" t="s">
        <v>66</v>
      </c>
      <c r="I317">
        <v>0</v>
      </c>
      <c r="J317" t="s">
        <v>66</v>
      </c>
      <c r="K317">
        <v>0</v>
      </c>
      <c r="L317" t="s">
        <v>66</v>
      </c>
      <c r="M317" t="s">
        <v>56</v>
      </c>
      <c r="N317">
        <v>0</v>
      </c>
      <c r="O317" t="s">
        <v>66</v>
      </c>
      <c r="P317" t="s">
        <v>56</v>
      </c>
      <c r="Q317">
        <v>0</v>
      </c>
      <c r="R317" t="s">
        <v>66</v>
      </c>
      <c r="S317" t="s">
        <v>56</v>
      </c>
      <c r="T317">
        <v>1</v>
      </c>
      <c r="U317" t="s">
        <v>1627</v>
      </c>
      <c r="V317" t="s">
        <v>56</v>
      </c>
      <c r="W317">
        <v>0</v>
      </c>
      <c r="X317" t="s">
        <v>66</v>
      </c>
      <c r="Y317" t="s">
        <v>56</v>
      </c>
      <c r="Z317">
        <v>0</v>
      </c>
      <c r="AA317" t="s">
        <v>66</v>
      </c>
      <c r="AB317" t="s">
        <v>56</v>
      </c>
      <c r="AC317">
        <v>1</v>
      </c>
      <c r="AD317" t="s">
        <v>1627</v>
      </c>
      <c r="AE317" t="s">
        <v>3887</v>
      </c>
      <c r="AF317">
        <v>0</v>
      </c>
      <c r="AG317" t="s">
        <v>66</v>
      </c>
      <c r="AH317" t="s">
        <v>56</v>
      </c>
      <c r="AI317">
        <v>1</v>
      </c>
      <c r="AJ317" t="s">
        <v>1627</v>
      </c>
      <c r="AK317" t="s">
        <v>56</v>
      </c>
      <c r="AL317" t="s">
        <v>56</v>
      </c>
      <c r="AM317" t="s">
        <v>56</v>
      </c>
      <c r="AN317" t="s">
        <v>56</v>
      </c>
      <c r="AO317" t="s">
        <v>4687</v>
      </c>
      <c r="AP317" t="s">
        <v>3934</v>
      </c>
      <c r="AQ317" t="s">
        <v>3935</v>
      </c>
      <c r="AR317">
        <v>502</v>
      </c>
      <c r="AS317" t="s">
        <v>4688</v>
      </c>
      <c r="AT317" t="s">
        <v>4850</v>
      </c>
      <c r="AU317">
        <v>9000</v>
      </c>
      <c r="AV317" t="s">
        <v>3956</v>
      </c>
      <c r="AW317" t="s">
        <v>3956</v>
      </c>
      <c r="AX317">
        <v>24</v>
      </c>
      <c r="AY317">
        <v>2</v>
      </c>
      <c r="AZ317" t="s">
        <v>3897</v>
      </c>
      <c r="BA317">
        <v>10</v>
      </c>
      <c r="BB317" t="s">
        <v>3898</v>
      </c>
      <c r="BC317">
        <v>6</v>
      </c>
      <c r="BD317">
        <v>5</v>
      </c>
      <c r="BE317" t="s">
        <v>3899</v>
      </c>
      <c r="BF317">
        <v>6</v>
      </c>
      <c r="BG317">
        <v>37</v>
      </c>
      <c r="BH317" t="s">
        <v>4007</v>
      </c>
      <c r="BI317" t="s">
        <v>4851</v>
      </c>
      <c r="BJ317">
        <v>1</v>
      </c>
      <c r="BK317" t="s">
        <v>3902</v>
      </c>
    </row>
    <row r="318" spans="1:63" x14ac:dyDescent="0.25">
      <c r="A318">
        <v>4711</v>
      </c>
      <c r="B318" t="str">
        <f>"20200131188017175736"</f>
        <v>20200131188017175736</v>
      </c>
      <c r="C318">
        <v>1</v>
      </c>
      <c r="D318">
        <v>1</v>
      </c>
      <c r="E318" t="s">
        <v>3886</v>
      </c>
      <c r="F318">
        <v>2</v>
      </c>
      <c r="G318">
        <v>0</v>
      </c>
      <c r="H318" t="s">
        <v>66</v>
      </c>
      <c r="I318">
        <v>0</v>
      </c>
      <c r="J318" t="s">
        <v>66</v>
      </c>
      <c r="K318">
        <v>0</v>
      </c>
      <c r="L318" t="s">
        <v>66</v>
      </c>
      <c r="M318" t="s">
        <v>56</v>
      </c>
      <c r="N318">
        <v>0</v>
      </c>
      <c r="O318" t="s">
        <v>66</v>
      </c>
      <c r="P318" t="s">
        <v>56</v>
      </c>
      <c r="Q318">
        <v>0</v>
      </c>
      <c r="R318" t="s">
        <v>66</v>
      </c>
      <c r="S318" t="s">
        <v>56</v>
      </c>
      <c r="T318">
        <v>1</v>
      </c>
      <c r="U318" t="s">
        <v>1627</v>
      </c>
      <c r="V318" t="s">
        <v>56</v>
      </c>
      <c r="W318">
        <v>0</v>
      </c>
      <c r="X318" t="s">
        <v>66</v>
      </c>
      <c r="Y318" t="s">
        <v>56</v>
      </c>
      <c r="Z318">
        <v>0</v>
      </c>
      <c r="AA318" t="s">
        <v>66</v>
      </c>
      <c r="AB318" t="s">
        <v>56</v>
      </c>
      <c r="AC318">
        <v>1</v>
      </c>
      <c r="AD318" t="s">
        <v>1627</v>
      </c>
      <c r="AE318" t="s">
        <v>3887</v>
      </c>
      <c r="AF318">
        <v>0</v>
      </c>
      <c r="AG318" t="s">
        <v>66</v>
      </c>
      <c r="AH318" t="s">
        <v>56</v>
      </c>
      <c r="AI318">
        <v>1</v>
      </c>
      <c r="AJ318" t="s">
        <v>1627</v>
      </c>
      <c r="AK318" t="s">
        <v>56</v>
      </c>
      <c r="AL318" t="s">
        <v>56</v>
      </c>
      <c r="AM318" t="s">
        <v>56</v>
      </c>
      <c r="AN318" t="s">
        <v>56</v>
      </c>
      <c r="AO318" t="s">
        <v>3992</v>
      </c>
      <c r="AP318" t="s">
        <v>3889</v>
      </c>
      <c r="AQ318" t="s">
        <v>3890</v>
      </c>
      <c r="AR318" t="s">
        <v>3926</v>
      </c>
      <c r="AS318" t="s">
        <v>3927</v>
      </c>
      <c r="AT318" t="s">
        <v>4852</v>
      </c>
      <c r="AU318" t="s">
        <v>3894</v>
      </c>
      <c r="AV318" t="s">
        <v>3895</v>
      </c>
      <c r="AW318" t="s">
        <v>3896</v>
      </c>
      <c r="AX318">
        <v>12</v>
      </c>
      <c r="AY318">
        <v>2</v>
      </c>
      <c r="AZ318" t="s">
        <v>3897</v>
      </c>
      <c r="BA318">
        <v>10</v>
      </c>
      <c r="BB318" t="s">
        <v>3898</v>
      </c>
      <c r="BC318">
        <v>3</v>
      </c>
      <c r="BD318">
        <v>5</v>
      </c>
      <c r="BE318" t="s">
        <v>3899</v>
      </c>
      <c r="BF318">
        <v>3</v>
      </c>
      <c r="BG318">
        <v>13</v>
      </c>
      <c r="BH318" t="s">
        <v>3900</v>
      </c>
      <c r="BI318" t="s">
        <v>4853</v>
      </c>
      <c r="BJ318">
        <v>1</v>
      </c>
      <c r="BK318" t="s">
        <v>3902</v>
      </c>
    </row>
    <row r="319" spans="1:63" x14ac:dyDescent="0.25">
      <c r="A319">
        <v>4712</v>
      </c>
      <c r="B319" t="str">
        <f>"20200131170017176275"</f>
        <v>20200131170017176275</v>
      </c>
      <c r="C319">
        <v>1</v>
      </c>
      <c r="D319">
        <v>1</v>
      </c>
      <c r="E319" t="s">
        <v>3886</v>
      </c>
      <c r="F319">
        <v>1</v>
      </c>
      <c r="G319">
        <v>0</v>
      </c>
      <c r="H319" t="s">
        <v>66</v>
      </c>
      <c r="I319">
        <v>0</v>
      </c>
      <c r="J319" t="s">
        <v>66</v>
      </c>
      <c r="K319">
        <v>1</v>
      </c>
      <c r="L319" t="s">
        <v>1627</v>
      </c>
      <c r="M319" t="s">
        <v>3915</v>
      </c>
      <c r="N319">
        <v>1</v>
      </c>
      <c r="O319" t="s">
        <v>1627</v>
      </c>
      <c r="P319" t="s">
        <v>4854</v>
      </c>
      <c r="Q319">
        <v>0</v>
      </c>
      <c r="R319" t="s">
        <v>66</v>
      </c>
      <c r="S319" t="s">
        <v>56</v>
      </c>
      <c r="T319" t="s">
        <v>56</v>
      </c>
      <c r="U319" t="s">
        <v>56</v>
      </c>
      <c r="V319" t="s">
        <v>56</v>
      </c>
      <c r="W319">
        <v>0</v>
      </c>
      <c r="X319" t="s">
        <v>66</v>
      </c>
      <c r="Y319" t="s">
        <v>56</v>
      </c>
      <c r="Z319">
        <v>0</v>
      </c>
      <c r="AA319" t="s">
        <v>66</v>
      </c>
      <c r="AB319" t="s">
        <v>56</v>
      </c>
      <c r="AC319">
        <v>0</v>
      </c>
      <c r="AD319" t="s">
        <v>66</v>
      </c>
      <c r="AE319" t="s">
        <v>56</v>
      </c>
      <c r="AF319">
        <v>0</v>
      </c>
      <c r="AG319" t="s">
        <v>66</v>
      </c>
      <c r="AH319" t="s">
        <v>56</v>
      </c>
      <c r="AI319">
        <v>1</v>
      </c>
      <c r="AJ319" t="s">
        <v>1627</v>
      </c>
      <c r="AK319" t="s">
        <v>56</v>
      </c>
      <c r="AL319" t="s">
        <v>56</v>
      </c>
      <c r="AM319" t="s">
        <v>56</v>
      </c>
      <c r="AN319" t="s">
        <v>56</v>
      </c>
      <c r="AO319" t="s">
        <v>4176</v>
      </c>
      <c r="AP319" t="s">
        <v>3889</v>
      </c>
      <c r="AQ319" t="s">
        <v>3890</v>
      </c>
      <c r="AR319" t="s">
        <v>3920</v>
      </c>
      <c r="AS319" t="s">
        <v>3921</v>
      </c>
      <c r="AT319" t="s">
        <v>4855</v>
      </c>
      <c r="AU319">
        <v>9000</v>
      </c>
      <c r="AV319" t="s">
        <v>3956</v>
      </c>
      <c r="AW319" t="s">
        <v>3956</v>
      </c>
      <c r="AX319">
        <v>24</v>
      </c>
      <c r="AY319">
        <v>2</v>
      </c>
      <c r="AZ319" t="s">
        <v>3897</v>
      </c>
      <c r="BA319">
        <v>10</v>
      </c>
      <c r="BB319" t="s">
        <v>3898</v>
      </c>
      <c r="BC319">
        <v>1</v>
      </c>
      <c r="BD319">
        <v>5</v>
      </c>
      <c r="BE319" t="s">
        <v>3899</v>
      </c>
      <c r="BF319">
        <v>1</v>
      </c>
      <c r="BG319">
        <v>37</v>
      </c>
      <c r="BH319" t="s">
        <v>4007</v>
      </c>
      <c r="BI319" t="s">
        <v>4856</v>
      </c>
      <c r="BJ319">
        <v>1</v>
      </c>
      <c r="BK319" t="s">
        <v>3902</v>
      </c>
    </row>
    <row r="320" spans="1:63" x14ac:dyDescent="0.25">
      <c r="A320">
        <v>4713</v>
      </c>
      <c r="B320" t="str">
        <f>"20200131145017176597"</f>
        <v>20200131145017176597</v>
      </c>
      <c r="C320">
        <v>1</v>
      </c>
      <c r="D320">
        <v>1</v>
      </c>
      <c r="E320" t="s">
        <v>3886</v>
      </c>
      <c r="F320">
        <v>2</v>
      </c>
      <c r="G320">
        <v>0</v>
      </c>
      <c r="H320" t="s">
        <v>66</v>
      </c>
      <c r="I320">
        <v>0</v>
      </c>
      <c r="J320" t="s">
        <v>66</v>
      </c>
      <c r="K320">
        <v>1</v>
      </c>
      <c r="L320" t="s">
        <v>1627</v>
      </c>
      <c r="M320" t="s">
        <v>4463</v>
      </c>
      <c r="N320">
        <v>1</v>
      </c>
      <c r="O320" t="s">
        <v>1627</v>
      </c>
      <c r="P320" t="s">
        <v>4464</v>
      </c>
      <c r="Q320">
        <v>0</v>
      </c>
      <c r="R320" t="s">
        <v>66</v>
      </c>
      <c r="S320" t="s">
        <v>56</v>
      </c>
      <c r="T320" t="s">
        <v>56</v>
      </c>
      <c r="U320" t="s">
        <v>56</v>
      </c>
      <c r="V320" t="s">
        <v>56</v>
      </c>
      <c r="W320">
        <v>0</v>
      </c>
      <c r="X320" t="s">
        <v>66</v>
      </c>
      <c r="Y320" t="s">
        <v>56</v>
      </c>
      <c r="Z320">
        <v>0</v>
      </c>
      <c r="AA320" t="s">
        <v>66</v>
      </c>
      <c r="AB320" t="s">
        <v>56</v>
      </c>
      <c r="AC320">
        <v>0</v>
      </c>
      <c r="AD320" t="s">
        <v>66</v>
      </c>
      <c r="AE320" t="s">
        <v>56</v>
      </c>
      <c r="AF320">
        <v>0</v>
      </c>
      <c r="AG320" t="s">
        <v>66</v>
      </c>
      <c r="AH320" t="s">
        <v>56</v>
      </c>
      <c r="AI320">
        <v>1</v>
      </c>
      <c r="AJ320" t="s">
        <v>1627</v>
      </c>
      <c r="AK320" t="s">
        <v>56</v>
      </c>
      <c r="AL320" t="s">
        <v>56</v>
      </c>
      <c r="AM320" t="s">
        <v>56</v>
      </c>
      <c r="AN320" t="s">
        <v>56</v>
      </c>
      <c r="AO320" t="s">
        <v>4349</v>
      </c>
      <c r="AP320" t="s">
        <v>3962</v>
      </c>
      <c r="AQ320" t="s">
        <v>3963</v>
      </c>
      <c r="AR320" t="s">
        <v>3941</v>
      </c>
      <c r="AS320" t="s">
        <v>3942</v>
      </c>
      <c r="AT320" t="s">
        <v>4857</v>
      </c>
      <c r="AU320" t="s">
        <v>3944</v>
      </c>
      <c r="AV320" t="s">
        <v>3945</v>
      </c>
      <c r="AW320" t="s">
        <v>3946</v>
      </c>
      <c r="AX320">
        <v>24</v>
      </c>
      <c r="AY320">
        <v>2</v>
      </c>
      <c r="AZ320" t="s">
        <v>3897</v>
      </c>
      <c r="BA320">
        <v>10</v>
      </c>
      <c r="BB320" t="s">
        <v>3898</v>
      </c>
      <c r="BC320">
        <v>90</v>
      </c>
      <c r="BD320">
        <v>3</v>
      </c>
      <c r="BE320" t="s">
        <v>3911</v>
      </c>
      <c r="BF320">
        <v>90</v>
      </c>
      <c r="BG320">
        <v>66</v>
      </c>
      <c r="BH320" t="s">
        <v>3965</v>
      </c>
      <c r="BI320" t="s">
        <v>4858</v>
      </c>
      <c r="BJ320">
        <v>1</v>
      </c>
      <c r="BK320" t="s">
        <v>3902</v>
      </c>
    </row>
    <row r="321" spans="1:63" x14ac:dyDescent="0.25">
      <c r="A321">
        <v>4714</v>
      </c>
      <c r="B321" t="str">
        <f>"20200131145017176597"</f>
        <v>20200131145017176597</v>
      </c>
      <c r="C321">
        <v>2</v>
      </c>
      <c r="D321">
        <v>1</v>
      </c>
      <c r="E321" t="s">
        <v>3886</v>
      </c>
      <c r="F321">
        <v>2</v>
      </c>
      <c r="G321">
        <v>0</v>
      </c>
      <c r="H321" t="s">
        <v>66</v>
      </c>
      <c r="I321">
        <v>0</v>
      </c>
      <c r="J321" t="s">
        <v>66</v>
      </c>
      <c r="K321">
        <v>1</v>
      </c>
      <c r="L321" t="s">
        <v>1627</v>
      </c>
      <c r="M321" t="s">
        <v>4859</v>
      </c>
      <c r="N321">
        <v>1</v>
      </c>
      <c r="O321" t="s">
        <v>1627</v>
      </c>
      <c r="P321" t="s">
        <v>4464</v>
      </c>
      <c r="Q321">
        <v>0</v>
      </c>
      <c r="R321" t="s">
        <v>66</v>
      </c>
      <c r="S321" t="s">
        <v>56</v>
      </c>
      <c r="T321" t="s">
        <v>56</v>
      </c>
      <c r="U321" t="s">
        <v>56</v>
      </c>
      <c r="V321" t="s">
        <v>56</v>
      </c>
      <c r="W321">
        <v>0</v>
      </c>
      <c r="X321" t="s">
        <v>66</v>
      </c>
      <c r="Y321" t="s">
        <v>56</v>
      </c>
      <c r="Z321">
        <v>0</v>
      </c>
      <c r="AA321" t="s">
        <v>66</v>
      </c>
      <c r="AB321" t="s">
        <v>56</v>
      </c>
      <c r="AC321">
        <v>0</v>
      </c>
      <c r="AD321" t="s">
        <v>66</v>
      </c>
      <c r="AE321" t="s">
        <v>56</v>
      </c>
      <c r="AF321">
        <v>0</v>
      </c>
      <c r="AG321" t="s">
        <v>66</v>
      </c>
      <c r="AH321" t="s">
        <v>56</v>
      </c>
      <c r="AI321">
        <v>1</v>
      </c>
      <c r="AJ321" t="s">
        <v>1627</v>
      </c>
      <c r="AK321" t="s">
        <v>56</v>
      </c>
      <c r="AL321" t="s">
        <v>56</v>
      </c>
      <c r="AM321" t="s">
        <v>56</v>
      </c>
      <c r="AN321" t="s">
        <v>56</v>
      </c>
      <c r="AO321" t="s">
        <v>4860</v>
      </c>
      <c r="AP321" t="s">
        <v>3934</v>
      </c>
      <c r="AQ321" t="s">
        <v>3935</v>
      </c>
      <c r="AR321">
        <v>502</v>
      </c>
      <c r="AS321" t="s">
        <v>4688</v>
      </c>
      <c r="AT321" t="s">
        <v>4857</v>
      </c>
      <c r="AU321">
        <v>9000</v>
      </c>
      <c r="AV321" t="s">
        <v>3956</v>
      </c>
      <c r="AW321" t="s">
        <v>3956</v>
      </c>
      <c r="AX321">
        <v>12</v>
      </c>
      <c r="AY321">
        <v>2</v>
      </c>
      <c r="AZ321" t="s">
        <v>3897</v>
      </c>
      <c r="BA321">
        <v>10</v>
      </c>
      <c r="BB321" t="s">
        <v>3898</v>
      </c>
      <c r="BC321">
        <v>90</v>
      </c>
      <c r="BD321">
        <v>3</v>
      </c>
      <c r="BE321" t="s">
        <v>3911</v>
      </c>
      <c r="BF321">
        <v>3</v>
      </c>
      <c r="BG321">
        <v>37</v>
      </c>
      <c r="BH321" t="s">
        <v>4007</v>
      </c>
      <c r="BI321" t="s">
        <v>4861</v>
      </c>
      <c r="BJ321">
        <v>1</v>
      </c>
      <c r="BK321" t="s">
        <v>3902</v>
      </c>
    </row>
    <row r="322" spans="1:63" x14ac:dyDescent="0.25">
      <c r="A322">
        <v>4715</v>
      </c>
      <c r="B322" t="str">
        <f>"20200131156017176688"</f>
        <v>20200131156017176688</v>
      </c>
      <c r="C322">
        <v>1</v>
      </c>
      <c r="D322">
        <v>1</v>
      </c>
      <c r="E322" t="s">
        <v>3886</v>
      </c>
      <c r="F322">
        <v>2</v>
      </c>
      <c r="G322">
        <v>0</v>
      </c>
      <c r="H322" t="s">
        <v>66</v>
      </c>
      <c r="I322">
        <v>0</v>
      </c>
      <c r="J322" t="s">
        <v>66</v>
      </c>
      <c r="K322">
        <v>0</v>
      </c>
      <c r="L322" t="s">
        <v>66</v>
      </c>
      <c r="M322" t="s">
        <v>56</v>
      </c>
      <c r="N322">
        <v>0</v>
      </c>
      <c r="O322" t="s">
        <v>66</v>
      </c>
      <c r="P322" t="s">
        <v>56</v>
      </c>
      <c r="Q322">
        <v>0</v>
      </c>
      <c r="R322" t="s">
        <v>66</v>
      </c>
      <c r="S322" t="s">
        <v>56</v>
      </c>
      <c r="T322">
        <v>1</v>
      </c>
      <c r="U322" t="s">
        <v>1627</v>
      </c>
      <c r="V322" t="s">
        <v>56</v>
      </c>
      <c r="W322">
        <v>0</v>
      </c>
      <c r="X322" t="s">
        <v>66</v>
      </c>
      <c r="Y322" t="s">
        <v>56</v>
      </c>
      <c r="Z322">
        <v>0</v>
      </c>
      <c r="AA322" t="s">
        <v>66</v>
      </c>
      <c r="AB322" t="s">
        <v>56</v>
      </c>
      <c r="AC322">
        <v>1</v>
      </c>
      <c r="AD322" t="s">
        <v>1627</v>
      </c>
      <c r="AE322" t="s">
        <v>3887</v>
      </c>
      <c r="AF322">
        <v>0</v>
      </c>
      <c r="AG322" t="s">
        <v>66</v>
      </c>
      <c r="AH322" t="s">
        <v>56</v>
      </c>
      <c r="AI322">
        <v>1</v>
      </c>
      <c r="AJ322" t="s">
        <v>1627</v>
      </c>
      <c r="AK322" t="s">
        <v>56</v>
      </c>
      <c r="AL322" t="s">
        <v>56</v>
      </c>
      <c r="AM322" t="s">
        <v>56</v>
      </c>
      <c r="AN322" t="s">
        <v>56</v>
      </c>
      <c r="AO322" t="s">
        <v>4862</v>
      </c>
      <c r="AP322" t="s">
        <v>4863</v>
      </c>
      <c r="AQ322" t="s">
        <v>4864</v>
      </c>
      <c r="AR322" t="s">
        <v>3941</v>
      </c>
      <c r="AS322" t="s">
        <v>3942</v>
      </c>
      <c r="AT322" t="s">
        <v>4865</v>
      </c>
      <c r="AU322" t="s">
        <v>3944</v>
      </c>
      <c r="AV322" t="s">
        <v>3945</v>
      </c>
      <c r="AW322" t="s">
        <v>3946</v>
      </c>
      <c r="AX322">
        <v>24</v>
      </c>
      <c r="AY322">
        <v>2</v>
      </c>
      <c r="AZ322" t="s">
        <v>3897</v>
      </c>
      <c r="BA322">
        <v>10</v>
      </c>
      <c r="BB322" t="s">
        <v>3898</v>
      </c>
      <c r="BC322">
        <v>3</v>
      </c>
      <c r="BD322">
        <v>5</v>
      </c>
      <c r="BE322" t="s">
        <v>3899</v>
      </c>
      <c r="BF322">
        <v>90</v>
      </c>
      <c r="BG322">
        <v>78</v>
      </c>
      <c r="BH322" t="s">
        <v>4333</v>
      </c>
      <c r="BI322" t="s">
        <v>4866</v>
      </c>
      <c r="BJ322">
        <v>1</v>
      </c>
      <c r="BK322" t="s">
        <v>3902</v>
      </c>
    </row>
    <row r="323" spans="1:63" x14ac:dyDescent="0.25">
      <c r="A323">
        <v>4716</v>
      </c>
      <c r="B323" t="str">
        <f>"20200131185017177045"</f>
        <v>20200131185017177045</v>
      </c>
      <c r="C323">
        <v>1</v>
      </c>
      <c r="D323">
        <v>1</v>
      </c>
      <c r="E323" t="s">
        <v>3886</v>
      </c>
      <c r="F323">
        <v>1</v>
      </c>
      <c r="G323">
        <v>0</v>
      </c>
      <c r="H323" t="s">
        <v>66</v>
      </c>
      <c r="I323">
        <v>0</v>
      </c>
      <c r="J323" t="s">
        <v>66</v>
      </c>
      <c r="K323">
        <v>0</v>
      </c>
      <c r="L323" t="s">
        <v>66</v>
      </c>
      <c r="M323" t="s">
        <v>56</v>
      </c>
      <c r="N323">
        <v>0</v>
      </c>
      <c r="O323" t="s">
        <v>66</v>
      </c>
      <c r="P323" t="s">
        <v>56</v>
      </c>
      <c r="Q323">
        <v>0</v>
      </c>
      <c r="R323" t="s">
        <v>66</v>
      </c>
      <c r="S323" t="s">
        <v>56</v>
      </c>
      <c r="T323">
        <v>1</v>
      </c>
      <c r="U323" t="s">
        <v>1627</v>
      </c>
      <c r="V323" t="s">
        <v>56</v>
      </c>
      <c r="W323">
        <v>0</v>
      </c>
      <c r="X323" t="s">
        <v>66</v>
      </c>
      <c r="Y323" t="s">
        <v>56</v>
      </c>
      <c r="Z323">
        <v>0</v>
      </c>
      <c r="AA323" t="s">
        <v>66</v>
      </c>
      <c r="AB323" t="s">
        <v>56</v>
      </c>
      <c r="AC323">
        <v>1</v>
      </c>
      <c r="AD323" t="s">
        <v>1627</v>
      </c>
      <c r="AE323" t="s">
        <v>3887</v>
      </c>
      <c r="AF323">
        <v>0</v>
      </c>
      <c r="AG323" t="s">
        <v>66</v>
      </c>
      <c r="AH323" t="s">
        <v>56</v>
      </c>
      <c r="AI323">
        <v>1</v>
      </c>
      <c r="AJ323" t="s">
        <v>1627</v>
      </c>
      <c r="AK323" t="s">
        <v>56</v>
      </c>
      <c r="AL323" t="s">
        <v>56</v>
      </c>
      <c r="AM323" t="s">
        <v>56</v>
      </c>
      <c r="AN323" t="s">
        <v>56</v>
      </c>
      <c r="AO323" t="s">
        <v>4867</v>
      </c>
      <c r="AP323" t="s">
        <v>4330</v>
      </c>
      <c r="AQ323" t="s">
        <v>4331</v>
      </c>
      <c r="AR323" t="s">
        <v>3941</v>
      </c>
      <c r="AS323" t="s">
        <v>3942</v>
      </c>
      <c r="AT323" t="s">
        <v>4868</v>
      </c>
      <c r="AU323" t="s">
        <v>3929</v>
      </c>
      <c r="AV323" t="s">
        <v>3930</v>
      </c>
      <c r="AW323" t="s">
        <v>3931</v>
      </c>
      <c r="AX323">
        <v>24</v>
      </c>
      <c r="AY323">
        <v>2</v>
      </c>
      <c r="AZ323" t="s">
        <v>3897</v>
      </c>
      <c r="BA323">
        <v>10</v>
      </c>
      <c r="BB323" t="s">
        <v>3898</v>
      </c>
      <c r="BC323">
        <v>7</v>
      </c>
      <c r="BD323">
        <v>3</v>
      </c>
      <c r="BE323" t="s">
        <v>3911</v>
      </c>
      <c r="BF323">
        <v>7</v>
      </c>
      <c r="BG323">
        <v>78</v>
      </c>
      <c r="BH323" t="s">
        <v>4333</v>
      </c>
      <c r="BI323" t="s">
        <v>4869</v>
      </c>
      <c r="BJ323">
        <v>1</v>
      </c>
      <c r="BK323" t="s">
        <v>3902</v>
      </c>
    </row>
    <row r="324" spans="1:63" x14ac:dyDescent="0.25">
      <c r="A324">
        <v>4717</v>
      </c>
      <c r="B324" t="str">
        <f>"20200131113017177064"</f>
        <v>20200131113017177064</v>
      </c>
      <c r="C324">
        <v>1</v>
      </c>
      <c r="D324">
        <v>1</v>
      </c>
      <c r="E324" t="s">
        <v>3886</v>
      </c>
      <c r="F324">
        <v>2</v>
      </c>
      <c r="G324">
        <v>0</v>
      </c>
      <c r="H324" t="s">
        <v>66</v>
      </c>
      <c r="I324">
        <v>0</v>
      </c>
      <c r="J324" t="s">
        <v>66</v>
      </c>
      <c r="K324">
        <v>0</v>
      </c>
      <c r="L324" t="s">
        <v>66</v>
      </c>
      <c r="M324" t="s">
        <v>56</v>
      </c>
      <c r="N324">
        <v>0</v>
      </c>
      <c r="O324" t="s">
        <v>66</v>
      </c>
      <c r="P324" t="s">
        <v>56</v>
      </c>
      <c r="Q324">
        <v>0</v>
      </c>
      <c r="R324" t="s">
        <v>66</v>
      </c>
      <c r="S324" t="s">
        <v>56</v>
      </c>
      <c r="T324">
        <v>1</v>
      </c>
      <c r="U324" t="s">
        <v>1627</v>
      </c>
      <c r="V324" t="s">
        <v>56</v>
      </c>
      <c r="W324">
        <v>0</v>
      </c>
      <c r="X324" t="s">
        <v>66</v>
      </c>
      <c r="Y324" t="s">
        <v>56</v>
      </c>
      <c r="Z324">
        <v>0</v>
      </c>
      <c r="AA324" t="s">
        <v>66</v>
      </c>
      <c r="AB324" t="s">
        <v>56</v>
      </c>
      <c r="AC324">
        <v>1</v>
      </c>
      <c r="AD324" t="s">
        <v>1627</v>
      </c>
      <c r="AE324" t="s">
        <v>3887</v>
      </c>
      <c r="AF324">
        <v>0</v>
      </c>
      <c r="AG324" t="s">
        <v>66</v>
      </c>
      <c r="AH324" t="s">
        <v>56</v>
      </c>
      <c r="AI324">
        <v>1</v>
      </c>
      <c r="AJ324" t="s">
        <v>1627</v>
      </c>
      <c r="AK324" t="s">
        <v>56</v>
      </c>
      <c r="AL324" t="s">
        <v>56</v>
      </c>
      <c r="AM324" t="s">
        <v>56</v>
      </c>
      <c r="AN324" t="s">
        <v>56</v>
      </c>
      <c r="AO324" t="s">
        <v>4139</v>
      </c>
      <c r="AP324" t="s">
        <v>3889</v>
      </c>
      <c r="AQ324" t="s">
        <v>3890</v>
      </c>
      <c r="AR324" t="s">
        <v>3891</v>
      </c>
      <c r="AS324" t="s">
        <v>3892</v>
      </c>
      <c r="AT324" t="s">
        <v>4870</v>
      </c>
      <c r="AU324" t="s">
        <v>3894</v>
      </c>
      <c r="AV324" t="s">
        <v>3895</v>
      </c>
      <c r="AW324" t="s">
        <v>3896</v>
      </c>
      <c r="AX324">
        <v>12</v>
      </c>
      <c r="AY324">
        <v>2</v>
      </c>
      <c r="AZ324" t="s">
        <v>3897</v>
      </c>
      <c r="BA324">
        <v>4</v>
      </c>
      <c r="BB324" t="s">
        <v>4530</v>
      </c>
      <c r="BC324">
        <v>90</v>
      </c>
      <c r="BD324">
        <v>3</v>
      </c>
      <c r="BE324" t="s">
        <v>3911</v>
      </c>
      <c r="BF324">
        <v>3</v>
      </c>
      <c r="BG324">
        <v>13</v>
      </c>
      <c r="BH324" t="s">
        <v>3900</v>
      </c>
      <c r="BI324" t="s">
        <v>4871</v>
      </c>
      <c r="BJ324">
        <v>1</v>
      </c>
      <c r="BK324" t="s">
        <v>3902</v>
      </c>
    </row>
    <row r="325" spans="1:63" x14ac:dyDescent="0.25">
      <c r="A325">
        <v>4718</v>
      </c>
      <c r="B325" t="str">
        <f>"20200131132017177143"</f>
        <v>20200131132017177143</v>
      </c>
      <c r="C325">
        <v>1</v>
      </c>
      <c r="D325">
        <v>1</v>
      </c>
      <c r="E325" t="s">
        <v>3886</v>
      </c>
      <c r="F325">
        <v>2</v>
      </c>
      <c r="G325">
        <v>0</v>
      </c>
      <c r="H325" t="s">
        <v>66</v>
      </c>
      <c r="I325">
        <v>0</v>
      </c>
      <c r="J325" t="s">
        <v>66</v>
      </c>
      <c r="K325">
        <v>0</v>
      </c>
      <c r="L325" t="s">
        <v>66</v>
      </c>
      <c r="M325" t="s">
        <v>56</v>
      </c>
      <c r="N325">
        <v>0</v>
      </c>
      <c r="O325" t="s">
        <v>66</v>
      </c>
      <c r="P325" t="s">
        <v>56</v>
      </c>
      <c r="Q325">
        <v>0</v>
      </c>
      <c r="R325" t="s">
        <v>66</v>
      </c>
      <c r="S325" t="s">
        <v>56</v>
      </c>
      <c r="T325">
        <v>1</v>
      </c>
      <c r="U325" t="s">
        <v>1627</v>
      </c>
      <c r="V325" t="s">
        <v>56</v>
      </c>
      <c r="W325">
        <v>0</v>
      </c>
      <c r="X325" t="s">
        <v>66</v>
      </c>
      <c r="Y325" t="s">
        <v>56</v>
      </c>
      <c r="Z325">
        <v>0</v>
      </c>
      <c r="AA325" t="s">
        <v>66</v>
      </c>
      <c r="AB325" t="s">
        <v>56</v>
      </c>
      <c r="AC325">
        <v>1</v>
      </c>
      <c r="AD325" t="s">
        <v>1627</v>
      </c>
      <c r="AE325" t="s">
        <v>3887</v>
      </c>
      <c r="AF325">
        <v>0</v>
      </c>
      <c r="AG325" t="s">
        <v>66</v>
      </c>
      <c r="AH325" t="s">
        <v>56</v>
      </c>
      <c r="AI325">
        <v>1</v>
      </c>
      <c r="AJ325" t="s">
        <v>1627</v>
      </c>
      <c r="AK325" t="s">
        <v>56</v>
      </c>
      <c r="AL325" t="s">
        <v>56</v>
      </c>
      <c r="AM325" t="s">
        <v>56</v>
      </c>
      <c r="AN325" t="s">
        <v>56</v>
      </c>
      <c r="AO325" t="s">
        <v>4086</v>
      </c>
      <c r="AP325" t="s">
        <v>3939</v>
      </c>
      <c r="AQ325" t="s">
        <v>3940</v>
      </c>
      <c r="AR325" t="s">
        <v>3920</v>
      </c>
      <c r="AS325" t="s">
        <v>3921</v>
      </c>
      <c r="AT325" t="s">
        <v>4872</v>
      </c>
      <c r="AU325">
        <v>9000</v>
      </c>
      <c r="AV325" t="s">
        <v>3956</v>
      </c>
      <c r="AW325" t="s">
        <v>3956</v>
      </c>
      <c r="AX325">
        <v>24</v>
      </c>
      <c r="AY325">
        <v>2</v>
      </c>
      <c r="AZ325" t="s">
        <v>3897</v>
      </c>
      <c r="BA325">
        <v>10</v>
      </c>
      <c r="BB325" t="s">
        <v>3898</v>
      </c>
      <c r="BC325">
        <v>3</v>
      </c>
      <c r="BD325">
        <v>5</v>
      </c>
      <c r="BE325" t="s">
        <v>3899</v>
      </c>
      <c r="BF325">
        <v>90</v>
      </c>
      <c r="BG325">
        <v>14</v>
      </c>
      <c r="BH325" t="s">
        <v>3947</v>
      </c>
      <c r="BI325" t="s">
        <v>4873</v>
      </c>
      <c r="BJ325">
        <v>1</v>
      </c>
      <c r="BK325" t="s">
        <v>3902</v>
      </c>
    </row>
    <row r="326" spans="1:63" x14ac:dyDescent="0.25">
      <c r="A326">
        <v>4719</v>
      </c>
      <c r="B326" t="str">
        <f>"20200131163017177209"</f>
        <v>20200131163017177209</v>
      </c>
      <c r="C326">
        <v>1</v>
      </c>
      <c r="D326">
        <v>1</v>
      </c>
      <c r="E326" t="s">
        <v>3886</v>
      </c>
      <c r="F326">
        <v>2</v>
      </c>
      <c r="G326">
        <v>0</v>
      </c>
      <c r="H326" t="s">
        <v>66</v>
      </c>
      <c r="I326">
        <v>0</v>
      </c>
      <c r="J326" t="s">
        <v>66</v>
      </c>
      <c r="K326">
        <v>0</v>
      </c>
      <c r="L326" t="s">
        <v>66</v>
      </c>
      <c r="M326" t="s">
        <v>56</v>
      </c>
      <c r="N326">
        <v>0</v>
      </c>
      <c r="O326" t="s">
        <v>66</v>
      </c>
      <c r="P326" t="s">
        <v>56</v>
      </c>
      <c r="Q326">
        <v>0</v>
      </c>
      <c r="R326" t="s">
        <v>66</v>
      </c>
      <c r="S326" t="s">
        <v>56</v>
      </c>
      <c r="T326">
        <v>1</v>
      </c>
      <c r="U326" t="s">
        <v>1627</v>
      </c>
      <c r="V326" t="s">
        <v>56</v>
      </c>
      <c r="W326">
        <v>0</v>
      </c>
      <c r="X326" t="s">
        <v>66</v>
      </c>
      <c r="Y326" t="s">
        <v>56</v>
      </c>
      <c r="Z326">
        <v>0</v>
      </c>
      <c r="AA326" t="s">
        <v>66</v>
      </c>
      <c r="AB326" t="s">
        <v>56</v>
      </c>
      <c r="AC326">
        <v>1</v>
      </c>
      <c r="AD326" t="s">
        <v>1627</v>
      </c>
      <c r="AE326" t="s">
        <v>3887</v>
      </c>
      <c r="AF326">
        <v>0</v>
      </c>
      <c r="AG326" t="s">
        <v>66</v>
      </c>
      <c r="AH326" t="s">
        <v>56</v>
      </c>
      <c r="AI326">
        <v>1</v>
      </c>
      <c r="AJ326" t="s">
        <v>1627</v>
      </c>
      <c r="AK326" t="s">
        <v>56</v>
      </c>
      <c r="AL326" t="s">
        <v>56</v>
      </c>
      <c r="AM326" t="s">
        <v>56</v>
      </c>
      <c r="AN326" t="s">
        <v>56</v>
      </c>
      <c r="AO326" t="s">
        <v>4269</v>
      </c>
      <c r="AP326" t="s">
        <v>3971</v>
      </c>
      <c r="AQ326" t="s">
        <v>3972</v>
      </c>
      <c r="AR326" t="s">
        <v>4482</v>
      </c>
      <c r="AS326" t="s">
        <v>4483</v>
      </c>
      <c r="AT326" t="s">
        <v>4874</v>
      </c>
      <c r="AU326" t="s">
        <v>4316</v>
      </c>
      <c r="AV326" t="s">
        <v>4317</v>
      </c>
      <c r="AW326" t="s">
        <v>4318</v>
      </c>
      <c r="AX326">
        <v>12</v>
      </c>
      <c r="AY326">
        <v>4</v>
      </c>
      <c r="AZ326" t="s">
        <v>4302</v>
      </c>
      <c r="BA326">
        <v>10</v>
      </c>
      <c r="BB326" t="s">
        <v>3898</v>
      </c>
      <c r="BC326">
        <v>12</v>
      </c>
      <c r="BD326">
        <v>4</v>
      </c>
      <c r="BE326" t="s">
        <v>4302</v>
      </c>
      <c r="BF326">
        <v>1</v>
      </c>
      <c r="BG326" t="s">
        <v>3912</v>
      </c>
      <c r="BH326" t="s">
        <v>3913</v>
      </c>
      <c r="BI326" t="s">
        <v>4875</v>
      </c>
      <c r="BJ326">
        <v>1</v>
      </c>
      <c r="BK326" t="s">
        <v>3902</v>
      </c>
    </row>
    <row r="327" spans="1:63" x14ac:dyDescent="0.25">
      <c r="A327">
        <v>4720</v>
      </c>
      <c r="B327" t="str">
        <f>"20200131120017177809"</f>
        <v>20200131120017177809</v>
      </c>
      <c r="C327">
        <v>1</v>
      </c>
      <c r="D327">
        <v>1</v>
      </c>
      <c r="E327" t="s">
        <v>3886</v>
      </c>
      <c r="F327">
        <v>2</v>
      </c>
      <c r="G327">
        <v>0</v>
      </c>
      <c r="H327" t="s">
        <v>66</v>
      </c>
      <c r="I327">
        <v>0</v>
      </c>
      <c r="J327" t="s">
        <v>66</v>
      </c>
      <c r="K327">
        <v>0</v>
      </c>
      <c r="L327" t="s">
        <v>66</v>
      </c>
      <c r="M327" t="s">
        <v>56</v>
      </c>
      <c r="N327">
        <v>0</v>
      </c>
      <c r="O327" t="s">
        <v>66</v>
      </c>
      <c r="P327" t="s">
        <v>56</v>
      </c>
      <c r="Q327">
        <v>0</v>
      </c>
      <c r="R327" t="s">
        <v>66</v>
      </c>
      <c r="S327" t="s">
        <v>56</v>
      </c>
      <c r="T327">
        <v>1</v>
      </c>
      <c r="U327" t="s">
        <v>1627</v>
      </c>
      <c r="V327" t="s">
        <v>56</v>
      </c>
      <c r="W327">
        <v>0</v>
      </c>
      <c r="X327" t="s">
        <v>66</v>
      </c>
      <c r="Y327" t="s">
        <v>56</v>
      </c>
      <c r="Z327">
        <v>0</v>
      </c>
      <c r="AA327" t="s">
        <v>66</v>
      </c>
      <c r="AB327" t="s">
        <v>56</v>
      </c>
      <c r="AC327">
        <v>1</v>
      </c>
      <c r="AD327" t="s">
        <v>1627</v>
      </c>
      <c r="AE327" t="s">
        <v>3887</v>
      </c>
      <c r="AF327">
        <v>0</v>
      </c>
      <c r="AG327" t="s">
        <v>66</v>
      </c>
      <c r="AH327" t="s">
        <v>56</v>
      </c>
      <c r="AI327">
        <v>1</v>
      </c>
      <c r="AJ327" t="s">
        <v>1627</v>
      </c>
      <c r="AK327" t="s">
        <v>56</v>
      </c>
      <c r="AL327" t="s">
        <v>56</v>
      </c>
      <c r="AM327" t="s">
        <v>56</v>
      </c>
      <c r="AN327" t="s">
        <v>56</v>
      </c>
      <c r="AO327" t="s">
        <v>3938</v>
      </c>
      <c r="AP327" t="s">
        <v>3962</v>
      </c>
      <c r="AQ327" t="s">
        <v>3963</v>
      </c>
      <c r="AR327" t="s">
        <v>3941</v>
      </c>
      <c r="AS327" t="s">
        <v>3942</v>
      </c>
      <c r="AT327" t="s">
        <v>4876</v>
      </c>
      <c r="AU327" t="s">
        <v>3944</v>
      </c>
      <c r="AV327" t="s">
        <v>3945</v>
      </c>
      <c r="AW327" t="s">
        <v>3946</v>
      </c>
      <c r="AX327">
        <v>24</v>
      </c>
      <c r="AY327">
        <v>2</v>
      </c>
      <c r="AZ327" t="s">
        <v>3897</v>
      </c>
      <c r="BA327">
        <v>10</v>
      </c>
      <c r="BB327" t="s">
        <v>3898</v>
      </c>
      <c r="BC327">
        <v>2</v>
      </c>
      <c r="BD327">
        <v>5</v>
      </c>
      <c r="BE327" t="s">
        <v>3899</v>
      </c>
      <c r="BF327">
        <v>60</v>
      </c>
      <c r="BG327">
        <v>66</v>
      </c>
      <c r="BH327" t="s">
        <v>3965</v>
      </c>
      <c r="BI327" t="s">
        <v>4877</v>
      </c>
      <c r="BJ327">
        <v>1</v>
      </c>
      <c r="BK327" t="s">
        <v>3902</v>
      </c>
    </row>
    <row r="328" spans="1:63" x14ac:dyDescent="0.25">
      <c r="A328">
        <v>4721</v>
      </c>
      <c r="B328" t="str">
        <f>"20200131173017177967"</f>
        <v>20200131173017177967</v>
      </c>
      <c r="C328">
        <v>1</v>
      </c>
      <c r="D328">
        <v>1</v>
      </c>
      <c r="E328" t="s">
        <v>3886</v>
      </c>
      <c r="F328">
        <v>2</v>
      </c>
      <c r="G328">
        <v>0</v>
      </c>
      <c r="H328" t="s">
        <v>66</v>
      </c>
      <c r="I328">
        <v>0</v>
      </c>
      <c r="J328" t="s">
        <v>66</v>
      </c>
      <c r="K328">
        <v>1</v>
      </c>
      <c r="L328" t="s">
        <v>1627</v>
      </c>
      <c r="M328" t="s">
        <v>4878</v>
      </c>
      <c r="N328">
        <v>1</v>
      </c>
      <c r="O328" t="s">
        <v>1627</v>
      </c>
      <c r="P328" t="s">
        <v>4879</v>
      </c>
      <c r="Q328">
        <v>0</v>
      </c>
      <c r="R328" t="s">
        <v>66</v>
      </c>
      <c r="S328" t="s">
        <v>56</v>
      </c>
      <c r="T328" t="s">
        <v>56</v>
      </c>
      <c r="U328" t="s">
        <v>56</v>
      </c>
      <c r="V328" t="s">
        <v>56</v>
      </c>
      <c r="W328">
        <v>0</v>
      </c>
      <c r="X328" t="s">
        <v>66</v>
      </c>
      <c r="Y328" t="s">
        <v>56</v>
      </c>
      <c r="Z328">
        <v>0</v>
      </c>
      <c r="AA328" t="s">
        <v>66</v>
      </c>
      <c r="AB328" t="s">
        <v>56</v>
      </c>
      <c r="AC328">
        <v>0</v>
      </c>
      <c r="AD328" t="s">
        <v>66</v>
      </c>
      <c r="AE328" t="s">
        <v>56</v>
      </c>
      <c r="AF328">
        <v>0</v>
      </c>
      <c r="AG328" t="s">
        <v>66</v>
      </c>
      <c r="AH328" t="s">
        <v>56</v>
      </c>
      <c r="AI328">
        <v>1</v>
      </c>
      <c r="AJ328" t="s">
        <v>1627</v>
      </c>
      <c r="AK328" t="s">
        <v>56</v>
      </c>
      <c r="AL328" t="s">
        <v>56</v>
      </c>
      <c r="AM328" t="s">
        <v>56</v>
      </c>
      <c r="AN328" t="s">
        <v>56</v>
      </c>
      <c r="AO328" t="s">
        <v>4880</v>
      </c>
      <c r="AP328" t="s">
        <v>3962</v>
      </c>
      <c r="AQ328" t="s">
        <v>3963</v>
      </c>
      <c r="AR328" t="s">
        <v>3941</v>
      </c>
      <c r="AS328" t="s">
        <v>3942</v>
      </c>
      <c r="AT328" t="s">
        <v>4881</v>
      </c>
      <c r="AU328" t="s">
        <v>3944</v>
      </c>
      <c r="AV328" t="s">
        <v>3945</v>
      </c>
      <c r="AW328" t="s">
        <v>3946</v>
      </c>
      <c r="AX328">
        <v>24</v>
      </c>
      <c r="AY328">
        <v>2</v>
      </c>
      <c r="AZ328" t="s">
        <v>3897</v>
      </c>
      <c r="BA328">
        <v>10</v>
      </c>
      <c r="BB328" t="s">
        <v>3898</v>
      </c>
      <c r="BC328">
        <v>90</v>
      </c>
      <c r="BD328">
        <v>3</v>
      </c>
      <c r="BE328" t="s">
        <v>3911</v>
      </c>
      <c r="BF328">
        <v>90</v>
      </c>
      <c r="BG328">
        <v>66</v>
      </c>
      <c r="BH328" t="s">
        <v>3965</v>
      </c>
      <c r="BI328" t="s">
        <v>4882</v>
      </c>
      <c r="BJ328">
        <v>1</v>
      </c>
      <c r="BK328" t="s">
        <v>3902</v>
      </c>
    </row>
    <row r="329" spans="1:63" x14ac:dyDescent="0.25">
      <c r="A329">
        <v>4722</v>
      </c>
      <c r="B329" t="str">
        <f>"20200131180017178063"</f>
        <v>20200131180017178063</v>
      </c>
      <c r="C329">
        <v>1</v>
      </c>
      <c r="D329">
        <v>1</v>
      </c>
      <c r="E329" t="s">
        <v>3886</v>
      </c>
      <c r="F329">
        <v>2</v>
      </c>
      <c r="G329">
        <v>0</v>
      </c>
      <c r="H329" t="s">
        <v>66</v>
      </c>
      <c r="I329">
        <v>0</v>
      </c>
      <c r="J329" t="s">
        <v>66</v>
      </c>
      <c r="K329">
        <v>1</v>
      </c>
      <c r="L329" t="s">
        <v>1627</v>
      </c>
      <c r="M329" t="s">
        <v>4878</v>
      </c>
      <c r="N329">
        <v>1</v>
      </c>
      <c r="O329" t="s">
        <v>1627</v>
      </c>
      <c r="P329" t="s">
        <v>4883</v>
      </c>
      <c r="Q329">
        <v>0</v>
      </c>
      <c r="R329" t="s">
        <v>66</v>
      </c>
      <c r="S329" t="s">
        <v>56</v>
      </c>
      <c r="T329" t="s">
        <v>56</v>
      </c>
      <c r="U329" t="s">
        <v>56</v>
      </c>
      <c r="V329" t="s">
        <v>56</v>
      </c>
      <c r="W329">
        <v>0</v>
      </c>
      <c r="X329" t="s">
        <v>66</v>
      </c>
      <c r="Y329" t="s">
        <v>56</v>
      </c>
      <c r="Z329">
        <v>0</v>
      </c>
      <c r="AA329" t="s">
        <v>66</v>
      </c>
      <c r="AB329" t="s">
        <v>56</v>
      </c>
      <c r="AC329">
        <v>0</v>
      </c>
      <c r="AD329" t="s">
        <v>66</v>
      </c>
      <c r="AE329" t="s">
        <v>56</v>
      </c>
      <c r="AF329">
        <v>0</v>
      </c>
      <c r="AG329" t="s">
        <v>66</v>
      </c>
      <c r="AH329" t="s">
        <v>56</v>
      </c>
      <c r="AI329">
        <v>1</v>
      </c>
      <c r="AJ329" t="s">
        <v>1627</v>
      </c>
      <c r="AK329" t="s">
        <v>56</v>
      </c>
      <c r="AL329" t="s">
        <v>56</v>
      </c>
      <c r="AM329" t="s">
        <v>56</v>
      </c>
      <c r="AN329" t="s">
        <v>56</v>
      </c>
      <c r="AO329" t="s">
        <v>4884</v>
      </c>
      <c r="AP329" t="s">
        <v>3962</v>
      </c>
      <c r="AQ329" t="s">
        <v>3963</v>
      </c>
      <c r="AR329" t="s">
        <v>3941</v>
      </c>
      <c r="AS329" t="s">
        <v>3942</v>
      </c>
      <c r="AT329" t="s">
        <v>4885</v>
      </c>
      <c r="AU329" t="s">
        <v>3944</v>
      </c>
      <c r="AV329" t="s">
        <v>3945</v>
      </c>
      <c r="AW329" t="s">
        <v>3946</v>
      </c>
      <c r="AX329">
        <v>24</v>
      </c>
      <c r="AY329">
        <v>2</v>
      </c>
      <c r="AZ329" t="s">
        <v>3897</v>
      </c>
      <c r="BA329">
        <v>10</v>
      </c>
      <c r="BB329" t="s">
        <v>3898</v>
      </c>
      <c r="BC329">
        <v>90</v>
      </c>
      <c r="BD329">
        <v>3</v>
      </c>
      <c r="BE329" t="s">
        <v>3911</v>
      </c>
      <c r="BF329">
        <v>90</v>
      </c>
      <c r="BG329">
        <v>66</v>
      </c>
      <c r="BH329" t="s">
        <v>3965</v>
      </c>
      <c r="BI329" t="s">
        <v>4886</v>
      </c>
      <c r="BJ329">
        <v>1</v>
      </c>
      <c r="BK329" t="s">
        <v>3902</v>
      </c>
    </row>
    <row r="330" spans="1:63" x14ac:dyDescent="0.25">
      <c r="A330">
        <v>4723</v>
      </c>
      <c r="B330" t="str">
        <f>"20200131129017178180"</f>
        <v>20200131129017178180</v>
      </c>
      <c r="C330">
        <v>1</v>
      </c>
      <c r="D330">
        <v>1</v>
      </c>
      <c r="E330" t="s">
        <v>3886</v>
      </c>
      <c r="F330">
        <v>2</v>
      </c>
      <c r="G330">
        <v>0</v>
      </c>
      <c r="H330" t="s">
        <v>66</v>
      </c>
      <c r="I330">
        <v>0</v>
      </c>
      <c r="J330" t="s">
        <v>66</v>
      </c>
      <c r="K330">
        <v>1</v>
      </c>
      <c r="L330" t="s">
        <v>1627</v>
      </c>
      <c r="M330" t="s">
        <v>4771</v>
      </c>
      <c r="N330">
        <v>1</v>
      </c>
      <c r="O330" t="s">
        <v>1627</v>
      </c>
      <c r="P330" t="s">
        <v>4887</v>
      </c>
      <c r="Q330">
        <v>0</v>
      </c>
      <c r="R330" t="s">
        <v>66</v>
      </c>
      <c r="S330" t="s">
        <v>56</v>
      </c>
      <c r="T330" t="s">
        <v>56</v>
      </c>
      <c r="U330" t="s">
        <v>56</v>
      </c>
      <c r="V330" t="s">
        <v>56</v>
      </c>
      <c r="W330">
        <v>0</v>
      </c>
      <c r="X330" t="s">
        <v>66</v>
      </c>
      <c r="Y330" t="s">
        <v>56</v>
      </c>
      <c r="Z330">
        <v>0</v>
      </c>
      <c r="AA330" t="s">
        <v>66</v>
      </c>
      <c r="AB330" t="s">
        <v>56</v>
      </c>
      <c r="AC330">
        <v>0</v>
      </c>
      <c r="AD330" t="s">
        <v>66</v>
      </c>
      <c r="AE330" t="s">
        <v>56</v>
      </c>
      <c r="AF330">
        <v>0</v>
      </c>
      <c r="AG330" t="s">
        <v>66</v>
      </c>
      <c r="AH330" t="s">
        <v>56</v>
      </c>
      <c r="AI330">
        <v>1</v>
      </c>
      <c r="AJ330" t="s">
        <v>1627</v>
      </c>
      <c r="AK330" t="s">
        <v>56</v>
      </c>
      <c r="AL330" t="s">
        <v>56</v>
      </c>
      <c r="AM330" t="s">
        <v>56</v>
      </c>
      <c r="AN330" t="s">
        <v>56</v>
      </c>
      <c r="AO330" t="s">
        <v>4101</v>
      </c>
      <c r="AP330" t="s">
        <v>3939</v>
      </c>
      <c r="AQ330" t="s">
        <v>3940</v>
      </c>
      <c r="AR330" t="s">
        <v>3941</v>
      </c>
      <c r="AS330" t="s">
        <v>3942</v>
      </c>
      <c r="AT330" t="s">
        <v>4888</v>
      </c>
      <c r="AU330" t="s">
        <v>3944</v>
      </c>
      <c r="AV330" t="s">
        <v>3945</v>
      </c>
      <c r="AW330" t="s">
        <v>3946</v>
      </c>
      <c r="AX330">
        <v>12</v>
      </c>
      <c r="AY330">
        <v>2</v>
      </c>
      <c r="AZ330" t="s">
        <v>3897</v>
      </c>
      <c r="BA330">
        <v>10</v>
      </c>
      <c r="BB330" t="s">
        <v>3898</v>
      </c>
      <c r="BC330">
        <v>90</v>
      </c>
      <c r="BD330">
        <v>3</v>
      </c>
      <c r="BE330" t="s">
        <v>3911</v>
      </c>
      <c r="BF330">
        <v>180</v>
      </c>
      <c r="BG330">
        <v>14</v>
      </c>
      <c r="BH330" t="s">
        <v>3947</v>
      </c>
      <c r="BI330" t="s">
        <v>4889</v>
      </c>
      <c r="BJ330">
        <v>1</v>
      </c>
      <c r="BK330" t="s">
        <v>3902</v>
      </c>
    </row>
    <row r="331" spans="1:63" x14ac:dyDescent="0.25">
      <c r="A331">
        <v>4724</v>
      </c>
      <c r="B331" t="str">
        <f>"20200131123017178250"</f>
        <v>20200131123017178250</v>
      </c>
      <c r="C331">
        <v>1</v>
      </c>
      <c r="D331">
        <v>1</v>
      </c>
      <c r="E331" t="s">
        <v>3886</v>
      </c>
      <c r="F331">
        <v>2</v>
      </c>
      <c r="G331">
        <v>0</v>
      </c>
      <c r="H331" t="s">
        <v>66</v>
      </c>
      <c r="I331">
        <v>0</v>
      </c>
      <c r="J331" t="s">
        <v>66</v>
      </c>
      <c r="K331">
        <v>0</v>
      </c>
      <c r="L331" t="s">
        <v>66</v>
      </c>
      <c r="M331" t="s">
        <v>56</v>
      </c>
      <c r="N331">
        <v>0</v>
      </c>
      <c r="O331" t="s">
        <v>66</v>
      </c>
      <c r="P331" t="s">
        <v>56</v>
      </c>
      <c r="Q331">
        <v>0</v>
      </c>
      <c r="R331" t="s">
        <v>66</v>
      </c>
      <c r="S331" t="s">
        <v>56</v>
      </c>
      <c r="T331">
        <v>1</v>
      </c>
      <c r="U331" t="s">
        <v>1627</v>
      </c>
      <c r="V331" t="s">
        <v>56</v>
      </c>
      <c r="W331">
        <v>0</v>
      </c>
      <c r="X331" t="s">
        <v>66</v>
      </c>
      <c r="Y331" t="s">
        <v>56</v>
      </c>
      <c r="Z331">
        <v>0</v>
      </c>
      <c r="AA331" t="s">
        <v>66</v>
      </c>
      <c r="AB331" t="s">
        <v>56</v>
      </c>
      <c r="AC331">
        <v>1</v>
      </c>
      <c r="AD331" t="s">
        <v>1627</v>
      </c>
      <c r="AE331" t="s">
        <v>3887</v>
      </c>
      <c r="AF331">
        <v>0</v>
      </c>
      <c r="AG331" t="s">
        <v>66</v>
      </c>
      <c r="AH331" t="s">
        <v>56</v>
      </c>
      <c r="AI331">
        <v>1</v>
      </c>
      <c r="AJ331" t="s">
        <v>1627</v>
      </c>
      <c r="AK331" t="s">
        <v>56</v>
      </c>
      <c r="AL331" t="s">
        <v>56</v>
      </c>
      <c r="AM331" t="s">
        <v>56</v>
      </c>
      <c r="AN331" t="s">
        <v>56</v>
      </c>
      <c r="AO331" t="s">
        <v>4890</v>
      </c>
      <c r="AP331" t="s">
        <v>3889</v>
      </c>
      <c r="AQ331" t="s">
        <v>3890</v>
      </c>
      <c r="AR331" t="s">
        <v>2324</v>
      </c>
      <c r="AS331" t="s">
        <v>4266</v>
      </c>
      <c r="AT331" t="s">
        <v>4891</v>
      </c>
      <c r="AU331" t="s">
        <v>3944</v>
      </c>
      <c r="AV331" t="s">
        <v>3945</v>
      </c>
      <c r="AW331" t="s">
        <v>3946</v>
      </c>
      <c r="AX331">
        <v>1</v>
      </c>
      <c r="AY331">
        <v>3</v>
      </c>
      <c r="AZ331" t="s">
        <v>3911</v>
      </c>
      <c r="BA331">
        <v>10</v>
      </c>
      <c r="BB331" t="s">
        <v>3898</v>
      </c>
      <c r="BC331">
        <v>3</v>
      </c>
      <c r="BD331">
        <v>5</v>
      </c>
      <c r="BE331" t="s">
        <v>3899</v>
      </c>
      <c r="BF331">
        <v>15</v>
      </c>
      <c r="BG331">
        <v>79</v>
      </c>
      <c r="BH331" t="s">
        <v>56</v>
      </c>
      <c r="BI331" t="s">
        <v>4892</v>
      </c>
      <c r="BJ331">
        <v>1</v>
      </c>
      <c r="BK331" t="s">
        <v>3902</v>
      </c>
    </row>
    <row r="332" spans="1:63" x14ac:dyDescent="0.25">
      <c r="A332">
        <v>4725</v>
      </c>
      <c r="B332" t="str">
        <f>"20200131186017178628"</f>
        <v>20200131186017178628</v>
      </c>
      <c r="C332">
        <v>1</v>
      </c>
      <c r="D332">
        <v>1</v>
      </c>
      <c r="E332" t="s">
        <v>3886</v>
      </c>
      <c r="F332">
        <v>2</v>
      </c>
      <c r="G332">
        <v>0</v>
      </c>
      <c r="H332" t="s">
        <v>66</v>
      </c>
      <c r="I332">
        <v>0</v>
      </c>
      <c r="J332" t="s">
        <v>66</v>
      </c>
      <c r="K332">
        <v>1</v>
      </c>
      <c r="L332" t="s">
        <v>1627</v>
      </c>
      <c r="M332" t="s">
        <v>4771</v>
      </c>
      <c r="N332">
        <v>1</v>
      </c>
      <c r="O332" t="s">
        <v>1627</v>
      </c>
      <c r="P332" t="s">
        <v>4893</v>
      </c>
      <c r="Q332">
        <v>0</v>
      </c>
      <c r="R332" t="s">
        <v>66</v>
      </c>
      <c r="S332" t="s">
        <v>56</v>
      </c>
      <c r="T332" t="s">
        <v>56</v>
      </c>
      <c r="U332" t="s">
        <v>56</v>
      </c>
      <c r="V332" t="s">
        <v>56</v>
      </c>
      <c r="W332">
        <v>0</v>
      </c>
      <c r="X332" t="s">
        <v>66</v>
      </c>
      <c r="Y332" t="s">
        <v>56</v>
      </c>
      <c r="Z332">
        <v>0</v>
      </c>
      <c r="AA332" t="s">
        <v>66</v>
      </c>
      <c r="AB332" t="s">
        <v>56</v>
      </c>
      <c r="AC332">
        <v>0</v>
      </c>
      <c r="AD332" t="s">
        <v>66</v>
      </c>
      <c r="AE332" t="s">
        <v>56</v>
      </c>
      <c r="AF332">
        <v>0</v>
      </c>
      <c r="AG332" t="s">
        <v>66</v>
      </c>
      <c r="AH332" t="s">
        <v>56</v>
      </c>
      <c r="AI332">
        <v>1</v>
      </c>
      <c r="AJ332" t="s">
        <v>1627</v>
      </c>
      <c r="AK332" t="s">
        <v>56</v>
      </c>
      <c r="AL332" t="s">
        <v>56</v>
      </c>
      <c r="AM332" t="s">
        <v>56</v>
      </c>
      <c r="AN332" t="s">
        <v>56</v>
      </c>
      <c r="AO332" t="s">
        <v>4894</v>
      </c>
      <c r="AP332" t="s">
        <v>3962</v>
      </c>
      <c r="AQ332" t="s">
        <v>3963</v>
      </c>
      <c r="AR332" t="s">
        <v>3941</v>
      </c>
      <c r="AS332" t="s">
        <v>3942</v>
      </c>
      <c r="AT332" t="s">
        <v>4895</v>
      </c>
      <c r="AU332" t="s">
        <v>3944</v>
      </c>
      <c r="AV332" t="s">
        <v>3945</v>
      </c>
      <c r="AW332" t="s">
        <v>3946</v>
      </c>
      <c r="AX332">
        <v>24</v>
      </c>
      <c r="AY332">
        <v>2</v>
      </c>
      <c r="AZ332" t="s">
        <v>3897</v>
      </c>
      <c r="BA332">
        <v>10</v>
      </c>
      <c r="BB332" t="s">
        <v>3898</v>
      </c>
      <c r="BC332">
        <v>90</v>
      </c>
      <c r="BD332">
        <v>3</v>
      </c>
      <c r="BE332" t="s">
        <v>3911</v>
      </c>
      <c r="BF332">
        <v>90</v>
      </c>
      <c r="BG332">
        <v>14</v>
      </c>
      <c r="BH332" t="s">
        <v>3947</v>
      </c>
      <c r="BI332" t="s">
        <v>4896</v>
      </c>
      <c r="BJ332">
        <v>1</v>
      </c>
      <c r="BK332" t="s">
        <v>3902</v>
      </c>
    </row>
    <row r="333" spans="1:63" x14ac:dyDescent="0.25">
      <c r="A333">
        <v>4726</v>
      </c>
      <c r="B333" t="str">
        <f>"20200131116017178652"</f>
        <v>20200131116017178652</v>
      </c>
      <c r="C333">
        <v>1</v>
      </c>
      <c r="D333">
        <v>1</v>
      </c>
      <c r="E333" t="s">
        <v>3886</v>
      </c>
      <c r="F333">
        <v>2</v>
      </c>
      <c r="G333">
        <v>0</v>
      </c>
      <c r="H333" t="s">
        <v>66</v>
      </c>
      <c r="I333">
        <v>0</v>
      </c>
      <c r="J333" t="s">
        <v>66</v>
      </c>
      <c r="K333">
        <v>0</v>
      </c>
      <c r="L333" t="s">
        <v>66</v>
      </c>
      <c r="M333" t="s">
        <v>56</v>
      </c>
      <c r="N333">
        <v>0</v>
      </c>
      <c r="O333" t="s">
        <v>66</v>
      </c>
      <c r="P333" t="s">
        <v>56</v>
      </c>
      <c r="Q333">
        <v>0</v>
      </c>
      <c r="R333" t="s">
        <v>66</v>
      </c>
      <c r="S333" t="s">
        <v>56</v>
      </c>
      <c r="T333">
        <v>1</v>
      </c>
      <c r="U333" t="s">
        <v>1627</v>
      </c>
      <c r="V333" t="s">
        <v>56</v>
      </c>
      <c r="W333">
        <v>0</v>
      </c>
      <c r="X333" t="s">
        <v>66</v>
      </c>
      <c r="Y333" t="s">
        <v>56</v>
      </c>
      <c r="Z333">
        <v>0</v>
      </c>
      <c r="AA333" t="s">
        <v>66</v>
      </c>
      <c r="AB333" t="s">
        <v>56</v>
      </c>
      <c r="AC333">
        <v>1</v>
      </c>
      <c r="AD333" t="s">
        <v>1627</v>
      </c>
      <c r="AE333" t="s">
        <v>3887</v>
      </c>
      <c r="AF333">
        <v>0</v>
      </c>
      <c r="AG333" t="s">
        <v>66</v>
      </c>
      <c r="AH333" t="s">
        <v>56</v>
      </c>
      <c r="AI333">
        <v>1</v>
      </c>
      <c r="AJ333" t="s">
        <v>1627</v>
      </c>
      <c r="AK333" t="s">
        <v>56</v>
      </c>
      <c r="AL333" t="s">
        <v>56</v>
      </c>
      <c r="AM333" t="s">
        <v>56</v>
      </c>
      <c r="AN333" t="s">
        <v>56</v>
      </c>
      <c r="AO333" t="s">
        <v>3992</v>
      </c>
      <c r="AP333" t="s">
        <v>3889</v>
      </c>
      <c r="AQ333" t="s">
        <v>3890</v>
      </c>
      <c r="AR333" t="s">
        <v>3926</v>
      </c>
      <c r="AS333" t="s">
        <v>3927</v>
      </c>
      <c r="AT333" t="s">
        <v>4780</v>
      </c>
      <c r="AU333" t="s">
        <v>3894</v>
      </c>
      <c r="AV333" t="s">
        <v>3895</v>
      </c>
      <c r="AW333" t="s">
        <v>3896</v>
      </c>
      <c r="AX333">
        <v>12</v>
      </c>
      <c r="AY333">
        <v>2</v>
      </c>
      <c r="AZ333" t="s">
        <v>3897</v>
      </c>
      <c r="BA333">
        <v>10</v>
      </c>
      <c r="BB333" t="s">
        <v>3898</v>
      </c>
      <c r="BC333">
        <v>6</v>
      </c>
      <c r="BD333">
        <v>5</v>
      </c>
      <c r="BE333" t="s">
        <v>3899</v>
      </c>
      <c r="BF333">
        <v>8</v>
      </c>
      <c r="BG333">
        <v>13</v>
      </c>
      <c r="BH333" t="s">
        <v>3900</v>
      </c>
      <c r="BI333" t="s">
        <v>4897</v>
      </c>
      <c r="BJ333">
        <v>1</v>
      </c>
      <c r="BK333" t="s">
        <v>3902</v>
      </c>
    </row>
    <row r="334" spans="1:63" x14ac:dyDescent="0.25">
      <c r="A334">
        <v>4727</v>
      </c>
      <c r="B334" t="str">
        <f>"20200131183017179071"</f>
        <v>20200131183017179071</v>
      </c>
      <c r="C334">
        <v>1</v>
      </c>
      <c r="D334">
        <v>1</v>
      </c>
      <c r="E334" t="s">
        <v>3886</v>
      </c>
      <c r="F334">
        <v>2</v>
      </c>
      <c r="G334">
        <v>0</v>
      </c>
      <c r="H334" t="s">
        <v>66</v>
      </c>
      <c r="I334">
        <v>0</v>
      </c>
      <c r="J334" t="s">
        <v>66</v>
      </c>
      <c r="K334">
        <v>0</v>
      </c>
      <c r="L334" t="s">
        <v>66</v>
      </c>
      <c r="M334" t="s">
        <v>56</v>
      </c>
      <c r="N334">
        <v>0</v>
      </c>
      <c r="O334" t="s">
        <v>66</v>
      </c>
      <c r="P334" t="s">
        <v>56</v>
      </c>
      <c r="Q334">
        <v>0</v>
      </c>
      <c r="R334" t="s">
        <v>66</v>
      </c>
      <c r="S334" t="s">
        <v>56</v>
      </c>
      <c r="T334">
        <v>1</v>
      </c>
      <c r="U334" t="s">
        <v>1627</v>
      </c>
      <c r="V334" t="s">
        <v>56</v>
      </c>
      <c r="W334">
        <v>0</v>
      </c>
      <c r="X334" t="s">
        <v>66</v>
      </c>
      <c r="Y334" t="s">
        <v>56</v>
      </c>
      <c r="Z334">
        <v>0</v>
      </c>
      <c r="AA334" t="s">
        <v>66</v>
      </c>
      <c r="AB334" t="s">
        <v>56</v>
      </c>
      <c r="AC334">
        <v>1</v>
      </c>
      <c r="AD334" t="s">
        <v>1627</v>
      </c>
      <c r="AE334" t="s">
        <v>3887</v>
      </c>
      <c r="AF334">
        <v>0</v>
      </c>
      <c r="AG334" t="s">
        <v>66</v>
      </c>
      <c r="AH334" t="s">
        <v>56</v>
      </c>
      <c r="AI334">
        <v>1</v>
      </c>
      <c r="AJ334" t="s">
        <v>1627</v>
      </c>
      <c r="AK334" t="s">
        <v>56</v>
      </c>
      <c r="AL334" t="s">
        <v>56</v>
      </c>
      <c r="AM334" t="s">
        <v>56</v>
      </c>
      <c r="AN334" t="s">
        <v>56</v>
      </c>
      <c r="AO334" t="s">
        <v>3888</v>
      </c>
      <c r="AP334" t="s">
        <v>3889</v>
      </c>
      <c r="AQ334" t="s">
        <v>3890</v>
      </c>
      <c r="AR334" t="s">
        <v>3891</v>
      </c>
      <c r="AS334" t="s">
        <v>3892</v>
      </c>
      <c r="AT334" t="s">
        <v>4276</v>
      </c>
      <c r="AU334" t="s">
        <v>3894</v>
      </c>
      <c r="AV334" t="s">
        <v>3895</v>
      </c>
      <c r="AW334" t="s">
        <v>3896</v>
      </c>
      <c r="AX334">
        <v>8</v>
      </c>
      <c r="AY334">
        <v>2</v>
      </c>
      <c r="AZ334" t="s">
        <v>3897</v>
      </c>
      <c r="BA334">
        <v>10</v>
      </c>
      <c r="BB334" t="s">
        <v>3898</v>
      </c>
      <c r="BC334">
        <v>3</v>
      </c>
      <c r="BD334">
        <v>5</v>
      </c>
      <c r="BE334" t="s">
        <v>3899</v>
      </c>
      <c r="BF334">
        <v>2</v>
      </c>
      <c r="BG334">
        <v>13</v>
      </c>
      <c r="BH334" t="s">
        <v>3900</v>
      </c>
      <c r="BI334" t="s">
        <v>4898</v>
      </c>
      <c r="BJ334">
        <v>1</v>
      </c>
      <c r="BK334" t="s">
        <v>3902</v>
      </c>
    </row>
    <row r="335" spans="1:63" x14ac:dyDescent="0.25">
      <c r="A335">
        <v>4728</v>
      </c>
      <c r="B335" t="str">
        <f>"20200131189017181403"</f>
        <v>20200131189017181403</v>
      </c>
      <c r="C335">
        <v>1</v>
      </c>
      <c r="D335">
        <v>1</v>
      </c>
      <c r="E335" t="s">
        <v>3886</v>
      </c>
      <c r="F335">
        <v>1</v>
      </c>
      <c r="G335">
        <v>0</v>
      </c>
      <c r="H335" t="s">
        <v>66</v>
      </c>
      <c r="I335">
        <v>0</v>
      </c>
      <c r="J335" t="s">
        <v>66</v>
      </c>
      <c r="K335">
        <v>1</v>
      </c>
      <c r="L335" t="s">
        <v>1627</v>
      </c>
      <c r="M335" t="s">
        <v>4899</v>
      </c>
      <c r="N335">
        <v>1</v>
      </c>
      <c r="O335" t="s">
        <v>1627</v>
      </c>
      <c r="P335" t="s">
        <v>4367</v>
      </c>
      <c r="Q335">
        <v>0</v>
      </c>
      <c r="R335" t="s">
        <v>66</v>
      </c>
      <c r="S335" t="s">
        <v>56</v>
      </c>
      <c r="T335" t="s">
        <v>56</v>
      </c>
      <c r="U335" t="s">
        <v>56</v>
      </c>
      <c r="V335" t="s">
        <v>56</v>
      </c>
      <c r="W335">
        <v>0</v>
      </c>
      <c r="X335" t="s">
        <v>66</v>
      </c>
      <c r="Y335" t="s">
        <v>56</v>
      </c>
      <c r="Z335">
        <v>0</v>
      </c>
      <c r="AA335" t="s">
        <v>66</v>
      </c>
      <c r="AB335" t="s">
        <v>56</v>
      </c>
      <c r="AC335">
        <v>0</v>
      </c>
      <c r="AD335" t="s">
        <v>66</v>
      </c>
      <c r="AE335" t="s">
        <v>56</v>
      </c>
      <c r="AF335">
        <v>0</v>
      </c>
      <c r="AG335" t="s">
        <v>66</v>
      </c>
      <c r="AH335" t="s">
        <v>56</v>
      </c>
      <c r="AI335">
        <v>1</v>
      </c>
      <c r="AJ335" t="s">
        <v>1627</v>
      </c>
      <c r="AK335" t="s">
        <v>56</v>
      </c>
      <c r="AL335" t="s">
        <v>56</v>
      </c>
      <c r="AM335" t="s">
        <v>56</v>
      </c>
      <c r="AN335" t="s">
        <v>56</v>
      </c>
      <c r="AO335" t="s">
        <v>4900</v>
      </c>
      <c r="AP335" t="s">
        <v>3889</v>
      </c>
      <c r="AQ335" t="s">
        <v>3890</v>
      </c>
      <c r="AR335" t="s">
        <v>3904</v>
      </c>
      <c r="AS335" t="s">
        <v>3905</v>
      </c>
      <c r="AT335" t="s">
        <v>4901</v>
      </c>
      <c r="AU335" t="s">
        <v>3944</v>
      </c>
      <c r="AV335" t="s">
        <v>3945</v>
      </c>
      <c r="AW335" t="s">
        <v>3946</v>
      </c>
      <c r="AX335">
        <v>12</v>
      </c>
      <c r="AY335">
        <v>2</v>
      </c>
      <c r="AZ335" t="s">
        <v>3897</v>
      </c>
      <c r="BA335">
        <v>5</v>
      </c>
      <c r="BB335" t="s">
        <v>3910</v>
      </c>
      <c r="BC335">
        <v>4</v>
      </c>
      <c r="BD335">
        <v>3</v>
      </c>
      <c r="BE335" t="s">
        <v>3911</v>
      </c>
      <c r="BF335">
        <v>8</v>
      </c>
      <c r="BG335" t="s">
        <v>3912</v>
      </c>
      <c r="BH335" t="s">
        <v>3913</v>
      </c>
      <c r="BI335" t="s">
        <v>4902</v>
      </c>
      <c r="BJ335">
        <v>1</v>
      </c>
      <c r="BK335" t="s">
        <v>3902</v>
      </c>
    </row>
    <row r="336" spans="1:63" x14ac:dyDescent="0.25">
      <c r="A336">
        <v>4729</v>
      </c>
      <c r="B336" t="str">
        <f>"20200131128017181435"</f>
        <v>20200131128017181435</v>
      </c>
      <c r="C336">
        <v>1</v>
      </c>
      <c r="D336">
        <v>1</v>
      </c>
      <c r="E336" t="s">
        <v>3886</v>
      </c>
      <c r="F336">
        <v>2</v>
      </c>
      <c r="G336">
        <v>0</v>
      </c>
      <c r="H336" t="s">
        <v>66</v>
      </c>
      <c r="I336">
        <v>0</v>
      </c>
      <c r="J336" t="s">
        <v>66</v>
      </c>
      <c r="K336">
        <v>1</v>
      </c>
      <c r="L336" t="s">
        <v>1627</v>
      </c>
      <c r="M336" t="s">
        <v>4903</v>
      </c>
      <c r="N336">
        <v>1</v>
      </c>
      <c r="O336" t="s">
        <v>1627</v>
      </c>
      <c r="P336" t="s">
        <v>4904</v>
      </c>
      <c r="Q336">
        <v>0</v>
      </c>
      <c r="R336" t="s">
        <v>66</v>
      </c>
      <c r="S336" t="s">
        <v>56</v>
      </c>
      <c r="T336" t="s">
        <v>56</v>
      </c>
      <c r="U336" t="s">
        <v>56</v>
      </c>
      <c r="V336" t="s">
        <v>56</v>
      </c>
      <c r="W336">
        <v>0</v>
      </c>
      <c r="X336" t="s">
        <v>66</v>
      </c>
      <c r="Y336" t="s">
        <v>56</v>
      </c>
      <c r="Z336">
        <v>0</v>
      </c>
      <c r="AA336" t="s">
        <v>66</v>
      </c>
      <c r="AB336" t="s">
        <v>56</v>
      </c>
      <c r="AC336">
        <v>0</v>
      </c>
      <c r="AD336" t="s">
        <v>66</v>
      </c>
      <c r="AE336" t="s">
        <v>56</v>
      </c>
      <c r="AF336">
        <v>0</v>
      </c>
      <c r="AG336" t="s">
        <v>66</v>
      </c>
      <c r="AH336" t="s">
        <v>56</v>
      </c>
      <c r="AI336">
        <v>1</v>
      </c>
      <c r="AJ336" t="s">
        <v>1627</v>
      </c>
      <c r="AK336" t="s">
        <v>56</v>
      </c>
      <c r="AL336" t="s">
        <v>56</v>
      </c>
      <c r="AM336" t="s">
        <v>56</v>
      </c>
      <c r="AN336" t="s">
        <v>56</v>
      </c>
      <c r="AO336" t="s">
        <v>4139</v>
      </c>
      <c r="AP336" t="s">
        <v>3889</v>
      </c>
      <c r="AQ336" t="s">
        <v>3890</v>
      </c>
      <c r="AR336" t="s">
        <v>3891</v>
      </c>
      <c r="AS336" t="s">
        <v>3892</v>
      </c>
      <c r="AT336" t="s">
        <v>4905</v>
      </c>
      <c r="AU336" t="s">
        <v>3894</v>
      </c>
      <c r="AV336" t="s">
        <v>3895</v>
      </c>
      <c r="AW336" t="s">
        <v>3896</v>
      </c>
      <c r="AX336">
        <v>12</v>
      </c>
      <c r="AY336">
        <v>2</v>
      </c>
      <c r="AZ336" t="s">
        <v>3897</v>
      </c>
      <c r="BA336">
        <v>10</v>
      </c>
      <c r="BB336" t="s">
        <v>3898</v>
      </c>
      <c r="BC336">
        <v>6</v>
      </c>
      <c r="BD336">
        <v>5</v>
      </c>
      <c r="BE336" t="s">
        <v>3899</v>
      </c>
      <c r="BF336">
        <v>12</v>
      </c>
      <c r="BG336">
        <v>29</v>
      </c>
      <c r="BH336" t="s">
        <v>4906</v>
      </c>
      <c r="BI336" t="s">
        <v>4907</v>
      </c>
      <c r="BJ336">
        <v>1</v>
      </c>
      <c r="BK336" t="s">
        <v>3902</v>
      </c>
    </row>
    <row r="337" spans="1:63" x14ac:dyDescent="0.25">
      <c r="A337">
        <v>4730</v>
      </c>
      <c r="B337" t="str">
        <f>"20200131194017181489"</f>
        <v>20200131194017181489</v>
      </c>
      <c r="C337">
        <v>1</v>
      </c>
      <c r="D337">
        <v>1</v>
      </c>
      <c r="E337" t="s">
        <v>3886</v>
      </c>
      <c r="F337">
        <v>2</v>
      </c>
      <c r="G337">
        <v>0</v>
      </c>
      <c r="H337" t="s">
        <v>66</v>
      </c>
      <c r="I337">
        <v>0</v>
      </c>
      <c r="J337" t="s">
        <v>66</v>
      </c>
      <c r="K337">
        <v>1</v>
      </c>
      <c r="L337" t="s">
        <v>1627</v>
      </c>
      <c r="M337" t="s">
        <v>4859</v>
      </c>
      <c r="N337">
        <v>1</v>
      </c>
      <c r="O337" t="s">
        <v>1627</v>
      </c>
      <c r="P337" t="s">
        <v>4908</v>
      </c>
      <c r="Q337">
        <v>0</v>
      </c>
      <c r="R337" t="s">
        <v>66</v>
      </c>
      <c r="S337" t="s">
        <v>56</v>
      </c>
      <c r="T337" t="s">
        <v>56</v>
      </c>
      <c r="U337" t="s">
        <v>56</v>
      </c>
      <c r="V337" t="s">
        <v>56</v>
      </c>
      <c r="W337">
        <v>0</v>
      </c>
      <c r="X337" t="s">
        <v>66</v>
      </c>
      <c r="Y337" t="s">
        <v>56</v>
      </c>
      <c r="Z337">
        <v>0</v>
      </c>
      <c r="AA337" t="s">
        <v>66</v>
      </c>
      <c r="AB337" t="s">
        <v>56</v>
      </c>
      <c r="AC337">
        <v>0</v>
      </c>
      <c r="AD337" t="s">
        <v>66</v>
      </c>
      <c r="AE337" t="s">
        <v>56</v>
      </c>
      <c r="AF337">
        <v>0</v>
      </c>
      <c r="AG337" t="s">
        <v>66</v>
      </c>
      <c r="AH337" t="s">
        <v>56</v>
      </c>
      <c r="AI337">
        <v>1</v>
      </c>
      <c r="AJ337" t="s">
        <v>1627</v>
      </c>
      <c r="AK337" t="s">
        <v>56</v>
      </c>
      <c r="AL337" t="s">
        <v>56</v>
      </c>
      <c r="AM337" t="s">
        <v>56</v>
      </c>
      <c r="AN337" t="s">
        <v>56</v>
      </c>
      <c r="AO337" t="s">
        <v>4860</v>
      </c>
      <c r="AP337" t="s">
        <v>3934</v>
      </c>
      <c r="AQ337" t="s">
        <v>3935</v>
      </c>
      <c r="AR337">
        <v>502</v>
      </c>
      <c r="AS337" t="s">
        <v>4688</v>
      </c>
      <c r="AT337" t="s">
        <v>4909</v>
      </c>
      <c r="AU337">
        <v>9000</v>
      </c>
      <c r="AV337" t="s">
        <v>3956</v>
      </c>
      <c r="AW337" t="s">
        <v>3956</v>
      </c>
      <c r="AX337">
        <v>12</v>
      </c>
      <c r="AY337">
        <v>2</v>
      </c>
      <c r="AZ337" t="s">
        <v>3897</v>
      </c>
      <c r="BA337">
        <v>10</v>
      </c>
      <c r="BB337" t="s">
        <v>3898</v>
      </c>
      <c r="BC337">
        <v>180</v>
      </c>
      <c r="BD337">
        <v>3</v>
      </c>
      <c r="BE337" t="s">
        <v>3911</v>
      </c>
      <c r="BF337">
        <v>6</v>
      </c>
      <c r="BG337">
        <v>58</v>
      </c>
      <c r="BH337" t="s">
        <v>4245</v>
      </c>
      <c r="BI337" t="s">
        <v>4910</v>
      </c>
      <c r="BJ337">
        <v>1</v>
      </c>
      <c r="BK337" t="s">
        <v>3902</v>
      </c>
    </row>
    <row r="338" spans="1:63" x14ac:dyDescent="0.25">
      <c r="A338">
        <v>4291</v>
      </c>
      <c r="B338" t="str">
        <f>"20200128141017083429"</f>
        <v>20200128141017083429</v>
      </c>
      <c r="C338">
        <v>1</v>
      </c>
      <c r="D338">
        <v>1</v>
      </c>
      <c r="E338" t="s">
        <v>3886</v>
      </c>
      <c r="F338">
        <v>2</v>
      </c>
      <c r="G338">
        <v>0</v>
      </c>
      <c r="H338" t="s">
        <v>66</v>
      </c>
      <c r="I338">
        <v>0</v>
      </c>
      <c r="J338" t="s">
        <v>66</v>
      </c>
      <c r="K338">
        <v>0</v>
      </c>
      <c r="L338" t="s">
        <v>66</v>
      </c>
      <c r="M338" t="s">
        <v>56</v>
      </c>
      <c r="N338">
        <v>0</v>
      </c>
      <c r="O338" t="s">
        <v>66</v>
      </c>
      <c r="P338" t="s">
        <v>56</v>
      </c>
      <c r="Q338">
        <v>0</v>
      </c>
      <c r="R338" t="s">
        <v>66</v>
      </c>
      <c r="S338" t="s">
        <v>56</v>
      </c>
      <c r="T338">
        <v>1</v>
      </c>
      <c r="U338" t="s">
        <v>1627</v>
      </c>
      <c r="V338" t="s">
        <v>56</v>
      </c>
      <c r="W338">
        <v>0</v>
      </c>
      <c r="X338" t="s">
        <v>66</v>
      </c>
      <c r="Y338" t="s">
        <v>56</v>
      </c>
      <c r="Z338">
        <v>0</v>
      </c>
      <c r="AA338" t="s">
        <v>66</v>
      </c>
      <c r="AB338" t="s">
        <v>56</v>
      </c>
      <c r="AC338">
        <v>1</v>
      </c>
      <c r="AD338" t="s">
        <v>1627</v>
      </c>
      <c r="AE338" t="s">
        <v>3887</v>
      </c>
      <c r="AF338">
        <v>0</v>
      </c>
      <c r="AG338" t="s">
        <v>66</v>
      </c>
      <c r="AH338" t="s">
        <v>56</v>
      </c>
      <c r="AI338">
        <v>1</v>
      </c>
      <c r="AJ338" t="s">
        <v>1627</v>
      </c>
      <c r="AK338" t="s">
        <v>56</v>
      </c>
      <c r="AL338" t="s">
        <v>56</v>
      </c>
      <c r="AM338" t="s">
        <v>56</v>
      </c>
      <c r="AN338" t="s">
        <v>56</v>
      </c>
      <c r="AO338" t="s">
        <v>3970</v>
      </c>
      <c r="AP338" t="s">
        <v>3971</v>
      </c>
      <c r="AQ338" t="s">
        <v>3972</v>
      </c>
      <c r="AR338" t="s">
        <v>3904</v>
      </c>
      <c r="AS338" t="s">
        <v>3905</v>
      </c>
      <c r="AT338" t="s">
        <v>4911</v>
      </c>
      <c r="AU338" t="s">
        <v>3944</v>
      </c>
      <c r="AV338" t="s">
        <v>3945</v>
      </c>
      <c r="AW338" t="s">
        <v>3946</v>
      </c>
      <c r="AX338">
        <v>12</v>
      </c>
      <c r="AY338">
        <v>2</v>
      </c>
      <c r="AZ338" t="s">
        <v>3897</v>
      </c>
      <c r="BA338">
        <v>10</v>
      </c>
      <c r="BB338" t="s">
        <v>3898</v>
      </c>
      <c r="BC338">
        <v>15</v>
      </c>
      <c r="BD338">
        <v>3</v>
      </c>
      <c r="BE338" t="s">
        <v>3911</v>
      </c>
      <c r="BF338">
        <v>60</v>
      </c>
      <c r="BG338" t="s">
        <v>3912</v>
      </c>
      <c r="BH338" t="s">
        <v>3913</v>
      </c>
      <c r="BI338" t="s">
        <v>62</v>
      </c>
      <c r="BJ338">
        <v>1</v>
      </c>
      <c r="BK338" t="s">
        <v>3902</v>
      </c>
    </row>
    <row r="339" spans="1:63" x14ac:dyDescent="0.25">
      <c r="A339">
        <v>4292</v>
      </c>
      <c r="B339" t="str">
        <f>"20200128180017083804"</f>
        <v>20200128180017083804</v>
      </c>
      <c r="C339">
        <v>1</v>
      </c>
      <c r="D339">
        <v>1</v>
      </c>
      <c r="E339" t="s">
        <v>3886</v>
      </c>
      <c r="F339">
        <v>2</v>
      </c>
      <c r="G339">
        <v>0</v>
      </c>
      <c r="H339" t="s">
        <v>66</v>
      </c>
      <c r="I339">
        <v>0</v>
      </c>
      <c r="J339" t="s">
        <v>66</v>
      </c>
      <c r="K339">
        <v>0</v>
      </c>
      <c r="L339" t="s">
        <v>66</v>
      </c>
      <c r="M339" t="s">
        <v>56</v>
      </c>
      <c r="N339">
        <v>0</v>
      </c>
      <c r="O339" t="s">
        <v>66</v>
      </c>
      <c r="P339" t="s">
        <v>56</v>
      </c>
      <c r="Q339">
        <v>0</v>
      </c>
      <c r="R339" t="s">
        <v>66</v>
      </c>
      <c r="S339" t="s">
        <v>56</v>
      </c>
      <c r="T339">
        <v>1</v>
      </c>
      <c r="U339" t="s">
        <v>1627</v>
      </c>
      <c r="V339" t="s">
        <v>56</v>
      </c>
      <c r="W339">
        <v>0</v>
      </c>
      <c r="X339" t="s">
        <v>66</v>
      </c>
      <c r="Y339" t="s">
        <v>56</v>
      </c>
      <c r="Z339">
        <v>0</v>
      </c>
      <c r="AA339" t="s">
        <v>66</v>
      </c>
      <c r="AB339" t="s">
        <v>56</v>
      </c>
      <c r="AC339">
        <v>1</v>
      </c>
      <c r="AD339" t="s">
        <v>1627</v>
      </c>
      <c r="AE339" t="s">
        <v>3887</v>
      </c>
      <c r="AF339">
        <v>0</v>
      </c>
      <c r="AG339" t="s">
        <v>66</v>
      </c>
      <c r="AH339" t="s">
        <v>56</v>
      </c>
      <c r="AI339">
        <v>1</v>
      </c>
      <c r="AJ339" t="s">
        <v>1627</v>
      </c>
      <c r="AK339" t="s">
        <v>56</v>
      </c>
      <c r="AL339" t="s">
        <v>56</v>
      </c>
      <c r="AM339" t="s">
        <v>56</v>
      </c>
      <c r="AN339" t="s">
        <v>56</v>
      </c>
      <c r="AO339" t="s">
        <v>4912</v>
      </c>
      <c r="AP339" t="s">
        <v>3971</v>
      </c>
      <c r="AQ339" t="s">
        <v>3972</v>
      </c>
      <c r="AR339" t="s">
        <v>3904</v>
      </c>
      <c r="AS339" t="s">
        <v>3905</v>
      </c>
      <c r="AT339" t="s">
        <v>4911</v>
      </c>
      <c r="AU339" t="s">
        <v>3929</v>
      </c>
      <c r="AV339" t="s">
        <v>3930</v>
      </c>
      <c r="AW339" t="s">
        <v>3931</v>
      </c>
      <c r="AX339">
        <v>8</v>
      </c>
      <c r="AY339">
        <v>2</v>
      </c>
      <c r="AZ339" t="s">
        <v>3897</v>
      </c>
      <c r="BA339">
        <v>10</v>
      </c>
      <c r="BB339" t="s">
        <v>3898</v>
      </c>
      <c r="BC339">
        <v>15</v>
      </c>
      <c r="BD339">
        <v>3</v>
      </c>
      <c r="BE339" t="s">
        <v>3911</v>
      </c>
      <c r="BF339">
        <v>90</v>
      </c>
      <c r="BG339" t="s">
        <v>3912</v>
      </c>
      <c r="BH339" t="s">
        <v>3913</v>
      </c>
      <c r="BI339" t="s">
        <v>62</v>
      </c>
      <c r="BJ339">
        <v>1</v>
      </c>
      <c r="BK339" t="s">
        <v>3902</v>
      </c>
    </row>
    <row r="340" spans="1:63" x14ac:dyDescent="0.25">
      <c r="A340">
        <v>4293</v>
      </c>
      <c r="B340" t="str">
        <f>"20200128127017083995"</f>
        <v>20200128127017083995</v>
      </c>
      <c r="C340">
        <v>1</v>
      </c>
      <c r="D340">
        <v>1</v>
      </c>
      <c r="E340" t="s">
        <v>3886</v>
      </c>
      <c r="F340">
        <v>2</v>
      </c>
      <c r="G340">
        <v>0</v>
      </c>
      <c r="H340" t="s">
        <v>66</v>
      </c>
      <c r="I340">
        <v>0</v>
      </c>
      <c r="J340" t="s">
        <v>66</v>
      </c>
      <c r="K340">
        <v>0</v>
      </c>
      <c r="L340" t="s">
        <v>66</v>
      </c>
      <c r="M340" t="s">
        <v>56</v>
      </c>
      <c r="N340">
        <v>0</v>
      </c>
      <c r="O340" t="s">
        <v>66</v>
      </c>
      <c r="P340" t="s">
        <v>56</v>
      </c>
      <c r="Q340">
        <v>0</v>
      </c>
      <c r="R340" t="s">
        <v>66</v>
      </c>
      <c r="S340" t="s">
        <v>56</v>
      </c>
      <c r="T340">
        <v>1</v>
      </c>
      <c r="U340" t="s">
        <v>1627</v>
      </c>
      <c r="V340" t="s">
        <v>56</v>
      </c>
      <c r="W340">
        <v>0</v>
      </c>
      <c r="X340" t="s">
        <v>66</v>
      </c>
      <c r="Y340" t="s">
        <v>56</v>
      </c>
      <c r="Z340">
        <v>0</v>
      </c>
      <c r="AA340" t="s">
        <v>66</v>
      </c>
      <c r="AB340" t="s">
        <v>56</v>
      </c>
      <c r="AC340">
        <v>1</v>
      </c>
      <c r="AD340" t="s">
        <v>1627</v>
      </c>
      <c r="AE340" t="s">
        <v>3887</v>
      </c>
      <c r="AF340">
        <v>0</v>
      </c>
      <c r="AG340" t="s">
        <v>66</v>
      </c>
      <c r="AH340" t="s">
        <v>56</v>
      </c>
      <c r="AI340">
        <v>1</v>
      </c>
      <c r="AJ340" t="s">
        <v>1627</v>
      </c>
      <c r="AK340" t="s">
        <v>56</v>
      </c>
      <c r="AL340" t="s">
        <v>56</v>
      </c>
      <c r="AM340" t="s">
        <v>56</v>
      </c>
      <c r="AN340" t="s">
        <v>56</v>
      </c>
      <c r="AO340" t="s">
        <v>4163</v>
      </c>
      <c r="AP340" t="s">
        <v>3962</v>
      </c>
      <c r="AQ340" t="s">
        <v>3963</v>
      </c>
      <c r="AR340" t="s">
        <v>3941</v>
      </c>
      <c r="AS340" t="s">
        <v>3942</v>
      </c>
      <c r="AT340" t="s">
        <v>4913</v>
      </c>
      <c r="AU340">
        <v>9000</v>
      </c>
      <c r="AV340" t="s">
        <v>3956</v>
      </c>
      <c r="AW340" t="s">
        <v>3956</v>
      </c>
      <c r="AX340">
        <v>24</v>
      </c>
      <c r="AY340">
        <v>2</v>
      </c>
      <c r="AZ340" t="s">
        <v>3897</v>
      </c>
      <c r="BA340">
        <v>10</v>
      </c>
      <c r="BB340" t="s">
        <v>3898</v>
      </c>
      <c r="BC340">
        <v>3</v>
      </c>
      <c r="BD340">
        <v>5</v>
      </c>
      <c r="BE340" t="s">
        <v>3899</v>
      </c>
      <c r="BF340">
        <v>270</v>
      </c>
      <c r="BG340">
        <v>66</v>
      </c>
      <c r="BH340" t="s">
        <v>3965</v>
      </c>
      <c r="BI340" t="s">
        <v>4914</v>
      </c>
      <c r="BJ340">
        <v>1</v>
      </c>
      <c r="BK340" t="s">
        <v>3902</v>
      </c>
    </row>
    <row r="341" spans="1:63" x14ac:dyDescent="0.25">
      <c r="A341">
        <v>4294</v>
      </c>
      <c r="B341" t="str">
        <f>"20200128172017084048"</f>
        <v>20200128172017084048</v>
      </c>
      <c r="C341">
        <v>1</v>
      </c>
      <c r="D341">
        <v>1</v>
      </c>
      <c r="E341" t="s">
        <v>3886</v>
      </c>
      <c r="F341">
        <v>2</v>
      </c>
      <c r="G341">
        <v>0</v>
      </c>
      <c r="H341" t="s">
        <v>66</v>
      </c>
      <c r="I341">
        <v>0</v>
      </c>
      <c r="J341" t="s">
        <v>66</v>
      </c>
      <c r="K341">
        <v>0</v>
      </c>
      <c r="L341" t="s">
        <v>66</v>
      </c>
      <c r="M341" t="s">
        <v>56</v>
      </c>
      <c r="N341">
        <v>0</v>
      </c>
      <c r="O341" t="s">
        <v>66</v>
      </c>
      <c r="P341" t="s">
        <v>56</v>
      </c>
      <c r="Q341">
        <v>0</v>
      </c>
      <c r="R341" t="s">
        <v>66</v>
      </c>
      <c r="S341" t="s">
        <v>56</v>
      </c>
      <c r="T341">
        <v>1</v>
      </c>
      <c r="U341" t="s">
        <v>1627</v>
      </c>
      <c r="V341" t="s">
        <v>56</v>
      </c>
      <c r="W341">
        <v>0</v>
      </c>
      <c r="X341" t="s">
        <v>66</v>
      </c>
      <c r="Y341" t="s">
        <v>56</v>
      </c>
      <c r="Z341">
        <v>0</v>
      </c>
      <c r="AA341" t="s">
        <v>66</v>
      </c>
      <c r="AB341" t="s">
        <v>56</v>
      </c>
      <c r="AC341">
        <v>1</v>
      </c>
      <c r="AD341" t="s">
        <v>1627</v>
      </c>
      <c r="AE341" t="s">
        <v>3887</v>
      </c>
      <c r="AF341">
        <v>0</v>
      </c>
      <c r="AG341" t="s">
        <v>66</v>
      </c>
      <c r="AH341" t="s">
        <v>56</v>
      </c>
      <c r="AI341">
        <v>1</v>
      </c>
      <c r="AJ341" t="s">
        <v>1627</v>
      </c>
      <c r="AK341" t="s">
        <v>56</v>
      </c>
      <c r="AL341" t="s">
        <v>56</v>
      </c>
      <c r="AM341" t="s">
        <v>56</v>
      </c>
      <c r="AN341" t="s">
        <v>56</v>
      </c>
      <c r="AO341" t="s">
        <v>4421</v>
      </c>
      <c r="AP341" t="s">
        <v>3889</v>
      </c>
      <c r="AQ341" t="s">
        <v>3890</v>
      </c>
      <c r="AR341" t="s">
        <v>3904</v>
      </c>
      <c r="AS341" t="s">
        <v>3905</v>
      </c>
      <c r="AT341" t="s">
        <v>4915</v>
      </c>
      <c r="AU341" t="s">
        <v>3944</v>
      </c>
      <c r="AV341" t="s">
        <v>3945</v>
      </c>
      <c r="AW341" t="s">
        <v>3946</v>
      </c>
      <c r="AX341">
        <v>24</v>
      </c>
      <c r="AY341">
        <v>2</v>
      </c>
      <c r="AZ341" t="s">
        <v>3897</v>
      </c>
      <c r="BA341">
        <v>10</v>
      </c>
      <c r="BB341" t="s">
        <v>3898</v>
      </c>
      <c r="BC341">
        <v>30</v>
      </c>
      <c r="BD341">
        <v>3</v>
      </c>
      <c r="BE341" t="s">
        <v>3911</v>
      </c>
      <c r="BF341">
        <v>30</v>
      </c>
      <c r="BG341" t="s">
        <v>3912</v>
      </c>
      <c r="BH341" t="s">
        <v>3913</v>
      </c>
      <c r="BI341" t="s">
        <v>4916</v>
      </c>
      <c r="BJ341">
        <v>1</v>
      </c>
      <c r="BK341" t="s">
        <v>3902</v>
      </c>
    </row>
    <row r="342" spans="1:63" x14ac:dyDescent="0.25">
      <c r="A342">
        <v>4295</v>
      </c>
      <c r="B342" t="str">
        <f>"20200128100017084367"</f>
        <v>20200128100017084367</v>
      </c>
      <c r="C342">
        <v>1</v>
      </c>
      <c r="D342">
        <v>1</v>
      </c>
      <c r="E342" t="s">
        <v>3886</v>
      </c>
      <c r="F342">
        <v>2</v>
      </c>
      <c r="G342">
        <v>0</v>
      </c>
      <c r="H342" t="s">
        <v>66</v>
      </c>
      <c r="I342">
        <v>0</v>
      </c>
      <c r="J342" t="s">
        <v>66</v>
      </c>
      <c r="K342">
        <v>0</v>
      </c>
      <c r="L342" t="s">
        <v>66</v>
      </c>
      <c r="M342" t="s">
        <v>56</v>
      </c>
      <c r="N342">
        <v>0</v>
      </c>
      <c r="O342" t="s">
        <v>66</v>
      </c>
      <c r="P342" t="s">
        <v>56</v>
      </c>
      <c r="Q342">
        <v>0</v>
      </c>
      <c r="R342" t="s">
        <v>66</v>
      </c>
      <c r="S342" t="s">
        <v>56</v>
      </c>
      <c r="T342">
        <v>1</v>
      </c>
      <c r="U342" t="s">
        <v>1627</v>
      </c>
      <c r="V342" t="s">
        <v>56</v>
      </c>
      <c r="W342">
        <v>0</v>
      </c>
      <c r="X342" t="s">
        <v>66</v>
      </c>
      <c r="Y342" t="s">
        <v>56</v>
      </c>
      <c r="Z342">
        <v>0</v>
      </c>
      <c r="AA342" t="s">
        <v>66</v>
      </c>
      <c r="AB342" t="s">
        <v>56</v>
      </c>
      <c r="AC342">
        <v>1</v>
      </c>
      <c r="AD342" t="s">
        <v>1627</v>
      </c>
      <c r="AE342" t="s">
        <v>3887</v>
      </c>
      <c r="AF342">
        <v>0</v>
      </c>
      <c r="AG342" t="s">
        <v>66</v>
      </c>
      <c r="AH342" t="s">
        <v>56</v>
      </c>
      <c r="AI342">
        <v>1</v>
      </c>
      <c r="AJ342" t="s">
        <v>1627</v>
      </c>
      <c r="AK342" t="s">
        <v>56</v>
      </c>
      <c r="AL342" t="s">
        <v>56</v>
      </c>
      <c r="AM342" t="s">
        <v>56</v>
      </c>
      <c r="AN342" t="s">
        <v>56</v>
      </c>
      <c r="AO342" t="s">
        <v>4163</v>
      </c>
      <c r="AP342" t="s">
        <v>3962</v>
      </c>
      <c r="AQ342" t="s">
        <v>3963</v>
      </c>
      <c r="AR342" t="s">
        <v>3941</v>
      </c>
      <c r="AS342" t="s">
        <v>3942</v>
      </c>
      <c r="AT342" t="s">
        <v>4917</v>
      </c>
      <c r="AU342">
        <v>9000</v>
      </c>
      <c r="AV342" t="s">
        <v>3956</v>
      </c>
      <c r="AW342" t="s">
        <v>3956</v>
      </c>
      <c r="AX342">
        <v>8</v>
      </c>
      <c r="AY342">
        <v>2</v>
      </c>
      <c r="AZ342" t="s">
        <v>3897</v>
      </c>
      <c r="BA342">
        <v>10</v>
      </c>
      <c r="BB342" t="s">
        <v>3898</v>
      </c>
      <c r="BC342">
        <v>3</v>
      </c>
      <c r="BD342">
        <v>5</v>
      </c>
      <c r="BE342" t="s">
        <v>3899</v>
      </c>
      <c r="BF342">
        <v>270</v>
      </c>
      <c r="BG342">
        <v>66</v>
      </c>
      <c r="BH342" t="s">
        <v>3965</v>
      </c>
      <c r="BI342" t="s">
        <v>4918</v>
      </c>
      <c r="BJ342">
        <v>1</v>
      </c>
      <c r="BK342" t="s">
        <v>3902</v>
      </c>
    </row>
    <row r="343" spans="1:63" x14ac:dyDescent="0.25">
      <c r="A343">
        <v>4296</v>
      </c>
      <c r="B343" t="str">
        <f>"20200128103017086358"</f>
        <v>20200128103017086358</v>
      </c>
      <c r="C343">
        <v>1</v>
      </c>
      <c r="D343">
        <v>1</v>
      </c>
      <c r="E343" t="s">
        <v>3886</v>
      </c>
      <c r="F343">
        <v>2</v>
      </c>
      <c r="G343">
        <v>0</v>
      </c>
      <c r="H343" t="s">
        <v>66</v>
      </c>
      <c r="I343">
        <v>0</v>
      </c>
      <c r="J343" t="s">
        <v>66</v>
      </c>
      <c r="K343">
        <v>0</v>
      </c>
      <c r="L343" t="s">
        <v>66</v>
      </c>
      <c r="M343" t="s">
        <v>56</v>
      </c>
      <c r="N343">
        <v>0</v>
      </c>
      <c r="O343" t="s">
        <v>66</v>
      </c>
      <c r="P343" t="s">
        <v>56</v>
      </c>
      <c r="Q343">
        <v>0</v>
      </c>
      <c r="R343" t="s">
        <v>66</v>
      </c>
      <c r="S343" t="s">
        <v>56</v>
      </c>
      <c r="T343">
        <v>1</v>
      </c>
      <c r="U343" t="s">
        <v>1627</v>
      </c>
      <c r="V343" t="s">
        <v>56</v>
      </c>
      <c r="W343">
        <v>0</v>
      </c>
      <c r="X343" t="s">
        <v>66</v>
      </c>
      <c r="Y343" t="s">
        <v>56</v>
      </c>
      <c r="Z343">
        <v>0</v>
      </c>
      <c r="AA343" t="s">
        <v>66</v>
      </c>
      <c r="AB343" t="s">
        <v>56</v>
      </c>
      <c r="AC343">
        <v>1</v>
      </c>
      <c r="AD343" t="s">
        <v>1627</v>
      </c>
      <c r="AE343" t="s">
        <v>3887</v>
      </c>
      <c r="AF343">
        <v>0</v>
      </c>
      <c r="AG343" t="s">
        <v>66</v>
      </c>
      <c r="AH343" t="s">
        <v>56</v>
      </c>
      <c r="AI343">
        <v>1</v>
      </c>
      <c r="AJ343" t="s">
        <v>1627</v>
      </c>
      <c r="AK343" t="s">
        <v>56</v>
      </c>
      <c r="AL343" t="s">
        <v>56</v>
      </c>
      <c r="AM343" t="s">
        <v>56</v>
      </c>
      <c r="AN343" t="s">
        <v>56</v>
      </c>
      <c r="AO343" t="s">
        <v>4919</v>
      </c>
      <c r="AP343" t="s">
        <v>4920</v>
      </c>
      <c r="AQ343" t="s">
        <v>4921</v>
      </c>
      <c r="AR343" t="s">
        <v>4071</v>
      </c>
      <c r="AS343" t="s">
        <v>4072</v>
      </c>
      <c r="AT343" t="s">
        <v>4922</v>
      </c>
      <c r="AU343">
        <v>9000</v>
      </c>
      <c r="AV343" t="s">
        <v>3956</v>
      </c>
      <c r="AW343" t="s">
        <v>3956</v>
      </c>
      <c r="AX343">
        <v>24</v>
      </c>
      <c r="AY343">
        <v>2</v>
      </c>
      <c r="AZ343" t="s">
        <v>3897</v>
      </c>
      <c r="BA343">
        <v>10</v>
      </c>
      <c r="BB343" t="s">
        <v>3898</v>
      </c>
      <c r="BC343">
        <v>90</v>
      </c>
      <c r="BD343">
        <v>3</v>
      </c>
      <c r="BE343" t="s">
        <v>3911</v>
      </c>
      <c r="BF343">
        <v>3</v>
      </c>
      <c r="BG343">
        <v>74</v>
      </c>
      <c r="BH343" t="s">
        <v>3923</v>
      </c>
      <c r="BI343" t="s">
        <v>4923</v>
      </c>
      <c r="BJ343">
        <v>1</v>
      </c>
      <c r="BK343" t="s">
        <v>3902</v>
      </c>
    </row>
    <row r="344" spans="1:63" x14ac:dyDescent="0.25">
      <c r="A344">
        <v>4297</v>
      </c>
      <c r="B344" t="str">
        <f>"20200128120017086717"</f>
        <v>20200128120017086717</v>
      </c>
      <c r="C344">
        <v>1</v>
      </c>
      <c r="D344">
        <v>1</v>
      </c>
      <c r="E344" t="s">
        <v>3886</v>
      </c>
      <c r="F344">
        <v>2</v>
      </c>
      <c r="G344">
        <v>0</v>
      </c>
      <c r="H344" t="s">
        <v>66</v>
      </c>
      <c r="I344">
        <v>0</v>
      </c>
      <c r="J344" t="s">
        <v>66</v>
      </c>
      <c r="K344">
        <v>0</v>
      </c>
      <c r="L344" t="s">
        <v>66</v>
      </c>
      <c r="M344" t="s">
        <v>56</v>
      </c>
      <c r="N344">
        <v>0</v>
      </c>
      <c r="O344" t="s">
        <v>66</v>
      </c>
      <c r="P344" t="s">
        <v>56</v>
      </c>
      <c r="Q344">
        <v>0</v>
      </c>
      <c r="R344" t="s">
        <v>66</v>
      </c>
      <c r="S344" t="s">
        <v>56</v>
      </c>
      <c r="T344">
        <v>1</v>
      </c>
      <c r="U344" t="s">
        <v>1627</v>
      </c>
      <c r="V344" t="s">
        <v>56</v>
      </c>
      <c r="W344">
        <v>0</v>
      </c>
      <c r="X344" t="s">
        <v>66</v>
      </c>
      <c r="Y344" t="s">
        <v>56</v>
      </c>
      <c r="Z344">
        <v>0</v>
      </c>
      <c r="AA344" t="s">
        <v>66</v>
      </c>
      <c r="AB344" t="s">
        <v>56</v>
      </c>
      <c r="AC344">
        <v>1</v>
      </c>
      <c r="AD344" t="s">
        <v>1627</v>
      </c>
      <c r="AE344" t="s">
        <v>3887</v>
      </c>
      <c r="AF344">
        <v>0</v>
      </c>
      <c r="AG344" t="s">
        <v>66</v>
      </c>
      <c r="AH344" t="s">
        <v>56</v>
      </c>
      <c r="AI344">
        <v>1</v>
      </c>
      <c r="AJ344" t="s">
        <v>1627</v>
      </c>
      <c r="AK344" t="s">
        <v>56</v>
      </c>
      <c r="AL344" t="s">
        <v>56</v>
      </c>
      <c r="AM344" t="s">
        <v>56</v>
      </c>
      <c r="AN344" t="s">
        <v>56</v>
      </c>
      <c r="AO344" t="s">
        <v>4275</v>
      </c>
      <c r="AP344" t="s">
        <v>3889</v>
      </c>
      <c r="AQ344" t="s">
        <v>3890</v>
      </c>
      <c r="AR344" t="s">
        <v>3926</v>
      </c>
      <c r="AS344" t="s">
        <v>3927</v>
      </c>
      <c r="AT344" t="s">
        <v>3893</v>
      </c>
      <c r="AU344" t="s">
        <v>3894</v>
      </c>
      <c r="AV344" t="s">
        <v>3895</v>
      </c>
      <c r="AW344" t="s">
        <v>3896</v>
      </c>
      <c r="AX344">
        <v>8</v>
      </c>
      <c r="AY344">
        <v>2</v>
      </c>
      <c r="AZ344" t="s">
        <v>3897</v>
      </c>
      <c r="BA344">
        <v>10</v>
      </c>
      <c r="BB344" t="s">
        <v>3898</v>
      </c>
      <c r="BC344">
        <v>3</v>
      </c>
      <c r="BD344">
        <v>5</v>
      </c>
      <c r="BE344" t="s">
        <v>3899</v>
      </c>
      <c r="BF344">
        <v>3</v>
      </c>
      <c r="BG344">
        <v>13</v>
      </c>
      <c r="BH344" t="s">
        <v>3900</v>
      </c>
      <c r="BI344" t="s">
        <v>4924</v>
      </c>
      <c r="BJ344">
        <v>1</v>
      </c>
      <c r="BK344" t="s">
        <v>3902</v>
      </c>
    </row>
    <row r="345" spans="1:63" x14ac:dyDescent="0.25">
      <c r="A345">
        <v>4298</v>
      </c>
      <c r="B345" t="str">
        <f>"20200128183017086962"</f>
        <v>20200128183017086962</v>
      </c>
      <c r="C345">
        <v>1</v>
      </c>
      <c r="D345">
        <v>1</v>
      </c>
      <c r="E345" t="s">
        <v>3886</v>
      </c>
      <c r="F345">
        <v>1</v>
      </c>
      <c r="G345">
        <v>0</v>
      </c>
      <c r="H345" t="s">
        <v>66</v>
      </c>
      <c r="I345">
        <v>0</v>
      </c>
      <c r="J345" t="s">
        <v>66</v>
      </c>
      <c r="K345">
        <v>0</v>
      </c>
      <c r="L345" t="s">
        <v>66</v>
      </c>
      <c r="M345" t="s">
        <v>56</v>
      </c>
      <c r="N345">
        <v>0</v>
      </c>
      <c r="O345" t="s">
        <v>66</v>
      </c>
      <c r="P345" t="s">
        <v>56</v>
      </c>
      <c r="Q345">
        <v>0</v>
      </c>
      <c r="R345" t="s">
        <v>66</v>
      </c>
      <c r="S345" t="s">
        <v>56</v>
      </c>
      <c r="T345">
        <v>1</v>
      </c>
      <c r="U345" t="s">
        <v>1627</v>
      </c>
      <c r="V345" t="s">
        <v>56</v>
      </c>
      <c r="W345">
        <v>0</v>
      </c>
      <c r="X345" t="s">
        <v>66</v>
      </c>
      <c r="Y345" t="s">
        <v>56</v>
      </c>
      <c r="Z345">
        <v>0</v>
      </c>
      <c r="AA345" t="s">
        <v>66</v>
      </c>
      <c r="AB345" t="s">
        <v>56</v>
      </c>
      <c r="AC345">
        <v>1</v>
      </c>
      <c r="AD345" t="s">
        <v>1627</v>
      </c>
      <c r="AE345" t="s">
        <v>3887</v>
      </c>
      <c r="AF345">
        <v>0</v>
      </c>
      <c r="AG345" t="s">
        <v>66</v>
      </c>
      <c r="AH345" t="s">
        <v>56</v>
      </c>
      <c r="AI345">
        <v>1</v>
      </c>
      <c r="AJ345" t="s">
        <v>1627</v>
      </c>
      <c r="AK345" t="s">
        <v>56</v>
      </c>
      <c r="AL345" t="s">
        <v>56</v>
      </c>
      <c r="AM345" t="s">
        <v>56</v>
      </c>
      <c r="AN345" t="s">
        <v>56</v>
      </c>
      <c r="AO345" t="s">
        <v>4925</v>
      </c>
      <c r="AP345" t="s">
        <v>3971</v>
      </c>
      <c r="AQ345" t="s">
        <v>3972</v>
      </c>
      <c r="AR345" t="s">
        <v>3904</v>
      </c>
      <c r="AS345" t="s">
        <v>3905</v>
      </c>
      <c r="AT345" t="s">
        <v>4926</v>
      </c>
      <c r="AU345" t="s">
        <v>3929</v>
      </c>
      <c r="AV345" t="s">
        <v>3930</v>
      </c>
      <c r="AW345" t="s">
        <v>3931</v>
      </c>
      <c r="AX345">
        <v>8</v>
      </c>
      <c r="AY345">
        <v>2</v>
      </c>
      <c r="AZ345" t="s">
        <v>3897</v>
      </c>
      <c r="BA345">
        <v>10</v>
      </c>
      <c r="BB345" t="s">
        <v>3898</v>
      </c>
      <c r="BC345">
        <v>14</v>
      </c>
      <c r="BD345">
        <v>3</v>
      </c>
      <c r="BE345" t="s">
        <v>3911</v>
      </c>
      <c r="BF345">
        <v>42</v>
      </c>
      <c r="BG345" t="s">
        <v>3912</v>
      </c>
      <c r="BH345" t="s">
        <v>3913</v>
      </c>
      <c r="BI345" t="s">
        <v>4927</v>
      </c>
      <c r="BJ345">
        <v>1</v>
      </c>
      <c r="BK345" t="s">
        <v>3902</v>
      </c>
    </row>
    <row r="346" spans="1:63" x14ac:dyDescent="0.25">
      <c r="A346">
        <v>4299</v>
      </c>
      <c r="B346" t="str">
        <f>"20200128183017086962"</f>
        <v>20200128183017086962</v>
      </c>
      <c r="C346">
        <v>2</v>
      </c>
      <c r="D346">
        <v>1</v>
      </c>
      <c r="E346" t="s">
        <v>3886</v>
      </c>
      <c r="F346">
        <v>1</v>
      </c>
      <c r="G346">
        <v>0</v>
      </c>
      <c r="H346" t="s">
        <v>66</v>
      </c>
      <c r="I346">
        <v>0</v>
      </c>
      <c r="J346" t="s">
        <v>66</v>
      </c>
      <c r="K346">
        <v>0</v>
      </c>
      <c r="L346" t="s">
        <v>66</v>
      </c>
      <c r="M346" t="s">
        <v>56</v>
      </c>
      <c r="N346">
        <v>0</v>
      </c>
      <c r="O346" t="s">
        <v>66</v>
      </c>
      <c r="P346" t="s">
        <v>56</v>
      </c>
      <c r="Q346">
        <v>0</v>
      </c>
      <c r="R346" t="s">
        <v>66</v>
      </c>
      <c r="S346" t="s">
        <v>56</v>
      </c>
      <c r="T346">
        <v>1</v>
      </c>
      <c r="U346" t="s">
        <v>1627</v>
      </c>
      <c r="V346" t="s">
        <v>56</v>
      </c>
      <c r="W346">
        <v>0</v>
      </c>
      <c r="X346" t="s">
        <v>66</v>
      </c>
      <c r="Y346" t="s">
        <v>56</v>
      </c>
      <c r="Z346">
        <v>0</v>
      </c>
      <c r="AA346" t="s">
        <v>66</v>
      </c>
      <c r="AB346" t="s">
        <v>56</v>
      </c>
      <c r="AC346">
        <v>1</v>
      </c>
      <c r="AD346" t="s">
        <v>1627</v>
      </c>
      <c r="AE346" t="s">
        <v>3887</v>
      </c>
      <c r="AF346">
        <v>0</v>
      </c>
      <c r="AG346" t="s">
        <v>66</v>
      </c>
      <c r="AH346" t="s">
        <v>56</v>
      </c>
      <c r="AI346">
        <v>1</v>
      </c>
      <c r="AJ346" t="s">
        <v>1627</v>
      </c>
      <c r="AK346" t="s">
        <v>56</v>
      </c>
      <c r="AL346" t="s">
        <v>56</v>
      </c>
      <c r="AM346" t="s">
        <v>56</v>
      </c>
      <c r="AN346" t="s">
        <v>56</v>
      </c>
      <c r="AO346" t="s">
        <v>4928</v>
      </c>
      <c r="AP346" t="s">
        <v>3971</v>
      </c>
      <c r="AQ346" t="s">
        <v>3972</v>
      </c>
      <c r="AR346" t="s">
        <v>4146</v>
      </c>
      <c r="AS346" t="s">
        <v>4147</v>
      </c>
      <c r="AT346" t="s">
        <v>4926</v>
      </c>
      <c r="AU346" t="s">
        <v>3944</v>
      </c>
      <c r="AV346" t="s">
        <v>3945</v>
      </c>
      <c r="AW346" t="s">
        <v>3946</v>
      </c>
      <c r="AX346">
        <v>8</v>
      </c>
      <c r="AY346">
        <v>2</v>
      </c>
      <c r="AZ346" t="s">
        <v>3897</v>
      </c>
      <c r="BA346">
        <v>10</v>
      </c>
      <c r="BB346" t="s">
        <v>3898</v>
      </c>
      <c r="BC346">
        <v>14</v>
      </c>
      <c r="BD346">
        <v>3</v>
      </c>
      <c r="BE346" t="s">
        <v>3911</v>
      </c>
      <c r="BF346">
        <v>29</v>
      </c>
      <c r="BG346" t="s">
        <v>3912</v>
      </c>
      <c r="BH346" t="s">
        <v>3913</v>
      </c>
      <c r="BI346" t="s">
        <v>4929</v>
      </c>
      <c r="BJ346">
        <v>1</v>
      </c>
      <c r="BK346" t="s">
        <v>3902</v>
      </c>
    </row>
    <row r="347" spans="1:63" x14ac:dyDescent="0.25">
      <c r="A347">
        <v>4300</v>
      </c>
      <c r="B347" t="str">
        <f>"20200128123017086966"</f>
        <v>20200128123017086966</v>
      </c>
      <c r="C347">
        <v>1</v>
      </c>
      <c r="D347">
        <v>1</v>
      </c>
      <c r="E347" t="s">
        <v>3886</v>
      </c>
      <c r="F347">
        <v>2</v>
      </c>
      <c r="G347">
        <v>0</v>
      </c>
      <c r="H347" t="s">
        <v>66</v>
      </c>
      <c r="I347">
        <v>0</v>
      </c>
      <c r="J347" t="s">
        <v>66</v>
      </c>
      <c r="K347">
        <v>0</v>
      </c>
      <c r="L347" t="s">
        <v>66</v>
      </c>
      <c r="M347" t="s">
        <v>56</v>
      </c>
      <c r="N347">
        <v>0</v>
      </c>
      <c r="O347" t="s">
        <v>66</v>
      </c>
      <c r="P347" t="s">
        <v>56</v>
      </c>
      <c r="Q347">
        <v>0</v>
      </c>
      <c r="R347" t="s">
        <v>66</v>
      </c>
      <c r="S347" t="s">
        <v>56</v>
      </c>
      <c r="T347">
        <v>1</v>
      </c>
      <c r="U347" t="s">
        <v>1627</v>
      </c>
      <c r="V347" t="s">
        <v>56</v>
      </c>
      <c r="W347">
        <v>0</v>
      </c>
      <c r="X347" t="s">
        <v>66</v>
      </c>
      <c r="Y347" t="s">
        <v>56</v>
      </c>
      <c r="Z347">
        <v>0</v>
      </c>
      <c r="AA347" t="s">
        <v>66</v>
      </c>
      <c r="AB347" t="s">
        <v>56</v>
      </c>
      <c r="AC347">
        <v>1</v>
      </c>
      <c r="AD347" t="s">
        <v>1627</v>
      </c>
      <c r="AE347" t="s">
        <v>3887</v>
      </c>
      <c r="AF347">
        <v>0</v>
      </c>
      <c r="AG347" t="s">
        <v>66</v>
      </c>
      <c r="AH347" t="s">
        <v>56</v>
      </c>
      <c r="AI347">
        <v>1</v>
      </c>
      <c r="AJ347" t="s">
        <v>1627</v>
      </c>
      <c r="AK347" t="s">
        <v>56</v>
      </c>
      <c r="AL347" t="s">
        <v>56</v>
      </c>
      <c r="AM347" t="s">
        <v>56</v>
      </c>
      <c r="AN347" t="s">
        <v>56</v>
      </c>
      <c r="AO347" t="s">
        <v>4930</v>
      </c>
      <c r="AP347" t="s">
        <v>3939</v>
      </c>
      <c r="AQ347" t="s">
        <v>3940</v>
      </c>
      <c r="AR347" t="s">
        <v>3920</v>
      </c>
      <c r="AS347" t="s">
        <v>3921</v>
      </c>
      <c r="AT347" t="s">
        <v>4931</v>
      </c>
      <c r="AU347" t="s">
        <v>3907</v>
      </c>
      <c r="AV347" t="s">
        <v>3908</v>
      </c>
      <c r="AW347" t="s">
        <v>3909</v>
      </c>
      <c r="AX347">
        <v>24</v>
      </c>
      <c r="AY347">
        <v>2</v>
      </c>
      <c r="AZ347" t="s">
        <v>3897</v>
      </c>
      <c r="BA347">
        <v>10</v>
      </c>
      <c r="BB347" t="s">
        <v>3898</v>
      </c>
      <c r="BC347">
        <v>120</v>
      </c>
      <c r="BD347">
        <v>3</v>
      </c>
      <c r="BE347" t="s">
        <v>3911</v>
      </c>
      <c r="BF347">
        <v>120</v>
      </c>
      <c r="BG347">
        <v>14</v>
      </c>
      <c r="BH347" t="s">
        <v>3947</v>
      </c>
      <c r="BI347" t="s">
        <v>4932</v>
      </c>
      <c r="BJ347">
        <v>1</v>
      </c>
      <c r="BK347" t="s">
        <v>3902</v>
      </c>
    </row>
    <row r="348" spans="1:63" x14ac:dyDescent="0.25">
      <c r="A348">
        <v>4301</v>
      </c>
      <c r="B348" t="str">
        <f>"20200128123017086966"</f>
        <v>20200128123017086966</v>
      </c>
      <c r="C348">
        <v>2</v>
      </c>
      <c r="D348">
        <v>1</v>
      </c>
      <c r="E348" t="s">
        <v>3886</v>
      </c>
      <c r="F348">
        <v>2</v>
      </c>
      <c r="G348">
        <v>0</v>
      </c>
      <c r="H348" t="s">
        <v>66</v>
      </c>
      <c r="I348">
        <v>0</v>
      </c>
      <c r="J348" t="s">
        <v>66</v>
      </c>
      <c r="K348">
        <v>0</v>
      </c>
      <c r="L348" t="s">
        <v>66</v>
      </c>
      <c r="M348" t="s">
        <v>56</v>
      </c>
      <c r="N348">
        <v>0</v>
      </c>
      <c r="O348" t="s">
        <v>66</v>
      </c>
      <c r="P348" t="s">
        <v>56</v>
      </c>
      <c r="Q348">
        <v>0</v>
      </c>
      <c r="R348" t="s">
        <v>66</v>
      </c>
      <c r="S348" t="s">
        <v>56</v>
      </c>
      <c r="T348">
        <v>1</v>
      </c>
      <c r="U348" t="s">
        <v>1627</v>
      </c>
      <c r="V348" t="s">
        <v>56</v>
      </c>
      <c r="W348">
        <v>0</v>
      </c>
      <c r="X348" t="s">
        <v>66</v>
      </c>
      <c r="Y348" t="s">
        <v>56</v>
      </c>
      <c r="Z348">
        <v>0</v>
      </c>
      <c r="AA348" t="s">
        <v>66</v>
      </c>
      <c r="AB348" t="s">
        <v>56</v>
      </c>
      <c r="AC348">
        <v>1</v>
      </c>
      <c r="AD348" t="s">
        <v>1627</v>
      </c>
      <c r="AE348" t="s">
        <v>3887</v>
      </c>
      <c r="AF348">
        <v>0</v>
      </c>
      <c r="AG348" t="s">
        <v>66</v>
      </c>
      <c r="AH348" t="s">
        <v>56</v>
      </c>
      <c r="AI348">
        <v>1</v>
      </c>
      <c r="AJ348" t="s">
        <v>1627</v>
      </c>
      <c r="AK348" t="s">
        <v>56</v>
      </c>
      <c r="AL348" t="s">
        <v>56</v>
      </c>
      <c r="AM348" t="s">
        <v>56</v>
      </c>
      <c r="AN348" t="s">
        <v>56</v>
      </c>
      <c r="AO348" t="s">
        <v>4737</v>
      </c>
      <c r="AP348" t="s">
        <v>4330</v>
      </c>
      <c r="AQ348" t="s">
        <v>4331</v>
      </c>
      <c r="AR348" t="s">
        <v>3941</v>
      </c>
      <c r="AS348" t="s">
        <v>3942</v>
      </c>
      <c r="AT348" t="s">
        <v>4933</v>
      </c>
      <c r="AU348" t="s">
        <v>3944</v>
      </c>
      <c r="AV348" t="s">
        <v>3945</v>
      </c>
      <c r="AW348" t="s">
        <v>3946</v>
      </c>
      <c r="AX348">
        <v>12</v>
      </c>
      <c r="AY348">
        <v>2</v>
      </c>
      <c r="AZ348" t="s">
        <v>3897</v>
      </c>
      <c r="BA348">
        <v>10</v>
      </c>
      <c r="BB348" t="s">
        <v>3898</v>
      </c>
      <c r="BC348">
        <v>120</v>
      </c>
      <c r="BD348">
        <v>3</v>
      </c>
      <c r="BE348" t="s">
        <v>3911</v>
      </c>
      <c r="BF348">
        <v>240</v>
      </c>
      <c r="BG348">
        <v>78</v>
      </c>
      <c r="BH348" t="s">
        <v>4333</v>
      </c>
      <c r="BI348" t="s">
        <v>4934</v>
      </c>
      <c r="BJ348">
        <v>1</v>
      </c>
      <c r="BK348" t="s">
        <v>3902</v>
      </c>
    </row>
    <row r="349" spans="1:63" x14ac:dyDescent="0.25">
      <c r="A349">
        <v>4302</v>
      </c>
      <c r="B349" t="str">
        <f>"20200128137017087018"</f>
        <v>20200128137017087018</v>
      </c>
      <c r="C349">
        <v>1</v>
      </c>
      <c r="D349">
        <v>1</v>
      </c>
      <c r="E349" t="s">
        <v>3886</v>
      </c>
      <c r="F349">
        <v>2</v>
      </c>
      <c r="G349">
        <v>0</v>
      </c>
      <c r="H349" t="s">
        <v>66</v>
      </c>
      <c r="I349">
        <v>0</v>
      </c>
      <c r="J349" t="s">
        <v>66</v>
      </c>
      <c r="K349">
        <v>1</v>
      </c>
      <c r="L349" t="s">
        <v>1627</v>
      </c>
      <c r="M349" t="s">
        <v>4112</v>
      </c>
      <c r="N349">
        <v>1</v>
      </c>
      <c r="O349" t="s">
        <v>1627</v>
      </c>
      <c r="P349" t="s">
        <v>4237</v>
      </c>
      <c r="Q349">
        <v>0</v>
      </c>
      <c r="R349" t="s">
        <v>66</v>
      </c>
      <c r="S349" t="s">
        <v>56</v>
      </c>
      <c r="T349" t="s">
        <v>56</v>
      </c>
      <c r="U349" t="s">
        <v>56</v>
      </c>
      <c r="V349" t="s">
        <v>56</v>
      </c>
      <c r="W349">
        <v>0</v>
      </c>
      <c r="X349" t="s">
        <v>66</v>
      </c>
      <c r="Y349" t="s">
        <v>56</v>
      </c>
      <c r="Z349">
        <v>0</v>
      </c>
      <c r="AA349" t="s">
        <v>66</v>
      </c>
      <c r="AB349" t="s">
        <v>56</v>
      </c>
      <c r="AC349">
        <v>0</v>
      </c>
      <c r="AD349" t="s">
        <v>66</v>
      </c>
      <c r="AE349" t="s">
        <v>56</v>
      </c>
      <c r="AF349">
        <v>0</v>
      </c>
      <c r="AG349" t="s">
        <v>66</v>
      </c>
      <c r="AH349" t="s">
        <v>56</v>
      </c>
      <c r="AI349">
        <v>1</v>
      </c>
      <c r="AJ349" t="s">
        <v>1627</v>
      </c>
      <c r="AK349" t="s">
        <v>56</v>
      </c>
      <c r="AL349" t="s">
        <v>56</v>
      </c>
      <c r="AM349" t="s">
        <v>56</v>
      </c>
      <c r="AN349" t="s">
        <v>56</v>
      </c>
      <c r="AO349" t="s">
        <v>3985</v>
      </c>
      <c r="AP349" t="s">
        <v>3962</v>
      </c>
      <c r="AQ349" t="s">
        <v>3963</v>
      </c>
      <c r="AR349" t="s">
        <v>3941</v>
      </c>
      <c r="AS349" t="s">
        <v>3942</v>
      </c>
      <c r="AT349" t="s">
        <v>4935</v>
      </c>
      <c r="AU349">
        <v>9000</v>
      </c>
      <c r="AV349" t="s">
        <v>3956</v>
      </c>
      <c r="AW349" t="s">
        <v>3956</v>
      </c>
      <c r="AX349">
        <v>24</v>
      </c>
      <c r="AY349">
        <v>2</v>
      </c>
      <c r="AZ349" t="s">
        <v>3897</v>
      </c>
      <c r="BA349">
        <v>10</v>
      </c>
      <c r="BB349" t="s">
        <v>3898</v>
      </c>
      <c r="BC349">
        <v>180</v>
      </c>
      <c r="BD349">
        <v>3</v>
      </c>
      <c r="BE349" t="s">
        <v>3911</v>
      </c>
      <c r="BF349">
        <v>180</v>
      </c>
      <c r="BG349">
        <v>66</v>
      </c>
      <c r="BH349" t="s">
        <v>3965</v>
      </c>
      <c r="BI349" t="s">
        <v>4936</v>
      </c>
      <c r="BJ349">
        <v>1</v>
      </c>
      <c r="BK349" t="s">
        <v>3902</v>
      </c>
    </row>
    <row r="350" spans="1:63" x14ac:dyDescent="0.25">
      <c r="A350">
        <v>4303</v>
      </c>
      <c r="B350" t="str">
        <f>"20200128131017087665"</f>
        <v>20200128131017087665</v>
      </c>
      <c r="C350">
        <v>1</v>
      </c>
      <c r="D350">
        <v>1</v>
      </c>
      <c r="E350" t="s">
        <v>3886</v>
      </c>
      <c r="F350">
        <v>2</v>
      </c>
      <c r="G350">
        <v>0</v>
      </c>
      <c r="H350" t="s">
        <v>66</v>
      </c>
      <c r="I350">
        <v>0</v>
      </c>
      <c r="J350" t="s">
        <v>66</v>
      </c>
      <c r="K350">
        <v>0</v>
      </c>
      <c r="L350" t="s">
        <v>66</v>
      </c>
      <c r="M350" t="s">
        <v>56</v>
      </c>
      <c r="N350">
        <v>0</v>
      </c>
      <c r="O350" t="s">
        <v>66</v>
      </c>
      <c r="P350" t="s">
        <v>56</v>
      </c>
      <c r="Q350">
        <v>0</v>
      </c>
      <c r="R350" t="s">
        <v>66</v>
      </c>
      <c r="S350" t="s">
        <v>56</v>
      </c>
      <c r="T350">
        <v>1</v>
      </c>
      <c r="U350" t="s">
        <v>1627</v>
      </c>
      <c r="V350" t="s">
        <v>56</v>
      </c>
      <c r="W350">
        <v>0</v>
      </c>
      <c r="X350" t="s">
        <v>66</v>
      </c>
      <c r="Y350" t="s">
        <v>56</v>
      </c>
      <c r="Z350">
        <v>0</v>
      </c>
      <c r="AA350" t="s">
        <v>66</v>
      </c>
      <c r="AB350" t="s">
        <v>56</v>
      </c>
      <c r="AC350">
        <v>1</v>
      </c>
      <c r="AD350" t="s">
        <v>1627</v>
      </c>
      <c r="AE350" t="s">
        <v>3887</v>
      </c>
      <c r="AF350">
        <v>0</v>
      </c>
      <c r="AG350" t="s">
        <v>66</v>
      </c>
      <c r="AH350" t="s">
        <v>56</v>
      </c>
      <c r="AI350">
        <v>1</v>
      </c>
      <c r="AJ350" t="s">
        <v>1627</v>
      </c>
      <c r="AK350" t="s">
        <v>56</v>
      </c>
      <c r="AL350" t="s">
        <v>56</v>
      </c>
      <c r="AM350" t="s">
        <v>56</v>
      </c>
      <c r="AN350" t="s">
        <v>56</v>
      </c>
      <c r="AO350" t="s">
        <v>4937</v>
      </c>
      <c r="AP350" t="s">
        <v>3962</v>
      </c>
      <c r="AQ350" t="s">
        <v>3963</v>
      </c>
      <c r="AR350" t="s">
        <v>3941</v>
      </c>
      <c r="AS350" t="s">
        <v>3942</v>
      </c>
      <c r="AT350" t="s">
        <v>4938</v>
      </c>
      <c r="AU350">
        <v>9000</v>
      </c>
      <c r="AV350" t="s">
        <v>3956</v>
      </c>
      <c r="AW350" t="s">
        <v>3956</v>
      </c>
      <c r="AX350">
        <v>12</v>
      </c>
      <c r="AY350">
        <v>2</v>
      </c>
      <c r="AZ350" t="s">
        <v>3897</v>
      </c>
      <c r="BA350">
        <v>10</v>
      </c>
      <c r="BB350" t="s">
        <v>3898</v>
      </c>
      <c r="BC350">
        <v>90</v>
      </c>
      <c r="BD350">
        <v>3</v>
      </c>
      <c r="BE350" t="s">
        <v>3911</v>
      </c>
      <c r="BF350">
        <v>180</v>
      </c>
      <c r="BG350">
        <v>66</v>
      </c>
      <c r="BH350" t="s">
        <v>3965</v>
      </c>
      <c r="BI350" t="s">
        <v>4939</v>
      </c>
      <c r="BJ350">
        <v>1</v>
      </c>
      <c r="BK350" t="s">
        <v>3902</v>
      </c>
    </row>
    <row r="351" spans="1:63" x14ac:dyDescent="0.25">
      <c r="A351">
        <v>4304</v>
      </c>
      <c r="B351" t="str">
        <f>"20200128197017087872"</f>
        <v>20200128197017087872</v>
      </c>
      <c r="C351">
        <v>1</v>
      </c>
      <c r="D351">
        <v>1</v>
      </c>
      <c r="E351" t="s">
        <v>3886</v>
      </c>
      <c r="F351">
        <v>2</v>
      </c>
      <c r="G351">
        <v>0</v>
      </c>
      <c r="H351" t="s">
        <v>66</v>
      </c>
      <c r="I351">
        <v>0</v>
      </c>
      <c r="J351" t="s">
        <v>66</v>
      </c>
      <c r="K351">
        <v>0</v>
      </c>
      <c r="L351" t="s">
        <v>66</v>
      </c>
      <c r="M351" t="s">
        <v>56</v>
      </c>
      <c r="N351">
        <v>0</v>
      </c>
      <c r="O351" t="s">
        <v>66</v>
      </c>
      <c r="P351" t="s">
        <v>56</v>
      </c>
      <c r="Q351">
        <v>0</v>
      </c>
      <c r="R351" t="s">
        <v>66</v>
      </c>
      <c r="S351" t="s">
        <v>56</v>
      </c>
      <c r="T351">
        <v>1</v>
      </c>
      <c r="U351" t="s">
        <v>1627</v>
      </c>
      <c r="V351" t="s">
        <v>56</v>
      </c>
      <c r="W351">
        <v>0</v>
      </c>
      <c r="X351" t="s">
        <v>66</v>
      </c>
      <c r="Y351" t="s">
        <v>56</v>
      </c>
      <c r="Z351">
        <v>0</v>
      </c>
      <c r="AA351" t="s">
        <v>66</v>
      </c>
      <c r="AB351" t="s">
        <v>56</v>
      </c>
      <c r="AC351">
        <v>1</v>
      </c>
      <c r="AD351" t="s">
        <v>1627</v>
      </c>
      <c r="AE351" t="s">
        <v>3887</v>
      </c>
      <c r="AF351">
        <v>0</v>
      </c>
      <c r="AG351" t="s">
        <v>66</v>
      </c>
      <c r="AH351" t="s">
        <v>56</v>
      </c>
      <c r="AI351">
        <v>1</v>
      </c>
      <c r="AJ351" t="s">
        <v>1627</v>
      </c>
      <c r="AK351" t="s">
        <v>56</v>
      </c>
      <c r="AL351" t="s">
        <v>56</v>
      </c>
      <c r="AM351" t="s">
        <v>56</v>
      </c>
      <c r="AN351" t="s">
        <v>56</v>
      </c>
      <c r="AO351" t="s">
        <v>3949</v>
      </c>
      <c r="AP351" t="s">
        <v>3889</v>
      </c>
      <c r="AQ351" t="s">
        <v>3890</v>
      </c>
      <c r="AR351" t="s">
        <v>3891</v>
      </c>
      <c r="AS351" t="s">
        <v>3892</v>
      </c>
      <c r="AT351" t="s">
        <v>4940</v>
      </c>
      <c r="AU351">
        <v>9000</v>
      </c>
      <c r="AV351" t="s">
        <v>3956</v>
      </c>
      <c r="AW351" t="s">
        <v>3956</v>
      </c>
      <c r="AX351">
        <v>6</v>
      </c>
      <c r="AY351">
        <v>2</v>
      </c>
      <c r="AZ351" t="s">
        <v>3897</v>
      </c>
      <c r="BA351">
        <v>10</v>
      </c>
      <c r="BB351" t="s">
        <v>3898</v>
      </c>
      <c r="BC351">
        <v>6</v>
      </c>
      <c r="BD351">
        <v>5</v>
      </c>
      <c r="BE351" t="s">
        <v>3899</v>
      </c>
      <c r="BF351">
        <v>6</v>
      </c>
      <c r="BG351">
        <v>13</v>
      </c>
      <c r="BH351" t="s">
        <v>3900</v>
      </c>
      <c r="BI351" t="s">
        <v>4941</v>
      </c>
      <c r="BJ351">
        <v>1</v>
      </c>
      <c r="BK351" t="s">
        <v>3902</v>
      </c>
    </row>
    <row r="352" spans="1:63" x14ac:dyDescent="0.25">
      <c r="A352">
        <v>4305</v>
      </c>
      <c r="B352" t="str">
        <f>"20200128158017088307"</f>
        <v>20200128158017088307</v>
      </c>
      <c r="C352">
        <v>1</v>
      </c>
      <c r="D352">
        <v>1</v>
      </c>
      <c r="E352" t="s">
        <v>3886</v>
      </c>
      <c r="F352">
        <v>2</v>
      </c>
      <c r="G352">
        <v>0</v>
      </c>
      <c r="H352" t="s">
        <v>66</v>
      </c>
      <c r="I352">
        <v>0</v>
      </c>
      <c r="J352" t="s">
        <v>66</v>
      </c>
      <c r="K352">
        <v>1</v>
      </c>
      <c r="L352" t="s">
        <v>1627</v>
      </c>
      <c r="M352" t="s">
        <v>4942</v>
      </c>
      <c r="N352">
        <v>0</v>
      </c>
      <c r="O352" t="s">
        <v>66</v>
      </c>
      <c r="P352" t="s">
        <v>56</v>
      </c>
      <c r="Q352">
        <v>1</v>
      </c>
      <c r="R352" t="s">
        <v>1627</v>
      </c>
      <c r="S352" t="s">
        <v>4943</v>
      </c>
      <c r="T352" t="s">
        <v>56</v>
      </c>
      <c r="U352" t="s">
        <v>56</v>
      </c>
      <c r="V352" t="s">
        <v>56</v>
      </c>
      <c r="W352">
        <v>0</v>
      </c>
      <c r="X352" t="s">
        <v>66</v>
      </c>
      <c r="Y352" t="s">
        <v>56</v>
      </c>
      <c r="Z352">
        <v>0</v>
      </c>
      <c r="AA352" t="s">
        <v>66</v>
      </c>
      <c r="AB352" t="s">
        <v>56</v>
      </c>
      <c r="AC352">
        <v>0</v>
      </c>
      <c r="AD352" t="s">
        <v>66</v>
      </c>
      <c r="AE352" t="s">
        <v>56</v>
      </c>
      <c r="AF352">
        <v>0</v>
      </c>
      <c r="AG352" t="s">
        <v>66</v>
      </c>
      <c r="AH352" t="s">
        <v>56</v>
      </c>
      <c r="AI352">
        <v>1</v>
      </c>
      <c r="AJ352" t="s">
        <v>1627</v>
      </c>
      <c r="AK352" t="s">
        <v>56</v>
      </c>
      <c r="AL352" t="s">
        <v>56</v>
      </c>
      <c r="AM352" t="s">
        <v>56</v>
      </c>
      <c r="AN352" t="s">
        <v>56</v>
      </c>
      <c r="AO352" t="s">
        <v>4944</v>
      </c>
      <c r="AP352" t="s">
        <v>4077</v>
      </c>
      <c r="AQ352" t="s">
        <v>4078</v>
      </c>
      <c r="AR352" t="s">
        <v>3941</v>
      </c>
      <c r="AS352" t="s">
        <v>3942</v>
      </c>
      <c r="AT352" t="s">
        <v>4945</v>
      </c>
      <c r="AU352">
        <v>9000</v>
      </c>
      <c r="AV352" t="s">
        <v>3956</v>
      </c>
      <c r="AW352" t="s">
        <v>3956</v>
      </c>
      <c r="AX352">
        <v>24</v>
      </c>
      <c r="AY352">
        <v>2</v>
      </c>
      <c r="AZ352" t="s">
        <v>3897</v>
      </c>
      <c r="BA352">
        <v>10</v>
      </c>
      <c r="BB352" t="s">
        <v>3898</v>
      </c>
      <c r="BC352">
        <v>90</v>
      </c>
      <c r="BD352">
        <v>3</v>
      </c>
      <c r="BE352" t="s">
        <v>3911</v>
      </c>
      <c r="BF352">
        <v>90</v>
      </c>
      <c r="BG352">
        <v>66</v>
      </c>
      <c r="BH352" t="s">
        <v>3965</v>
      </c>
      <c r="BI352" t="s">
        <v>4946</v>
      </c>
      <c r="BJ352">
        <v>1</v>
      </c>
      <c r="BK352" t="s">
        <v>3902</v>
      </c>
    </row>
    <row r="353" spans="1:63" x14ac:dyDescent="0.25">
      <c r="A353">
        <v>4306</v>
      </c>
      <c r="B353" t="str">
        <f>"20200128176017089291"</f>
        <v>20200128176017089291</v>
      </c>
      <c r="C353">
        <v>1</v>
      </c>
      <c r="D353">
        <v>1</v>
      </c>
      <c r="E353" t="s">
        <v>3886</v>
      </c>
      <c r="F353">
        <v>1</v>
      </c>
      <c r="G353">
        <v>0</v>
      </c>
      <c r="H353" t="s">
        <v>66</v>
      </c>
      <c r="I353">
        <v>0</v>
      </c>
      <c r="J353" t="s">
        <v>66</v>
      </c>
      <c r="K353">
        <v>0</v>
      </c>
      <c r="L353" t="s">
        <v>66</v>
      </c>
      <c r="M353" t="s">
        <v>56</v>
      </c>
      <c r="N353">
        <v>0</v>
      </c>
      <c r="O353" t="s">
        <v>66</v>
      </c>
      <c r="P353" t="s">
        <v>56</v>
      </c>
      <c r="Q353">
        <v>0</v>
      </c>
      <c r="R353" t="s">
        <v>66</v>
      </c>
      <c r="S353" t="s">
        <v>56</v>
      </c>
      <c r="T353">
        <v>1</v>
      </c>
      <c r="U353" t="s">
        <v>1627</v>
      </c>
      <c r="V353" t="s">
        <v>56</v>
      </c>
      <c r="W353">
        <v>0</v>
      </c>
      <c r="X353" t="s">
        <v>66</v>
      </c>
      <c r="Y353" t="s">
        <v>56</v>
      </c>
      <c r="Z353">
        <v>0</v>
      </c>
      <c r="AA353" t="s">
        <v>66</v>
      </c>
      <c r="AB353" t="s">
        <v>56</v>
      </c>
      <c r="AC353">
        <v>1</v>
      </c>
      <c r="AD353" t="s">
        <v>1627</v>
      </c>
      <c r="AE353" t="s">
        <v>3887</v>
      </c>
      <c r="AF353">
        <v>0</v>
      </c>
      <c r="AG353" t="s">
        <v>66</v>
      </c>
      <c r="AH353" t="s">
        <v>56</v>
      </c>
      <c r="AI353">
        <v>1</v>
      </c>
      <c r="AJ353" t="s">
        <v>1627</v>
      </c>
      <c r="AK353">
        <v>0</v>
      </c>
      <c r="AL353" t="s">
        <v>66</v>
      </c>
      <c r="AM353" t="s">
        <v>56</v>
      </c>
      <c r="AN353" t="s">
        <v>56</v>
      </c>
      <c r="AO353" t="s">
        <v>4947</v>
      </c>
      <c r="AP353" t="s">
        <v>3962</v>
      </c>
      <c r="AQ353" t="s">
        <v>3963</v>
      </c>
      <c r="AR353" t="s">
        <v>3941</v>
      </c>
      <c r="AS353" t="s">
        <v>3942</v>
      </c>
      <c r="AT353" t="s">
        <v>4948</v>
      </c>
      <c r="AU353" t="s">
        <v>3944</v>
      </c>
      <c r="AV353" t="s">
        <v>3945</v>
      </c>
      <c r="AW353" t="s">
        <v>3946</v>
      </c>
      <c r="AX353">
        <v>24</v>
      </c>
      <c r="AY353">
        <v>2</v>
      </c>
      <c r="AZ353" t="s">
        <v>3897</v>
      </c>
      <c r="BA353">
        <v>10</v>
      </c>
      <c r="BB353" t="s">
        <v>3898</v>
      </c>
      <c r="BC353">
        <v>30</v>
      </c>
      <c r="BD353">
        <v>3</v>
      </c>
      <c r="BE353" t="s">
        <v>3911</v>
      </c>
      <c r="BF353">
        <v>30</v>
      </c>
      <c r="BG353">
        <v>66</v>
      </c>
      <c r="BH353" t="s">
        <v>3965</v>
      </c>
      <c r="BI353" t="s">
        <v>4949</v>
      </c>
      <c r="BJ353">
        <v>1</v>
      </c>
      <c r="BK353" t="s">
        <v>3902</v>
      </c>
    </row>
    <row r="354" spans="1:63" x14ac:dyDescent="0.25">
      <c r="A354">
        <v>4307</v>
      </c>
      <c r="B354" t="str">
        <f>"20200128139017089780"</f>
        <v>20200128139017089780</v>
      </c>
      <c r="C354">
        <v>1</v>
      </c>
      <c r="D354">
        <v>1</v>
      </c>
      <c r="E354" t="s">
        <v>3886</v>
      </c>
      <c r="F354">
        <v>1</v>
      </c>
      <c r="G354">
        <v>0</v>
      </c>
      <c r="H354" t="s">
        <v>66</v>
      </c>
      <c r="I354">
        <v>0</v>
      </c>
      <c r="J354" t="s">
        <v>66</v>
      </c>
      <c r="K354">
        <v>0</v>
      </c>
      <c r="L354" t="s">
        <v>66</v>
      </c>
      <c r="M354" t="s">
        <v>56</v>
      </c>
      <c r="N354">
        <v>0</v>
      </c>
      <c r="O354" t="s">
        <v>66</v>
      </c>
      <c r="P354" t="s">
        <v>56</v>
      </c>
      <c r="Q354">
        <v>0</v>
      </c>
      <c r="R354" t="s">
        <v>66</v>
      </c>
      <c r="S354" t="s">
        <v>56</v>
      </c>
      <c r="T354">
        <v>1</v>
      </c>
      <c r="U354" t="s">
        <v>1627</v>
      </c>
      <c r="V354" t="s">
        <v>56</v>
      </c>
      <c r="W354">
        <v>0</v>
      </c>
      <c r="X354" t="s">
        <v>66</v>
      </c>
      <c r="Y354" t="s">
        <v>56</v>
      </c>
      <c r="Z354">
        <v>0</v>
      </c>
      <c r="AA354" t="s">
        <v>66</v>
      </c>
      <c r="AB354" t="s">
        <v>56</v>
      </c>
      <c r="AC354">
        <v>1</v>
      </c>
      <c r="AD354" t="s">
        <v>1627</v>
      </c>
      <c r="AE354" t="s">
        <v>3887</v>
      </c>
      <c r="AF354">
        <v>0</v>
      </c>
      <c r="AG354" t="s">
        <v>66</v>
      </c>
      <c r="AH354" t="s">
        <v>56</v>
      </c>
      <c r="AI354">
        <v>1</v>
      </c>
      <c r="AJ354" t="s">
        <v>1627</v>
      </c>
      <c r="AK354" t="s">
        <v>56</v>
      </c>
      <c r="AL354" t="s">
        <v>56</v>
      </c>
      <c r="AM354" t="s">
        <v>56</v>
      </c>
      <c r="AN354" t="s">
        <v>56</v>
      </c>
      <c r="AO354" t="s">
        <v>4950</v>
      </c>
      <c r="AP354" t="s">
        <v>3889</v>
      </c>
      <c r="AQ354" t="s">
        <v>3890</v>
      </c>
      <c r="AR354" t="s">
        <v>3953</v>
      </c>
      <c r="AS354" t="s">
        <v>3954</v>
      </c>
      <c r="AT354" t="s">
        <v>4951</v>
      </c>
      <c r="AU354">
        <v>9000</v>
      </c>
      <c r="AV354" t="s">
        <v>3956</v>
      </c>
      <c r="AW354" t="s">
        <v>3956</v>
      </c>
      <c r="AX354">
        <v>1</v>
      </c>
      <c r="AY354">
        <v>3</v>
      </c>
      <c r="AZ354" t="s">
        <v>3911</v>
      </c>
      <c r="BA354">
        <v>10</v>
      </c>
      <c r="BB354" t="s">
        <v>3898</v>
      </c>
      <c r="BC354">
        <v>1</v>
      </c>
      <c r="BD354">
        <v>3</v>
      </c>
      <c r="BE354" t="s">
        <v>3911</v>
      </c>
      <c r="BF354">
        <v>1</v>
      </c>
      <c r="BG354" t="s">
        <v>3912</v>
      </c>
      <c r="BH354" t="s">
        <v>3913</v>
      </c>
      <c r="BI354" t="s">
        <v>4952</v>
      </c>
      <c r="BJ354">
        <v>1</v>
      </c>
      <c r="BK354" t="s">
        <v>3902</v>
      </c>
    </row>
    <row r="355" spans="1:63" x14ac:dyDescent="0.25">
      <c r="A355">
        <v>4308</v>
      </c>
      <c r="B355" t="str">
        <f>"20200128163017090022"</f>
        <v>20200128163017090022</v>
      </c>
      <c r="C355">
        <v>1</v>
      </c>
      <c r="D355">
        <v>1</v>
      </c>
      <c r="E355" t="s">
        <v>3886</v>
      </c>
      <c r="F355">
        <v>2</v>
      </c>
      <c r="G355">
        <v>0</v>
      </c>
      <c r="H355" t="s">
        <v>66</v>
      </c>
      <c r="I355">
        <v>0</v>
      </c>
      <c r="J355" t="s">
        <v>66</v>
      </c>
      <c r="K355">
        <v>1</v>
      </c>
      <c r="L355" t="s">
        <v>1627</v>
      </c>
      <c r="M355" t="s">
        <v>4256</v>
      </c>
      <c r="N355">
        <v>1</v>
      </c>
      <c r="O355" t="s">
        <v>1627</v>
      </c>
      <c r="P355" t="s">
        <v>4953</v>
      </c>
      <c r="Q355">
        <v>0</v>
      </c>
      <c r="R355" t="s">
        <v>66</v>
      </c>
      <c r="S355" t="s">
        <v>56</v>
      </c>
      <c r="T355" t="s">
        <v>56</v>
      </c>
      <c r="U355" t="s">
        <v>56</v>
      </c>
      <c r="V355" t="s">
        <v>56</v>
      </c>
      <c r="W355">
        <v>0</v>
      </c>
      <c r="X355" t="s">
        <v>66</v>
      </c>
      <c r="Y355" t="s">
        <v>56</v>
      </c>
      <c r="Z355">
        <v>0</v>
      </c>
      <c r="AA355" t="s">
        <v>66</v>
      </c>
      <c r="AB355" t="s">
        <v>56</v>
      </c>
      <c r="AC355">
        <v>0</v>
      </c>
      <c r="AD355" t="s">
        <v>66</v>
      </c>
      <c r="AE355" t="s">
        <v>56</v>
      </c>
      <c r="AF355">
        <v>0</v>
      </c>
      <c r="AG355" t="s">
        <v>66</v>
      </c>
      <c r="AH355" t="s">
        <v>56</v>
      </c>
      <c r="AI355">
        <v>1</v>
      </c>
      <c r="AJ355" t="s">
        <v>1627</v>
      </c>
      <c r="AK355" t="s">
        <v>56</v>
      </c>
      <c r="AL355" t="s">
        <v>56</v>
      </c>
      <c r="AM355" t="s">
        <v>56</v>
      </c>
      <c r="AN355" t="s">
        <v>56</v>
      </c>
      <c r="AO355" t="s">
        <v>4261</v>
      </c>
      <c r="AP355" t="s">
        <v>3996</v>
      </c>
      <c r="AQ355" t="s">
        <v>3997</v>
      </c>
      <c r="AR355" t="s">
        <v>4071</v>
      </c>
      <c r="AS355" t="s">
        <v>4072</v>
      </c>
      <c r="AT355" t="s">
        <v>4954</v>
      </c>
      <c r="AU355" t="s">
        <v>3944</v>
      </c>
      <c r="AV355" t="s">
        <v>3945</v>
      </c>
      <c r="AW355" t="s">
        <v>3946</v>
      </c>
      <c r="AX355">
        <v>12</v>
      </c>
      <c r="AY355">
        <v>2</v>
      </c>
      <c r="AZ355" t="s">
        <v>3897</v>
      </c>
      <c r="BA355">
        <v>10</v>
      </c>
      <c r="BB355" t="s">
        <v>3898</v>
      </c>
      <c r="BC355">
        <v>2</v>
      </c>
      <c r="BD355">
        <v>5</v>
      </c>
      <c r="BE355" t="s">
        <v>3899</v>
      </c>
      <c r="BF355">
        <v>6</v>
      </c>
      <c r="BG355">
        <v>73</v>
      </c>
      <c r="BH355" t="s">
        <v>3999</v>
      </c>
      <c r="BI355" t="s">
        <v>4955</v>
      </c>
      <c r="BJ355">
        <v>1</v>
      </c>
      <c r="BK355" t="s">
        <v>3902</v>
      </c>
    </row>
    <row r="356" spans="1:63" x14ac:dyDescent="0.25">
      <c r="A356">
        <v>4309</v>
      </c>
      <c r="B356" t="str">
        <f>"20200128118017090667"</f>
        <v>20200128118017090667</v>
      </c>
      <c r="C356">
        <v>1</v>
      </c>
      <c r="D356">
        <v>1</v>
      </c>
      <c r="E356" t="s">
        <v>3886</v>
      </c>
      <c r="F356">
        <v>2</v>
      </c>
      <c r="G356">
        <v>0</v>
      </c>
      <c r="H356" t="s">
        <v>66</v>
      </c>
      <c r="I356">
        <v>0</v>
      </c>
      <c r="J356" t="s">
        <v>66</v>
      </c>
      <c r="K356">
        <v>1</v>
      </c>
      <c r="L356" t="s">
        <v>1627</v>
      </c>
      <c r="M356" t="s">
        <v>3915</v>
      </c>
      <c r="N356">
        <v>1</v>
      </c>
      <c r="O356" t="s">
        <v>1627</v>
      </c>
      <c r="P356" t="s">
        <v>4956</v>
      </c>
      <c r="Q356">
        <v>0</v>
      </c>
      <c r="R356" t="s">
        <v>66</v>
      </c>
      <c r="S356" t="s">
        <v>56</v>
      </c>
      <c r="T356" t="s">
        <v>56</v>
      </c>
      <c r="U356" t="s">
        <v>56</v>
      </c>
      <c r="V356" t="s">
        <v>56</v>
      </c>
      <c r="W356">
        <v>0</v>
      </c>
      <c r="X356" t="s">
        <v>66</v>
      </c>
      <c r="Y356" t="s">
        <v>56</v>
      </c>
      <c r="Z356">
        <v>0</v>
      </c>
      <c r="AA356" t="s">
        <v>66</v>
      </c>
      <c r="AB356" t="s">
        <v>56</v>
      </c>
      <c r="AC356">
        <v>0</v>
      </c>
      <c r="AD356" t="s">
        <v>66</v>
      </c>
      <c r="AE356" t="s">
        <v>56</v>
      </c>
      <c r="AF356">
        <v>0</v>
      </c>
      <c r="AG356" t="s">
        <v>66</v>
      </c>
      <c r="AH356" t="s">
        <v>56</v>
      </c>
      <c r="AI356">
        <v>1</v>
      </c>
      <c r="AJ356" t="s">
        <v>1627</v>
      </c>
      <c r="AK356" t="s">
        <v>56</v>
      </c>
      <c r="AL356" t="s">
        <v>56</v>
      </c>
      <c r="AM356" t="s">
        <v>56</v>
      </c>
      <c r="AN356" t="s">
        <v>56</v>
      </c>
      <c r="AO356" t="s">
        <v>4957</v>
      </c>
      <c r="AP356" t="s">
        <v>4058</v>
      </c>
      <c r="AQ356" t="s">
        <v>4059</v>
      </c>
      <c r="AR356" t="s">
        <v>3920</v>
      </c>
      <c r="AS356" t="s">
        <v>3921</v>
      </c>
      <c r="AT356" t="s">
        <v>4958</v>
      </c>
      <c r="AU356" t="s">
        <v>3907</v>
      </c>
      <c r="AV356" t="s">
        <v>3908</v>
      </c>
      <c r="AW356" t="s">
        <v>3909</v>
      </c>
      <c r="AX356">
        <v>8</v>
      </c>
      <c r="AY356">
        <v>2</v>
      </c>
      <c r="AZ356" t="s">
        <v>3897</v>
      </c>
      <c r="BA356">
        <v>10</v>
      </c>
      <c r="BB356" t="s">
        <v>3898</v>
      </c>
      <c r="BC356">
        <v>3</v>
      </c>
      <c r="BD356">
        <v>5</v>
      </c>
      <c r="BE356" t="s">
        <v>3899</v>
      </c>
      <c r="BF356">
        <v>3</v>
      </c>
      <c r="BG356">
        <v>37</v>
      </c>
      <c r="BH356" t="s">
        <v>4007</v>
      </c>
      <c r="BI356" t="s">
        <v>4959</v>
      </c>
      <c r="BJ356">
        <v>1</v>
      </c>
      <c r="BK356" t="s">
        <v>3902</v>
      </c>
    </row>
    <row r="357" spans="1:63" x14ac:dyDescent="0.25">
      <c r="A357">
        <v>4310</v>
      </c>
      <c r="B357" t="str">
        <f>"20200128118017090667"</f>
        <v>20200128118017090667</v>
      </c>
      <c r="C357">
        <v>2</v>
      </c>
      <c r="D357">
        <v>1</v>
      </c>
      <c r="E357" t="s">
        <v>3886</v>
      </c>
      <c r="F357">
        <v>2</v>
      </c>
      <c r="G357">
        <v>0</v>
      </c>
      <c r="H357" t="s">
        <v>66</v>
      </c>
      <c r="I357">
        <v>0</v>
      </c>
      <c r="J357" t="s">
        <v>66</v>
      </c>
      <c r="K357">
        <v>1</v>
      </c>
      <c r="L357" t="s">
        <v>1627</v>
      </c>
      <c r="M357" t="s">
        <v>3915</v>
      </c>
      <c r="N357">
        <v>1</v>
      </c>
      <c r="O357" t="s">
        <v>1627</v>
      </c>
      <c r="P357" t="s">
        <v>4956</v>
      </c>
      <c r="Q357">
        <v>0</v>
      </c>
      <c r="R357" t="s">
        <v>66</v>
      </c>
      <c r="S357" t="s">
        <v>56</v>
      </c>
      <c r="T357" t="s">
        <v>56</v>
      </c>
      <c r="U357" t="s">
        <v>56</v>
      </c>
      <c r="V357" t="s">
        <v>56</v>
      </c>
      <c r="W357">
        <v>0</v>
      </c>
      <c r="X357" t="s">
        <v>66</v>
      </c>
      <c r="Y357" t="s">
        <v>56</v>
      </c>
      <c r="Z357">
        <v>0</v>
      </c>
      <c r="AA357" t="s">
        <v>66</v>
      </c>
      <c r="AB357" t="s">
        <v>56</v>
      </c>
      <c r="AC357">
        <v>0</v>
      </c>
      <c r="AD357" t="s">
        <v>66</v>
      </c>
      <c r="AE357" t="s">
        <v>56</v>
      </c>
      <c r="AF357">
        <v>0</v>
      </c>
      <c r="AG357" t="s">
        <v>66</v>
      </c>
      <c r="AH357" t="s">
        <v>56</v>
      </c>
      <c r="AI357">
        <v>1</v>
      </c>
      <c r="AJ357" t="s">
        <v>1627</v>
      </c>
      <c r="AK357" t="s">
        <v>56</v>
      </c>
      <c r="AL357" t="s">
        <v>56</v>
      </c>
      <c r="AM357" t="s">
        <v>56</v>
      </c>
      <c r="AN357" t="s">
        <v>56</v>
      </c>
      <c r="AO357" t="s">
        <v>4960</v>
      </c>
      <c r="AP357" t="s">
        <v>4058</v>
      </c>
      <c r="AQ357" t="s">
        <v>4059</v>
      </c>
      <c r="AR357">
        <v>503</v>
      </c>
      <c r="AS357" t="s">
        <v>4060</v>
      </c>
      <c r="AT357" t="s">
        <v>4961</v>
      </c>
      <c r="AU357" t="s">
        <v>3907</v>
      </c>
      <c r="AV357" t="s">
        <v>3908</v>
      </c>
      <c r="AW357" t="s">
        <v>3909</v>
      </c>
      <c r="AX357">
        <v>12</v>
      </c>
      <c r="AY357">
        <v>2</v>
      </c>
      <c r="AZ357" t="s">
        <v>3897</v>
      </c>
      <c r="BA357">
        <v>10</v>
      </c>
      <c r="BB357" t="s">
        <v>3898</v>
      </c>
      <c r="BC357">
        <v>3</v>
      </c>
      <c r="BD357">
        <v>5</v>
      </c>
      <c r="BE357" t="s">
        <v>3899</v>
      </c>
      <c r="BF357">
        <v>3</v>
      </c>
      <c r="BG357">
        <v>37</v>
      </c>
      <c r="BH357" t="s">
        <v>4007</v>
      </c>
      <c r="BI357" t="s">
        <v>4962</v>
      </c>
      <c r="BJ357">
        <v>1</v>
      </c>
      <c r="BK357" t="s">
        <v>3902</v>
      </c>
    </row>
    <row r="358" spans="1:63" x14ac:dyDescent="0.25">
      <c r="A358">
        <v>4311</v>
      </c>
      <c r="B358" t="str">
        <f>"20200128118017090667"</f>
        <v>20200128118017090667</v>
      </c>
      <c r="C358">
        <v>3</v>
      </c>
      <c r="D358">
        <v>1</v>
      </c>
      <c r="E358" t="s">
        <v>3886</v>
      </c>
      <c r="F358">
        <v>2</v>
      </c>
      <c r="G358">
        <v>0</v>
      </c>
      <c r="H358" t="s">
        <v>66</v>
      </c>
      <c r="I358">
        <v>0</v>
      </c>
      <c r="J358" t="s">
        <v>66</v>
      </c>
      <c r="K358">
        <v>1</v>
      </c>
      <c r="L358" t="s">
        <v>1627</v>
      </c>
      <c r="M358" t="s">
        <v>4963</v>
      </c>
      <c r="N358">
        <v>1</v>
      </c>
      <c r="O358" t="s">
        <v>1627</v>
      </c>
      <c r="P358" t="s">
        <v>4956</v>
      </c>
      <c r="Q358">
        <v>0</v>
      </c>
      <c r="R358" t="s">
        <v>66</v>
      </c>
      <c r="S358" t="s">
        <v>56</v>
      </c>
      <c r="T358" t="s">
        <v>56</v>
      </c>
      <c r="U358" t="s">
        <v>56</v>
      </c>
      <c r="V358" t="s">
        <v>56</v>
      </c>
      <c r="W358">
        <v>0</v>
      </c>
      <c r="X358" t="s">
        <v>66</v>
      </c>
      <c r="Y358" t="s">
        <v>56</v>
      </c>
      <c r="Z358">
        <v>0</v>
      </c>
      <c r="AA358" t="s">
        <v>66</v>
      </c>
      <c r="AB358" t="s">
        <v>56</v>
      </c>
      <c r="AC358">
        <v>0</v>
      </c>
      <c r="AD358" t="s">
        <v>66</v>
      </c>
      <c r="AE358" t="s">
        <v>56</v>
      </c>
      <c r="AF358">
        <v>0</v>
      </c>
      <c r="AG358" t="s">
        <v>66</v>
      </c>
      <c r="AH358" t="s">
        <v>56</v>
      </c>
      <c r="AI358">
        <v>1</v>
      </c>
      <c r="AJ358" t="s">
        <v>1627</v>
      </c>
      <c r="AK358" t="s">
        <v>56</v>
      </c>
      <c r="AL358" t="s">
        <v>56</v>
      </c>
      <c r="AM358" t="s">
        <v>56</v>
      </c>
      <c r="AN358" t="s">
        <v>56</v>
      </c>
      <c r="AO358" t="s">
        <v>4349</v>
      </c>
      <c r="AP358" t="s">
        <v>3962</v>
      </c>
      <c r="AQ358" t="s">
        <v>3963</v>
      </c>
      <c r="AR358" t="s">
        <v>3941</v>
      </c>
      <c r="AS358" t="s">
        <v>3942</v>
      </c>
      <c r="AT358" t="s">
        <v>4964</v>
      </c>
      <c r="AU358" t="s">
        <v>3944</v>
      </c>
      <c r="AV358" t="s">
        <v>3945</v>
      </c>
      <c r="AW358" t="s">
        <v>3946</v>
      </c>
      <c r="AX358">
        <v>1</v>
      </c>
      <c r="AY358">
        <v>3</v>
      </c>
      <c r="AZ358" t="s">
        <v>3911</v>
      </c>
      <c r="BA358">
        <v>10</v>
      </c>
      <c r="BB358" t="s">
        <v>3898</v>
      </c>
      <c r="BC358">
        <v>3</v>
      </c>
      <c r="BD358">
        <v>5</v>
      </c>
      <c r="BE358" t="s">
        <v>3899</v>
      </c>
      <c r="BF358">
        <v>90</v>
      </c>
      <c r="BG358">
        <v>66</v>
      </c>
      <c r="BH358" t="s">
        <v>3965</v>
      </c>
      <c r="BI358" t="s">
        <v>4965</v>
      </c>
      <c r="BJ358">
        <v>1</v>
      </c>
      <c r="BK358" t="s">
        <v>3902</v>
      </c>
    </row>
    <row r="359" spans="1:63" x14ac:dyDescent="0.25">
      <c r="A359">
        <v>4312</v>
      </c>
      <c r="B359" t="str">
        <f>"20200128120017091013"</f>
        <v>20200128120017091013</v>
      </c>
      <c r="C359">
        <v>1</v>
      </c>
      <c r="D359">
        <v>1</v>
      </c>
      <c r="E359" t="s">
        <v>3886</v>
      </c>
      <c r="F359">
        <v>2</v>
      </c>
      <c r="G359">
        <v>0</v>
      </c>
      <c r="H359" t="s">
        <v>66</v>
      </c>
      <c r="I359">
        <v>0</v>
      </c>
      <c r="J359" t="s">
        <v>66</v>
      </c>
      <c r="K359">
        <v>1</v>
      </c>
      <c r="L359" t="s">
        <v>1627</v>
      </c>
      <c r="M359" t="s">
        <v>3976</v>
      </c>
      <c r="N359">
        <v>1</v>
      </c>
      <c r="O359" t="s">
        <v>1627</v>
      </c>
      <c r="P359" t="s">
        <v>4966</v>
      </c>
      <c r="Q359">
        <v>0</v>
      </c>
      <c r="R359" t="s">
        <v>66</v>
      </c>
      <c r="S359" t="s">
        <v>56</v>
      </c>
      <c r="T359" t="s">
        <v>56</v>
      </c>
      <c r="U359" t="s">
        <v>56</v>
      </c>
      <c r="V359" t="s">
        <v>56</v>
      </c>
      <c r="W359">
        <v>0</v>
      </c>
      <c r="X359" t="s">
        <v>66</v>
      </c>
      <c r="Y359" t="s">
        <v>56</v>
      </c>
      <c r="Z359">
        <v>0</v>
      </c>
      <c r="AA359" t="s">
        <v>66</v>
      </c>
      <c r="AB359" t="s">
        <v>56</v>
      </c>
      <c r="AC359">
        <v>0</v>
      </c>
      <c r="AD359" t="s">
        <v>66</v>
      </c>
      <c r="AE359" t="s">
        <v>56</v>
      </c>
      <c r="AF359">
        <v>0</v>
      </c>
      <c r="AG359" t="s">
        <v>66</v>
      </c>
      <c r="AH359" t="s">
        <v>56</v>
      </c>
      <c r="AI359">
        <v>1</v>
      </c>
      <c r="AJ359" t="s">
        <v>1627</v>
      </c>
      <c r="AK359" t="s">
        <v>56</v>
      </c>
      <c r="AL359" t="s">
        <v>56</v>
      </c>
      <c r="AM359" t="s">
        <v>56</v>
      </c>
      <c r="AN359" t="s">
        <v>56</v>
      </c>
      <c r="AO359" t="s">
        <v>3978</v>
      </c>
      <c r="AP359" t="s">
        <v>3962</v>
      </c>
      <c r="AQ359" t="s">
        <v>3963</v>
      </c>
      <c r="AR359" t="s">
        <v>3941</v>
      </c>
      <c r="AS359" t="s">
        <v>3942</v>
      </c>
      <c r="AT359" t="s">
        <v>4967</v>
      </c>
      <c r="AU359" t="s">
        <v>3944</v>
      </c>
      <c r="AV359" t="s">
        <v>3945</v>
      </c>
      <c r="AW359" t="s">
        <v>3946</v>
      </c>
      <c r="AX359">
        <v>12</v>
      </c>
      <c r="AY359">
        <v>2</v>
      </c>
      <c r="AZ359" t="s">
        <v>3897</v>
      </c>
      <c r="BA359">
        <v>10</v>
      </c>
      <c r="BB359" t="s">
        <v>3898</v>
      </c>
      <c r="BC359">
        <v>3</v>
      </c>
      <c r="BD359">
        <v>5</v>
      </c>
      <c r="BE359" t="s">
        <v>3899</v>
      </c>
      <c r="BF359">
        <v>180</v>
      </c>
      <c r="BG359">
        <v>66</v>
      </c>
      <c r="BH359" t="s">
        <v>3965</v>
      </c>
      <c r="BI359" t="s">
        <v>3980</v>
      </c>
      <c r="BJ359">
        <v>1</v>
      </c>
      <c r="BK359" t="s">
        <v>3902</v>
      </c>
    </row>
    <row r="360" spans="1:63" x14ac:dyDescent="0.25">
      <c r="A360">
        <v>4313</v>
      </c>
      <c r="B360" t="str">
        <f>"20200128136017091413"</f>
        <v>20200128136017091413</v>
      </c>
      <c r="C360">
        <v>1</v>
      </c>
      <c r="D360">
        <v>1</v>
      </c>
      <c r="E360" t="s">
        <v>3886</v>
      </c>
      <c r="F360">
        <v>2</v>
      </c>
      <c r="G360">
        <v>0</v>
      </c>
      <c r="H360" t="s">
        <v>66</v>
      </c>
      <c r="I360">
        <v>0</v>
      </c>
      <c r="J360" t="s">
        <v>66</v>
      </c>
      <c r="K360">
        <v>1</v>
      </c>
      <c r="L360" t="s">
        <v>1627</v>
      </c>
      <c r="M360" t="s">
        <v>4968</v>
      </c>
      <c r="N360">
        <v>1</v>
      </c>
      <c r="O360" t="s">
        <v>1627</v>
      </c>
      <c r="P360" t="s">
        <v>4969</v>
      </c>
      <c r="Q360">
        <v>0</v>
      </c>
      <c r="R360" t="s">
        <v>66</v>
      </c>
      <c r="S360" t="s">
        <v>56</v>
      </c>
      <c r="T360" t="s">
        <v>56</v>
      </c>
      <c r="U360" t="s">
        <v>56</v>
      </c>
      <c r="V360" t="s">
        <v>56</v>
      </c>
      <c r="W360">
        <v>0</v>
      </c>
      <c r="X360" t="s">
        <v>66</v>
      </c>
      <c r="Y360" t="s">
        <v>56</v>
      </c>
      <c r="Z360">
        <v>0</v>
      </c>
      <c r="AA360" t="s">
        <v>66</v>
      </c>
      <c r="AB360" t="s">
        <v>56</v>
      </c>
      <c r="AC360">
        <v>0</v>
      </c>
      <c r="AD360" t="s">
        <v>66</v>
      </c>
      <c r="AE360" t="s">
        <v>56</v>
      </c>
      <c r="AF360">
        <v>0</v>
      </c>
      <c r="AG360" t="s">
        <v>66</v>
      </c>
      <c r="AH360" t="s">
        <v>56</v>
      </c>
      <c r="AI360">
        <v>1</v>
      </c>
      <c r="AJ360" t="s">
        <v>1627</v>
      </c>
      <c r="AK360" t="s">
        <v>56</v>
      </c>
      <c r="AL360" t="s">
        <v>56</v>
      </c>
      <c r="AM360" t="s">
        <v>56</v>
      </c>
      <c r="AN360" t="s">
        <v>56</v>
      </c>
      <c r="AO360" t="s">
        <v>4421</v>
      </c>
      <c r="AP360" t="s">
        <v>3889</v>
      </c>
      <c r="AQ360" t="s">
        <v>3890</v>
      </c>
      <c r="AR360" t="s">
        <v>3941</v>
      </c>
      <c r="AS360" t="s">
        <v>3942</v>
      </c>
      <c r="AT360" t="s">
        <v>4970</v>
      </c>
      <c r="AU360">
        <v>9000</v>
      </c>
      <c r="AV360" t="s">
        <v>3956</v>
      </c>
      <c r="AW360" t="s">
        <v>3956</v>
      </c>
      <c r="AX360">
        <v>24</v>
      </c>
      <c r="AY360">
        <v>2</v>
      </c>
      <c r="AZ360" t="s">
        <v>3897</v>
      </c>
      <c r="BA360">
        <v>6</v>
      </c>
      <c r="BB360" t="s">
        <v>4971</v>
      </c>
      <c r="BC360">
        <v>30</v>
      </c>
      <c r="BD360">
        <v>3</v>
      </c>
      <c r="BE360" t="s">
        <v>3911</v>
      </c>
      <c r="BF360">
        <v>30</v>
      </c>
      <c r="BG360">
        <v>13</v>
      </c>
      <c r="BH360" t="s">
        <v>3900</v>
      </c>
      <c r="BI360" t="s">
        <v>4972</v>
      </c>
      <c r="BJ360">
        <v>1</v>
      </c>
      <c r="BK360" t="s">
        <v>3902</v>
      </c>
    </row>
    <row r="361" spans="1:63" x14ac:dyDescent="0.25">
      <c r="A361">
        <v>4314</v>
      </c>
      <c r="B361" t="str">
        <f>"20200128181017091960"</f>
        <v>20200128181017091960</v>
      </c>
      <c r="C361">
        <v>1</v>
      </c>
      <c r="D361">
        <v>1</v>
      </c>
      <c r="E361" t="s">
        <v>3886</v>
      </c>
      <c r="F361">
        <v>1</v>
      </c>
      <c r="G361">
        <v>0</v>
      </c>
      <c r="H361" t="s">
        <v>66</v>
      </c>
      <c r="I361">
        <v>0</v>
      </c>
      <c r="J361" t="s">
        <v>66</v>
      </c>
      <c r="K361">
        <v>0</v>
      </c>
      <c r="L361" t="s">
        <v>66</v>
      </c>
      <c r="M361" t="s">
        <v>56</v>
      </c>
      <c r="N361">
        <v>0</v>
      </c>
      <c r="O361" t="s">
        <v>66</v>
      </c>
      <c r="P361" t="s">
        <v>56</v>
      </c>
      <c r="Q361">
        <v>0</v>
      </c>
      <c r="R361" t="s">
        <v>66</v>
      </c>
      <c r="S361" t="s">
        <v>56</v>
      </c>
      <c r="T361">
        <v>1</v>
      </c>
      <c r="U361" t="s">
        <v>1627</v>
      </c>
      <c r="V361" t="s">
        <v>56</v>
      </c>
      <c r="W361">
        <v>0</v>
      </c>
      <c r="X361" t="s">
        <v>66</v>
      </c>
      <c r="Y361" t="s">
        <v>56</v>
      </c>
      <c r="Z361">
        <v>0</v>
      </c>
      <c r="AA361" t="s">
        <v>66</v>
      </c>
      <c r="AB361" t="s">
        <v>56</v>
      </c>
      <c r="AC361">
        <v>1</v>
      </c>
      <c r="AD361" t="s">
        <v>1627</v>
      </c>
      <c r="AE361" t="s">
        <v>3887</v>
      </c>
      <c r="AF361">
        <v>0</v>
      </c>
      <c r="AG361" t="s">
        <v>66</v>
      </c>
      <c r="AH361" t="s">
        <v>56</v>
      </c>
      <c r="AI361">
        <v>1</v>
      </c>
      <c r="AJ361" t="s">
        <v>1627</v>
      </c>
      <c r="AK361" t="s">
        <v>56</v>
      </c>
      <c r="AL361" t="s">
        <v>56</v>
      </c>
      <c r="AM361" t="s">
        <v>56</v>
      </c>
      <c r="AN361" t="s">
        <v>56</v>
      </c>
      <c r="AO361" t="s">
        <v>3985</v>
      </c>
      <c r="AP361" t="s">
        <v>3962</v>
      </c>
      <c r="AQ361" t="s">
        <v>3963</v>
      </c>
      <c r="AR361" t="s">
        <v>3941</v>
      </c>
      <c r="AS361" t="s">
        <v>3942</v>
      </c>
      <c r="AT361" t="s">
        <v>4973</v>
      </c>
      <c r="AU361" t="s">
        <v>3944</v>
      </c>
      <c r="AV361" t="s">
        <v>3945</v>
      </c>
      <c r="AW361" t="s">
        <v>3946</v>
      </c>
      <c r="AX361">
        <v>24</v>
      </c>
      <c r="AY361">
        <v>2</v>
      </c>
      <c r="AZ361" t="s">
        <v>3897</v>
      </c>
      <c r="BA361">
        <v>10</v>
      </c>
      <c r="BB361" t="s">
        <v>3898</v>
      </c>
      <c r="BC361">
        <v>3</v>
      </c>
      <c r="BD361">
        <v>5</v>
      </c>
      <c r="BE361" t="s">
        <v>3899</v>
      </c>
      <c r="BF361">
        <v>90</v>
      </c>
      <c r="BG361">
        <v>66</v>
      </c>
      <c r="BH361" t="s">
        <v>3965</v>
      </c>
      <c r="BI361" t="s">
        <v>4974</v>
      </c>
      <c r="BJ361">
        <v>1</v>
      </c>
      <c r="BK361" t="s">
        <v>3902</v>
      </c>
    </row>
    <row r="362" spans="1:63" x14ac:dyDescent="0.25">
      <c r="A362">
        <v>4315</v>
      </c>
      <c r="B362" t="str">
        <f>"20200128163017091997"</f>
        <v>20200128163017091997</v>
      </c>
      <c r="C362">
        <v>1</v>
      </c>
      <c r="D362">
        <v>1</v>
      </c>
      <c r="E362" t="s">
        <v>3886</v>
      </c>
      <c r="F362">
        <v>2</v>
      </c>
      <c r="G362">
        <v>0</v>
      </c>
      <c r="H362" t="s">
        <v>66</v>
      </c>
      <c r="I362">
        <v>0</v>
      </c>
      <c r="J362" t="s">
        <v>66</v>
      </c>
      <c r="K362">
        <v>1</v>
      </c>
      <c r="L362" t="s">
        <v>1627</v>
      </c>
      <c r="M362" t="s">
        <v>4063</v>
      </c>
      <c r="N362">
        <v>1</v>
      </c>
      <c r="O362" t="s">
        <v>1627</v>
      </c>
      <c r="P362" t="s">
        <v>4975</v>
      </c>
      <c r="Q362">
        <v>0</v>
      </c>
      <c r="R362" t="s">
        <v>66</v>
      </c>
      <c r="S362" t="s">
        <v>56</v>
      </c>
      <c r="T362" t="s">
        <v>56</v>
      </c>
      <c r="U362" t="s">
        <v>56</v>
      </c>
      <c r="V362" t="s">
        <v>56</v>
      </c>
      <c r="W362">
        <v>0</v>
      </c>
      <c r="X362" t="s">
        <v>66</v>
      </c>
      <c r="Y362" t="s">
        <v>56</v>
      </c>
      <c r="Z362">
        <v>0</v>
      </c>
      <c r="AA362" t="s">
        <v>66</v>
      </c>
      <c r="AB362" t="s">
        <v>56</v>
      </c>
      <c r="AC362">
        <v>0</v>
      </c>
      <c r="AD362" t="s">
        <v>66</v>
      </c>
      <c r="AE362" t="s">
        <v>56</v>
      </c>
      <c r="AF362">
        <v>0</v>
      </c>
      <c r="AG362" t="s">
        <v>66</v>
      </c>
      <c r="AH362" t="s">
        <v>56</v>
      </c>
      <c r="AI362">
        <v>1</v>
      </c>
      <c r="AJ362" t="s">
        <v>1627</v>
      </c>
      <c r="AK362" t="s">
        <v>56</v>
      </c>
      <c r="AL362" t="s">
        <v>56</v>
      </c>
      <c r="AM362" t="s">
        <v>56</v>
      </c>
      <c r="AN362" t="s">
        <v>56</v>
      </c>
      <c r="AO362" t="s">
        <v>4976</v>
      </c>
      <c r="AP362" t="s">
        <v>3962</v>
      </c>
      <c r="AQ362" t="s">
        <v>3963</v>
      </c>
      <c r="AR362" t="s">
        <v>3941</v>
      </c>
      <c r="AS362" t="s">
        <v>3942</v>
      </c>
      <c r="AT362" t="s">
        <v>4977</v>
      </c>
      <c r="AU362">
        <v>9000</v>
      </c>
      <c r="AV362" t="s">
        <v>3956</v>
      </c>
      <c r="AW362" t="s">
        <v>3956</v>
      </c>
      <c r="AX362">
        <v>24</v>
      </c>
      <c r="AY362">
        <v>2</v>
      </c>
      <c r="AZ362" t="s">
        <v>3897</v>
      </c>
      <c r="BA362">
        <v>9</v>
      </c>
      <c r="BB362" t="s">
        <v>4170</v>
      </c>
      <c r="BC362">
        <v>90</v>
      </c>
      <c r="BD362">
        <v>3</v>
      </c>
      <c r="BE362" t="s">
        <v>3911</v>
      </c>
      <c r="BF362">
        <v>90</v>
      </c>
      <c r="BG362">
        <v>66</v>
      </c>
      <c r="BH362" t="s">
        <v>3965</v>
      </c>
      <c r="BI362" t="s">
        <v>4978</v>
      </c>
      <c r="BJ362">
        <v>1</v>
      </c>
      <c r="BK362" t="s">
        <v>3902</v>
      </c>
    </row>
    <row r="363" spans="1:63" x14ac:dyDescent="0.25">
      <c r="A363">
        <v>4316</v>
      </c>
      <c r="B363" t="str">
        <f>"20200128112017092023"</f>
        <v>20200128112017092023</v>
      </c>
      <c r="C363">
        <v>1</v>
      </c>
      <c r="D363">
        <v>1</v>
      </c>
      <c r="E363" t="s">
        <v>3886</v>
      </c>
      <c r="F363">
        <v>2</v>
      </c>
      <c r="G363">
        <v>0</v>
      </c>
      <c r="H363" t="s">
        <v>66</v>
      </c>
      <c r="I363">
        <v>0</v>
      </c>
      <c r="J363" t="s">
        <v>66</v>
      </c>
      <c r="K363">
        <v>0</v>
      </c>
      <c r="L363" t="s">
        <v>66</v>
      </c>
      <c r="M363" t="s">
        <v>56</v>
      </c>
      <c r="N363">
        <v>0</v>
      </c>
      <c r="O363" t="s">
        <v>66</v>
      </c>
      <c r="P363" t="s">
        <v>56</v>
      </c>
      <c r="Q363">
        <v>0</v>
      </c>
      <c r="R363" t="s">
        <v>66</v>
      </c>
      <c r="S363" t="s">
        <v>56</v>
      </c>
      <c r="T363">
        <v>1</v>
      </c>
      <c r="U363" t="s">
        <v>1627</v>
      </c>
      <c r="V363" t="s">
        <v>56</v>
      </c>
      <c r="W363">
        <v>0</v>
      </c>
      <c r="X363" t="s">
        <v>66</v>
      </c>
      <c r="Y363" t="s">
        <v>56</v>
      </c>
      <c r="Z363">
        <v>0</v>
      </c>
      <c r="AA363" t="s">
        <v>66</v>
      </c>
      <c r="AB363" t="s">
        <v>56</v>
      </c>
      <c r="AC363">
        <v>1</v>
      </c>
      <c r="AD363" t="s">
        <v>1627</v>
      </c>
      <c r="AE363" t="s">
        <v>3887</v>
      </c>
      <c r="AF363">
        <v>0</v>
      </c>
      <c r="AG363" t="s">
        <v>66</v>
      </c>
      <c r="AH363" t="s">
        <v>56</v>
      </c>
      <c r="AI363">
        <v>1</v>
      </c>
      <c r="AJ363" t="s">
        <v>1627</v>
      </c>
      <c r="AK363" t="s">
        <v>56</v>
      </c>
      <c r="AL363" t="s">
        <v>56</v>
      </c>
      <c r="AM363" t="s">
        <v>56</v>
      </c>
      <c r="AN363" t="s">
        <v>56</v>
      </c>
      <c r="AO363" t="s">
        <v>4086</v>
      </c>
      <c r="AP363" t="s">
        <v>3939</v>
      </c>
      <c r="AQ363" t="s">
        <v>3940</v>
      </c>
      <c r="AR363" t="s">
        <v>3920</v>
      </c>
      <c r="AS363" t="s">
        <v>3921</v>
      </c>
      <c r="AT363" t="s">
        <v>4979</v>
      </c>
      <c r="AU363">
        <v>9000</v>
      </c>
      <c r="AV363" t="s">
        <v>3956</v>
      </c>
      <c r="AW363" t="s">
        <v>3956</v>
      </c>
      <c r="AX363">
        <v>24</v>
      </c>
      <c r="AY363">
        <v>2</v>
      </c>
      <c r="AZ363" t="s">
        <v>3897</v>
      </c>
      <c r="BA363">
        <v>10</v>
      </c>
      <c r="BB363" t="s">
        <v>3898</v>
      </c>
      <c r="BC363">
        <v>90</v>
      </c>
      <c r="BD363">
        <v>3</v>
      </c>
      <c r="BE363" t="s">
        <v>3911</v>
      </c>
      <c r="BF363">
        <v>90</v>
      </c>
      <c r="BG363">
        <v>14</v>
      </c>
      <c r="BH363" t="s">
        <v>3947</v>
      </c>
      <c r="BI363" t="s">
        <v>4980</v>
      </c>
      <c r="BJ363">
        <v>1</v>
      </c>
      <c r="BK363" t="s">
        <v>3902</v>
      </c>
    </row>
    <row r="364" spans="1:63" x14ac:dyDescent="0.25">
      <c r="A364">
        <v>4317</v>
      </c>
      <c r="B364" t="str">
        <f>"20200128112017092023"</f>
        <v>20200128112017092023</v>
      </c>
      <c r="C364">
        <v>2</v>
      </c>
      <c r="D364">
        <v>1</v>
      </c>
      <c r="E364" t="s">
        <v>3886</v>
      </c>
      <c r="F364">
        <v>2</v>
      </c>
      <c r="G364">
        <v>0</v>
      </c>
      <c r="H364" t="s">
        <v>66</v>
      </c>
      <c r="I364">
        <v>0</v>
      </c>
      <c r="J364" t="s">
        <v>66</v>
      </c>
      <c r="K364">
        <v>0</v>
      </c>
      <c r="L364" t="s">
        <v>66</v>
      </c>
      <c r="M364" t="s">
        <v>56</v>
      </c>
      <c r="N364">
        <v>0</v>
      </c>
      <c r="O364" t="s">
        <v>66</v>
      </c>
      <c r="P364" t="s">
        <v>56</v>
      </c>
      <c r="Q364">
        <v>0</v>
      </c>
      <c r="R364" t="s">
        <v>66</v>
      </c>
      <c r="S364" t="s">
        <v>56</v>
      </c>
      <c r="T364">
        <v>1</v>
      </c>
      <c r="U364" t="s">
        <v>1627</v>
      </c>
      <c r="V364" t="s">
        <v>56</v>
      </c>
      <c r="W364">
        <v>0</v>
      </c>
      <c r="X364" t="s">
        <v>66</v>
      </c>
      <c r="Y364" t="s">
        <v>56</v>
      </c>
      <c r="Z364">
        <v>0</v>
      </c>
      <c r="AA364" t="s">
        <v>66</v>
      </c>
      <c r="AB364" t="s">
        <v>56</v>
      </c>
      <c r="AC364">
        <v>1</v>
      </c>
      <c r="AD364" t="s">
        <v>1627</v>
      </c>
      <c r="AE364" t="s">
        <v>3887</v>
      </c>
      <c r="AF364">
        <v>0</v>
      </c>
      <c r="AG364" t="s">
        <v>66</v>
      </c>
      <c r="AH364" t="s">
        <v>56</v>
      </c>
      <c r="AI364">
        <v>1</v>
      </c>
      <c r="AJ364" t="s">
        <v>1627</v>
      </c>
      <c r="AK364" t="s">
        <v>56</v>
      </c>
      <c r="AL364" t="s">
        <v>56</v>
      </c>
      <c r="AM364" t="s">
        <v>56</v>
      </c>
      <c r="AN364" t="s">
        <v>56</v>
      </c>
      <c r="AO364" t="s">
        <v>4737</v>
      </c>
      <c r="AP364" t="s">
        <v>4330</v>
      </c>
      <c r="AQ364" t="s">
        <v>4331</v>
      </c>
      <c r="AR364" t="s">
        <v>3941</v>
      </c>
      <c r="AS364" t="s">
        <v>3942</v>
      </c>
      <c r="AT364" t="s">
        <v>4981</v>
      </c>
      <c r="AU364" t="s">
        <v>3944</v>
      </c>
      <c r="AV364" t="s">
        <v>3945</v>
      </c>
      <c r="AW364" t="s">
        <v>3946</v>
      </c>
      <c r="AX364">
        <v>12</v>
      </c>
      <c r="AY364">
        <v>2</v>
      </c>
      <c r="AZ364" t="s">
        <v>3897</v>
      </c>
      <c r="BA364">
        <v>10</v>
      </c>
      <c r="BB364" t="s">
        <v>3898</v>
      </c>
      <c r="BC364">
        <v>90</v>
      </c>
      <c r="BD364">
        <v>3</v>
      </c>
      <c r="BE364" t="s">
        <v>3911</v>
      </c>
      <c r="BF364">
        <v>180</v>
      </c>
      <c r="BG364">
        <v>78</v>
      </c>
      <c r="BH364" t="s">
        <v>4333</v>
      </c>
      <c r="BI364" t="s">
        <v>4982</v>
      </c>
      <c r="BJ364">
        <v>1</v>
      </c>
      <c r="BK364" t="s">
        <v>3902</v>
      </c>
    </row>
    <row r="365" spans="1:63" x14ac:dyDescent="0.25">
      <c r="A365">
        <v>4318</v>
      </c>
      <c r="B365" t="str">
        <f>"20200128136017092312"</f>
        <v>20200128136017092312</v>
      </c>
      <c r="C365">
        <v>1</v>
      </c>
      <c r="D365">
        <v>1</v>
      </c>
      <c r="E365" t="s">
        <v>3886</v>
      </c>
      <c r="F365">
        <v>2</v>
      </c>
      <c r="G365">
        <v>0</v>
      </c>
      <c r="H365" t="s">
        <v>66</v>
      </c>
      <c r="I365">
        <v>0</v>
      </c>
      <c r="J365" t="s">
        <v>66</v>
      </c>
      <c r="K365">
        <v>0</v>
      </c>
      <c r="L365" t="s">
        <v>66</v>
      </c>
      <c r="M365" t="s">
        <v>56</v>
      </c>
      <c r="N365">
        <v>0</v>
      </c>
      <c r="O365" t="s">
        <v>66</v>
      </c>
      <c r="P365" t="s">
        <v>56</v>
      </c>
      <c r="Q365">
        <v>0</v>
      </c>
      <c r="R365" t="s">
        <v>66</v>
      </c>
      <c r="S365" t="s">
        <v>56</v>
      </c>
      <c r="T365">
        <v>1</v>
      </c>
      <c r="U365" t="s">
        <v>1627</v>
      </c>
      <c r="V365" t="s">
        <v>56</v>
      </c>
      <c r="W365">
        <v>0</v>
      </c>
      <c r="X365" t="s">
        <v>66</v>
      </c>
      <c r="Y365" t="s">
        <v>56</v>
      </c>
      <c r="Z365">
        <v>0</v>
      </c>
      <c r="AA365" t="s">
        <v>66</v>
      </c>
      <c r="AB365" t="s">
        <v>56</v>
      </c>
      <c r="AC365">
        <v>1</v>
      </c>
      <c r="AD365" t="s">
        <v>1627</v>
      </c>
      <c r="AE365" t="s">
        <v>3887</v>
      </c>
      <c r="AF365">
        <v>0</v>
      </c>
      <c r="AG365" t="s">
        <v>66</v>
      </c>
      <c r="AH365" t="s">
        <v>56</v>
      </c>
      <c r="AI365">
        <v>1</v>
      </c>
      <c r="AJ365" t="s">
        <v>1627</v>
      </c>
      <c r="AK365" t="s">
        <v>56</v>
      </c>
      <c r="AL365" t="s">
        <v>56</v>
      </c>
      <c r="AM365" t="s">
        <v>56</v>
      </c>
      <c r="AN365" t="s">
        <v>56</v>
      </c>
      <c r="AO365" t="s">
        <v>3888</v>
      </c>
      <c r="AP365" t="s">
        <v>3889</v>
      </c>
      <c r="AQ365" t="s">
        <v>3890</v>
      </c>
      <c r="AR365" t="s">
        <v>3891</v>
      </c>
      <c r="AS365" t="s">
        <v>3892</v>
      </c>
      <c r="AT365" t="s">
        <v>4047</v>
      </c>
      <c r="AU365" t="s">
        <v>3894</v>
      </c>
      <c r="AV365" t="s">
        <v>3895</v>
      </c>
      <c r="AW365" t="s">
        <v>3896</v>
      </c>
      <c r="AX365">
        <v>8</v>
      </c>
      <c r="AY365">
        <v>2</v>
      </c>
      <c r="AZ365" t="s">
        <v>3897</v>
      </c>
      <c r="BA365">
        <v>10</v>
      </c>
      <c r="BB365" t="s">
        <v>3898</v>
      </c>
      <c r="BC365">
        <v>3</v>
      </c>
      <c r="BD365">
        <v>5</v>
      </c>
      <c r="BE365" t="s">
        <v>3899</v>
      </c>
      <c r="BF365">
        <v>3</v>
      </c>
      <c r="BG365">
        <v>13</v>
      </c>
      <c r="BH365" t="s">
        <v>3900</v>
      </c>
      <c r="BI365" t="s">
        <v>4983</v>
      </c>
      <c r="BJ365">
        <v>1</v>
      </c>
      <c r="BK365" t="s">
        <v>3902</v>
      </c>
    </row>
    <row r="366" spans="1:63" x14ac:dyDescent="0.25">
      <c r="A366">
        <v>4319</v>
      </c>
      <c r="B366" t="str">
        <f>"20200128159017092579"</f>
        <v>20200128159017092579</v>
      </c>
      <c r="C366">
        <v>1</v>
      </c>
      <c r="D366">
        <v>1</v>
      </c>
      <c r="E366" t="s">
        <v>3886</v>
      </c>
      <c r="F366">
        <v>2</v>
      </c>
      <c r="G366">
        <v>0</v>
      </c>
      <c r="H366" t="s">
        <v>66</v>
      </c>
      <c r="I366">
        <v>0</v>
      </c>
      <c r="J366" t="s">
        <v>66</v>
      </c>
      <c r="K366">
        <v>0</v>
      </c>
      <c r="L366" t="s">
        <v>66</v>
      </c>
      <c r="M366" t="s">
        <v>56</v>
      </c>
      <c r="N366">
        <v>0</v>
      </c>
      <c r="O366" t="s">
        <v>66</v>
      </c>
      <c r="P366" t="s">
        <v>56</v>
      </c>
      <c r="Q366">
        <v>0</v>
      </c>
      <c r="R366" t="s">
        <v>66</v>
      </c>
      <c r="S366" t="s">
        <v>56</v>
      </c>
      <c r="T366">
        <v>1</v>
      </c>
      <c r="U366" t="s">
        <v>1627</v>
      </c>
      <c r="V366" t="s">
        <v>56</v>
      </c>
      <c r="W366">
        <v>0</v>
      </c>
      <c r="X366" t="s">
        <v>66</v>
      </c>
      <c r="Y366" t="s">
        <v>56</v>
      </c>
      <c r="Z366">
        <v>0</v>
      </c>
      <c r="AA366" t="s">
        <v>66</v>
      </c>
      <c r="AB366" t="s">
        <v>56</v>
      </c>
      <c r="AC366">
        <v>1</v>
      </c>
      <c r="AD366" t="s">
        <v>1627</v>
      </c>
      <c r="AE366" t="s">
        <v>3887</v>
      </c>
      <c r="AF366">
        <v>0</v>
      </c>
      <c r="AG366" t="s">
        <v>66</v>
      </c>
      <c r="AH366" t="s">
        <v>56</v>
      </c>
      <c r="AI366">
        <v>1</v>
      </c>
      <c r="AJ366" t="s">
        <v>1627</v>
      </c>
      <c r="AK366" t="s">
        <v>56</v>
      </c>
      <c r="AL366" t="s">
        <v>56</v>
      </c>
      <c r="AM366" t="s">
        <v>56</v>
      </c>
      <c r="AN366" t="s">
        <v>56</v>
      </c>
      <c r="AO366" t="s">
        <v>4984</v>
      </c>
      <c r="AP366" t="s">
        <v>3939</v>
      </c>
      <c r="AQ366" t="s">
        <v>3940</v>
      </c>
      <c r="AR366" t="s">
        <v>3920</v>
      </c>
      <c r="AS366" t="s">
        <v>3921</v>
      </c>
      <c r="AT366" t="s">
        <v>4985</v>
      </c>
      <c r="AU366">
        <v>9000</v>
      </c>
      <c r="AV366" t="s">
        <v>3956</v>
      </c>
      <c r="AW366" t="s">
        <v>3956</v>
      </c>
      <c r="AX366">
        <v>12</v>
      </c>
      <c r="AY366">
        <v>2</v>
      </c>
      <c r="AZ366" t="s">
        <v>3897</v>
      </c>
      <c r="BA366">
        <v>10</v>
      </c>
      <c r="BB366" t="s">
        <v>3898</v>
      </c>
      <c r="BC366">
        <v>90</v>
      </c>
      <c r="BD366">
        <v>3</v>
      </c>
      <c r="BE366" t="s">
        <v>3911</v>
      </c>
      <c r="BF366">
        <v>180</v>
      </c>
      <c r="BG366">
        <v>14</v>
      </c>
      <c r="BH366" t="s">
        <v>3947</v>
      </c>
      <c r="BI366" t="s">
        <v>4986</v>
      </c>
      <c r="BJ366">
        <v>1</v>
      </c>
      <c r="BK366" t="s">
        <v>3902</v>
      </c>
    </row>
    <row r="367" spans="1:63" x14ac:dyDescent="0.25">
      <c r="A367">
        <v>4320</v>
      </c>
      <c r="B367" t="str">
        <f>"20200128112017093006"</f>
        <v>20200128112017093006</v>
      </c>
      <c r="C367">
        <v>1</v>
      </c>
      <c r="D367">
        <v>1</v>
      </c>
      <c r="E367" t="s">
        <v>3886</v>
      </c>
      <c r="F367">
        <v>2</v>
      </c>
      <c r="G367">
        <v>0</v>
      </c>
      <c r="H367" t="s">
        <v>66</v>
      </c>
      <c r="I367">
        <v>0</v>
      </c>
      <c r="J367" t="s">
        <v>66</v>
      </c>
      <c r="K367">
        <v>1</v>
      </c>
      <c r="L367" t="s">
        <v>1627</v>
      </c>
      <c r="M367" t="s">
        <v>4963</v>
      </c>
      <c r="N367">
        <v>1</v>
      </c>
      <c r="O367" t="s">
        <v>1627</v>
      </c>
      <c r="P367" t="s">
        <v>4956</v>
      </c>
      <c r="Q367">
        <v>0</v>
      </c>
      <c r="R367" t="s">
        <v>66</v>
      </c>
      <c r="S367" t="s">
        <v>56</v>
      </c>
      <c r="T367" t="s">
        <v>56</v>
      </c>
      <c r="U367" t="s">
        <v>56</v>
      </c>
      <c r="V367" t="s">
        <v>56</v>
      </c>
      <c r="W367">
        <v>0</v>
      </c>
      <c r="X367" t="s">
        <v>66</v>
      </c>
      <c r="Y367" t="s">
        <v>56</v>
      </c>
      <c r="Z367">
        <v>0</v>
      </c>
      <c r="AA367" t="s">
        <v>66</v>
      </c>
      <c r="AB367" t="s">
        <v>56</v>
      </c>
      <c r="AC367">
        <v>0</v>
      </c>
      <c r="AD367" t="s">
        <v>66</v>
      </c>
      <c r="AE367" t="s">
        <v>56</v>
      </c>
      <c r="AF367">
        <v>0</v>
      </c>
      <c r="AG367" t="s">
        <v>66</v>
      </c>
      <c r="AH367" t="s">
        <v>56</v>
      </c>
      <c r="AI367">
        <v>1</v>
      </c>
      <c r="AJ367" t="s">
        <v>1627</v>
      </c>
      <c r="AK367" t="s">
        <v>56</v>
      </c>
      <c r="AL367" t="s">
        <v>56</v>
      </c>
      <c r="AM367" t="s">
        <v>56</v>
      </c>
      <c r="AN367" t="s">
        <v>56</v>
      </c>
      <c r="AO367" t="s">
        <v>4987</v>
      </c>
      <c r="AP367" t="s">
        <v>3962</v>
      </c>
      <c r="AQ367" t="s">
        <v>3963</v>
      </c>
      <c r="AR367" t="s">
        <v>3941</v>
      </c>
      <c r="AS367" t="s">
        <v>3942</v>
      </c>
      <c r="AT367" t="s">
        <v>4988</v>
      </c>
      <c r="AU367" t="s">
        <v>3944</v>
      </c>
      <c r="AV367" t="s">
        <v>3945</v>
      </c>
      <c r="AW367" t="s">
        <v>3946</v>
      </c>
      <c r="AX367">
        <v>12</v>
      </c>
      <c r="AY367">
        <v>2</v>
      </c>
      <c r="AZ367" t="s">
        <v>3897</v>
      </c>
      <c r="BA367">
        <v>10</v>
      </c>
      <c r="BB367" t="s">
        <v>3898</v>
      </c>
      <c r="BC367">
        <v>1</v>
      </c>
      <c r="BD367">
        <v>5</v>
      </c>
      <c r="BE367" t="s">
        <v>3899</v>
      </c>
      <c r="BF367">
        <v>60</v>
      </c>
      <c r="BG367">
        <v>66</v>
      </c>
      <c r="BH367" t="s">
        <v>3965</v>
      </c>
      <c r="BI367" t="s">
        <v>4989</v>
      </c>
      <c r="BJ367">
        <v>1</v>
      </c>
      <c r="BK367" t="s">
        <v>3902</v>
      </c>
    </row>
    <row r="368" spans="1:63" x14ac:dyDescent="0.25">
      <c r="A368">
        <v>4321</v>
      </c>
      <c r="B368" t="str">
        <f>"20200128112017093006"</f>
        <v>20200128112017093006</v>
      </c>
      <c r="C368">
        <v>2</v>
      </c>
      <c r="D368">
        <v>1</v>
      </c>
      <c r="E368" t="s">
        <v>3886</v>
      </c>
      <c r="F368">
        <v>2</v>
      </c>
      <c r="G368">
        <v>0</v>
      </c>
      <c r="H368" t="s">
        <v>66</v>
      </c>
      <c r="I368">
        <v>0</v>
      </c>
      <c r="J368" t="s">
        <v>66</v>
      </c>
      <c r="K368">
        <v>1</v>
      </c>
      <c r="L368" t="s">
        <v>1627</v>
      </c>
      <c r="M368" t="s">
        <v>4729</v>
      </c>
      <c r="N368">
        <v>1</v>
      </c>
      <c r="O368" t="s">
        <v>1627</v>
      </c>
      <c r="P368" t="s">
        <v>4956</v>
      </c>
      <c r="Q368">
        <v>0</v>
      </c>
      <c r="R368" t="s">
        <v>66</v>
      </c>
      <c r="S368" t="s">
        <v>56</v>
      </c>
      <c r="T368" t="s">
        <v>56</v>
      </c>
      <c r="U368" t="s">
        <v>56</v>
      </c>
      <c r="V368" t="s">
        <v>56</v>
      </c>
      <c r="W368">
        <v>0</v>
      </c>
      <c r="X368" t="s">
        <v>66</v>
      </c>
      <c r="Y368" t="s">
        <v>56</v>
      </c>
      <c r="Z368">
        <v>0</v>
      </c>
      <c r="AA368" t="s">
        <v>66</v>
      </c>
      <c r="AB368" t="s">
        <v>56</v>
      </c>
      <c r="AC368">
        <v>0</v>
      </c>
      <c r="AD368" t="s">
        <v>66</v>
      </c>
      <c r="AE368" t="s">
        <v>56</v>
      </c>
      <c r="AF368">
        <v>0</v>
      </c>
      <c r="AG368" t="s">
        <v>66</v>
      </c>
      <c r="AH368" t="s">
        <v>56</v>
      </c>
      <c r="AI368">
        <v>1</v>
      </c>
      <c r="AJ368" t="s">
        <v>1627</v>
      </c>
      <c r="AK368" t="s">
        <v>56</v>
      </c>
      <c r="AL368" t="s">
        <v>56</v>
      </c>
      <c r="AM368" t="s">
        <v>56</v>
      </c>
      <c r="AN368" t="s">
        <v>56</v>
      </c>
      <c r="AO368" t="s">
        <v>4731</v>
      </c>
      <c r="AP368" t="s">
        <v>4069</v>
      </c>
      <c r="AQ368" t="s">
        <v>4070</v>
      </c>
      <c r="AR368" t="s">
        <v>4071</v>
      </c>
      <c r="AS368" t="s">
        <v>4072</v>
      </c>
      <c r="AT368" t="s">
        <v>4990</v>
      </c>
      <c r="AU368" t="s">
        <v>3929</v>
      </c>
      <c r="AV368" t="s">
        <v>3930</v>
      </c>
      <c r="AW368" t="s">
        <v>3931</v>
      </c>
      <c r="AX368">
        <v>12</v>
      </c>
      <c r="AY368">
        <v>2</v>
      </c>
      <c r="AZ368" t="s">
        <v>3897</v>
      </c>
      <c r="BA368">
        <v>10</v>
      </c>
      <c r="BB368" t="s">
        <v>3898</v>
      </c>
      <c r="BC368">
        <v>1</v>
      </c>
      <c r="BD368">
        <v>5</v>
      </c>
      <c r="BE368" t="s">
        <v>3899</v>
      </c>
      <c r="BF368">
        <v>2</v>
      </c>
      <c r="BG368">
        <v>73</v>
      </c>
      <c r="BH368" t="s">
        <v>3999</v>
      </c>
      <c r="BI368" t="s">
        <v>4991</v>
      </c>
      <c r="BJ368">
        <v>1</v>
      </c>
      <c r="BK368" t="s">
        <v>3902</v>
      </c>
    </row>
    <row r="369" spans="1:63" x14ac:dyDescent="0.25">
      <c r="A369">
        <v>4322</v>
      </c>
      <c r="B369" t="str">
        <f>"20200128112017093006"</f>
        <v>20200128112017093006</v>
      </c>
      <c r="C369">
        <v>3</v>
      </c>
      <c r="D369">
        <v>1</v>
      </c>
      <c r="E369" t="s">
        <v>3886</v>
      </c>
      <c r="F369">
        <v>2</v>
      </c>
      <c r="G369">
        <v>0</v>
      </c>
      <c r="H369" t="s">
        <v>66</v>
      </c>
      <c r="I369">
        <v>0</v>
      </c>
      <c r="J369" t="s">
        <v>66</v>
      </c>
      <c r="K369">
        <v>1</v>
      </c>
      <c r="L369" t="s">
        <v>1627</v>
      </c>
      <c r="M369" t="s">
        <v>4992</v>
      </c>
      <c r="N369">
        <v>1</v>
      </c>
      <c r="O369" t="s">
        <v>1627</v>
      </c>
      <c r="P369" t="s">
        <v>4956</v>
      </c>
      <c r="Q369">
        <v>0</v>
      </c>
      <c r="R369" t="s">
        <v>66</v>
      </c>
      <c r="S369" t="s">
        <v>56</v>
      </c>
      <c r="T369" t="s">
        <v>56</v>
      </c>
      <c r="U369" t="s">
        <v>56</v>
      </c>
      <c r="V369" t="s">
        <v>56</v>
      </c>
      <c r="W369">
        <v>0</v>
      </c>
      <c r="X369" t="s">
        <v>66</v>
      </c>
      <c r="Y369" t="s">
        <v>56</v>
      </c>
      <c r="Z369">
        <v>0</v>
      </c>
      <c r="AA369" t="s">
        <v>66</v>
      </c>
      <c r="AB369" t="s">
        <v>56</v>
      </c>
      <c r="AC369">
        <v>0</v>
      </c>
      <c r="AD369" t="s">
        <v>66</v>
      </c>
      <c r="AE369" t="s">
        <v>56</v>
      </c>
      <c r="AF369">
        <v>0</v>
      </c>
      <c r="AG369" t="s">
        <v>66</v>
      </c>
      <c r="AH369" t="s">
        <v>56</v>
      </c>
      <c r="AI369">
        <v>1</v>
      </c>
      <c r="AJ369" t="s">
        <v>1627</v>
      </c>
      <c r="AK369" t="s">
        <v>56</v>
      </c>
      <c r="AL369" t="s">
        <v>56</v>
      </c>
      <c r="AM369" t="s">
        <v>56</v>
      </c>
      <c r="AN369" t="s">
        <v>56</v>
      </c>
      <c r="AO369" t="s">
        <v>4993</v>
      </c>
      <c r="AP369" t="s">
        <v>3962</v>
      </c>
      <c r="AQ369" t="s">
        <v>3963</v>
      </c>
      <c r="AR369" t="s">
        <v>3941</v>
      </c>
      <c r="AS369" t="s">
        <v>3942</v>
      </c>
      <c r="AT369" t="s">
        <v>4994</v>
      </c>
      <c r="AU369" t="s">
        <v>3944</v>
      </c>
      <c r="AV369" t="s">
        <v>3945</v>
      </c>
      <c r="AW369" t="s">
        <v>3946</v>
      </c>
      <c r="AX369">
        <v>1</v>
      </c>
      <c r="AY369">
        <v>3</v>
      </c>
      <c r="AZ369" t="s">
        <v>3911</v>
      </c>
      <c r="BA369">
        <v>10</v>
      </c>
      <c r="BB369" t="s">
        <v>3898</v>
      </c>
      <c r="BC369">
        <v>1</v>
      </c>
      <c r="BD369">
        <v>5</v>
      </c>
      <c r="BE369" t="s">
        <v>3899</v>
      </c>
      <c r="BF369">
        <v>30</v>
      </c>
      <c r="BG369">
        <v>66</v>
      </c>
      <c r="BH369" t="s">
        <v>3965</v>
      </c>
      <c r="BI369" t="s">
        <v>4995</v>
      </c>
      <c r="BJ369">
        <v>1</v>
      </c>
      <c r="BK369" t="s">
        <v>3902</v>
      </c>
    </row>
    <row r="370" spans="1:63" x14ac:dyDescent="0.25">
      <c r="A370">
        <v>4323</v>
      </c>
      <c r="B370" t="str">
        <f>"20200128120017093022"</f>
        <v>20200128120017093022</v>
      </c>
      <c r="C370">
        <v>1</v>
      </c>
      <c r="D370">
        <v>1</v>
      </c>
      <c r="E370" t="s">
        <v>3886</v>
      </c>
      <c r="F370">
        <v>2</v>
      </c>
      <c r="G370">
        <v>0</v>
      </c>
      <c r="H370" t="s">
        <v>66</v>
      </c>
      <c r="I370">
        <v>0</v>
      </c>
      <c r="J370" t="s">
        <v>66</v>
      </c>
      <c r="K370">
        <v>0</v>
      </c>
      <c r="L370" t="s">
        <v>66</v>
      </c>
      <c r="M370" t="s">
        <v>56</v>
      </c>
      <c r="N370">
        <v>0</v>
      </c>
      <c r="O370" t="s">
        <v>66</v>
      </c>
      <c r="P370" t="s">
        <v>56</v>
      </c>
      <c r="Q370">
        <v>0</v>
      </c>
      <c r="R370" t="s">
        <v>66</v>
      </c>
      <c r="S370" t="s">
        <v>56</v>
      </c>
      <c r="T370">
        <v>1</v>
      </c>
      <c r="U370" t="s">
        <v>1627</v>
      </c>
      <c r="V370" t="s">
        <v>56</v>
      </c>
      <c r="W370">
        <v>0</v>
      </c>
      <c r="X370" t="s">
        <v>66</v>
      </c>
      <c r="Y370" t="s">
        <v>56</v>
      </c>
      <c r="Z370">
        <v>0</v>
      </c>
      <c r="AA370" t="s">
        <v>66</v>
      </c>
      <c r="AB370" t="s">
        <v>56</v>
      </c>
      <c r="AC370">
        <v>1</v>
      </c>
      <c r="AD370" t="s">
        <v>1627</v>
      </c>
      <c r="AE370" t="s">
        <v>3887</v>
      </c>
      <c r="AF370">
        <v>0</v>
      </c>
      <c r="AG370" t="s">
        <v>66</v>
      </c>
      <c r="AH370" t="s">
        <v>56</v>
      </c>
      <c r="AI370">
        <v>1</v>
      </c>
      <c r="AJ370" t="s">
        <v>1627</v>
      </c>
      <c r="AK370" t="s">
        <v>56</v>
      </c>
      <c r="AL370" t="s">
        <v>56</v>
      </c>
      <c r="AM370" t="s">
        <v>56</v>
      </c>
      <c r="AN370" t="s">
        <v>56</v>
      </c>
      <c r="AO370" t="s">
        <v>4984</v>
      </c>
      <c r="AP370" t="s">
        <v>3939</v>
      </c>
      <c r="AQ370" t="s">
        <v>3940</v>
      </c>
      <c r="AR370" t="s">
        <v>3920</v>
      </c>
      <c r="AS370" t="s">
        <v>3921</v>
      </c>
      <c r="AT370" t="s">
        <v>4996</v>
      </c>
      <c r="AU370">
        <v>9000</v>
      </c>
      <c r="AV370" t="s">
        <v>3956</v>
      </c>
      <c r="AW370" t="s">
        <v>3956</v>
      </c>
      <c r="AX370">
        <v>12</v>
      </c>
      <c r="AY370">
        <v>2</v>
      </c>
      <c r="AZ370" t="s">
        <v>3897</v>
      </c>
      <c r="BA370">
        <v>10</v>
      </c>
      <c r="BB370" t="s">
        <v>3898</v>
      </c>
      <c r="BC370">
        <v>90</v>
      </c>
      <c r="BD370">
        <v>3</v>
      </c>
      <c r="BE370" t="s">
        <v>3911</v>
      </c>
      <c r="BF370">
        <v>180</v>
      </c>
      <c r="BG370">
        <v>14</v>
      </c>
      <c r="BH370" t="s">
        <v>3947</v>
      </c>
      <c r="BI370" t="s">
        <v>4997</v>
      </c>
      <c r="BJ370">
        <v>1</v>
      </c>
      <c r="BK370" t="s">
        <v>3902</v>
      </c>
    </row>
    <row r="371" spans="1:63" x14ac:dyDescent="0.25">
      <c r="A371">
        <v>4324</v>
      </c>
      <c r="B371" t="str">
        <f>"20200128170017094320"</f>
        <v>20200128170017094320</v>
      </c>
      <c r="C371">
        <v>1</v>
      </c>
      <c r="D371">
        <v>1</v>
      </c>
      <c r="E371" t="s">
        <v>3886</v>
      </c>
      <c r="F371">
        <v>2</v>
      </c>
      <c r="G371">
        <v>0</v>
      </c>
      <c r="H371" t="s">
        <v>66</v>
      </c>
      <c r="I371">
        <v>0</v>
      </c>
      <c r="J371" t="s">
        <v>66</v>
      </c>
      <c r="K371">
        <v>0</v>
      </c>
      <c r="L371" t="s">
        <v>66</v>
      </c>
      <c r="M371" t="s">
        <v>56</v>
      </c>
      <c r="N371">
        <v>0</v>
      </c>
      <c r="O371" t="s">
        <v>66</v>
      </c>
      <c r="P371" t="s">
        <v>56</v>
      </c>
      <c r="Q371">
        <v>0</v>
      </c>
      <c r="R371" t="s">
        <v>66</v>
      </c>
      <c r="S371" t="s">
        <v>56</v>
      </c>
      <c r="T371">
        <v>1</v>
      </c>
      <c r="U371" t="s">
        <v>1627</v>
      </c>
      <c r="V371" t="s">
        <v>56</v>
      </c>
      <c r="W371">
        <v>0</v>
      </c>
      <c r="X371" t="s">
        <v>66</v>
      </c>
      <c r="Y371" t="s">
        <v>56</v>
      </c>
      <c r="Z371">
        <v>0</v>
      </c>
      <c r="AA371" t="s">
        <v>66</v>
      </c>
      <c r="AB371" t="s">
        <v>56</v>
      </c>
      <c r="AC371">
        <v>1</v>
      </c>
      <c r="AD371" t="s">
        <v>1627</v>
      </c>
      <c r="AE371" t="s">
        <v>3887</v>
      </c>
      <c r="AF371">
        <v>0</v>
      </c>
      <c r="AG371" t="s">
        <v>66</v>
      </c>
      <c r="AH371" t="s">
        <v>56</v>
      </c>
      <c r="AI371">
        <v>1</v>
      </c>
      <c r="AJ371" t="s">
        <v>1627</v>
      </c>
      <c r="AK371" t="s">
        <v>56</v>
      </c>
      <c r="AL371" t="s">
        <v>56</v>
      </c>
      <c r="AM371" t="s">
        <v>56</v>
      </c>
      <c r="AN371" t="s">
        <v>56</v>
      </c>
      <c r="AO371" t="s">
        <v>4046</v>
      </c>
      <c r="AP371" t="s">
        <v>3889</v>
      </c>
      <c r="AQ371" t="s">
        <v>3890</v>
      </c>
      <c r="AR371" t="s">
        <v>3926</v>
      </c>
      <c r="AS371" t="s">
        <v>3927</v>
      </c>
      <c r="AT371" t="s">
        <v>4047</v>
      </c>
      <c r="AU371" t="s">
        <v>3894</v>
      </c>
      <c r="AV371" t="s">
        <v>3895</v>
      </c>
      <c r="AW371" t="s">
        <v>3896</v>
      </c>
      <c r="AX371">
        <v>24</v>
      </c>
      <c r="AY371">
        <v>2</v>
      </c>
      <c r="AZ371" t="s">
        <v>3897</v>
      </c>
      <c r="BA371">
        <v>10</v>
      </c>
      <c r="BB371" t="s">
        <v>3898</v>
      </c>
      <c r="BC371">
        <v>1</v>
      </c>
      <c r="BD371">
        <v>5</v>
      </c>
      <c r="BE371" t="s">
        <v>3899</v>
      </c>
      <c r="BF371">
        <v>1</v>
      </c>
      <c r="BG371">
        <v>13</v>
      </c>
      <c r="BH371" t="s">
        <v>3900</v>
      </c>
      <c r="BI371" t="s">
        <v>4998</v>
      </c>
      <c r="BJ371">
        <v>1</v>
      </c>
      <c r="BK371" t="s">
        <v>3902</v>
      </c>
    </row>
    <row r="372" spans="1:63" x14ac:dyDescent="0.25">
      <c r="A372">
        <v>4325</v>
      </c>
      <c r="B372" t="str">
        <f>"20200128176017094384"</f>
        <v>20200128176017094384</v>
      </c>
      <c r="C372">
        <v>1</v>
      </c>
      <c r="D372">
        <v>1</v>
      </c>
      <c r="E372" t="s">
        <v>3886</v>
      </c>
      <c r="F372">
        <v>2</v>
      </c>
      <c r="G372">
        <v>0</v>
      </c>
      <c r="H372" t="s">
        <v>66</v>
      </c>
      <c r="I372">
        <v>0</v>
      </c>
      <c r="J372" t="s">
        <v>66</v>
      </c>
      <c r="K372">
        <v>0</v>
      </c>
      <c r="L372" t="s">
        <v>66</v>
      </c>
      <c r="M372" t="s">
        <v>56</v>
      </c>
      <c r="N372">
        <v>0</v>
      </c>
      <c r="O372" t="s">
        <v>66</v>
      </c>
      <c r="P372" t="s">
        <v>56</v>
      </c>
      <c r="Q372">
        <v>0</v>
      </c>
      <c r="R372" t="s">
        <v>66</v>
      </c>
      <c r="S372" t="s">
        <v>56</v>
      </c>
      <c r="T372">
        <v>1</v>
      </c>
      <c r="U372" t="s">
        <v>1627</v>
      </c>
      <c r="V372" t="s">
        <v>56</v>
      </c>
      <c r="W372">
        <v>0</v>
      </c>
      <c r="X372" t="s">
        <v>66</v>
      </c>
      <c r="Y372" t="s">
        <v>56</v>
      </c>
      <c r="Z372">
        <v>0</v>
      </c>
      <c r="AA372" t="s">
        <v>66</v>
      </c>
      <c r="AB372" t="s">
        <v>56</v>
      </c>
      <c r="AC372">
        <v>1</v>
      </c>
      <c r="AD372" t="s">
        <v>1627</v>
      </c>
      <c r="AE372" t="s">
        <v>3887</v>
      </c>
      <c r="AF372">
        <v>0</v>
      </c>
      <c r="AG372" t="s">
        <v>66</v>
      </c>
      <c r="AH372" t="s">
        <v>56</v>
      </c>
      <c r="AI372">
        <v>1</v>
      </c>
      <c r="AJ372" t="s">
        <v>1627</v>
      </c>
      <c r="AK372" t="s">
        <v>56</v>
      </c>
      <c r="AL372" t="s">
        <v>56</v>
      </c>
      <c r="AM372" t="s">
        <v>56</v>
      </c>
      <c r="AN372" t="s">
        <v>56</v>
      </c>
      <c r="AO372" t="s">
        <v>4004</v>
      </c>
      <c r="AP372" t="s">
        <v>3889</v>
      </c>
      <c r="AQ372" t="s">
        <v>3890</v>
      </c>
      <c r="AR372" t="s">
        <v>3891</v>
      </c>
      <c r="AS372" t="s">
        <v>3892</v>
      </c>
      <c r="AT372" t="s">
        <v>4999</v>
      </c>
      <c r="AU372">
        <v>9000</v>
      </c>
      <c r="AV372" t="s">
        <v>3956</v>
      </c>
      <c r="AW372" t="s">
        <v>3956</v>
      </c>
      <c r="AX372">
        <v>6</v>
      </c>
      <c r="AY372">
        <v>2</v>
      </c>
      <c r="AZ372" t="s">
        <v>3897</v>
      </c>
      <c r="BA372">
        <v>4</v>
      </c>
      <c r="BB372" t="s">
        <v>4530</v>
      </c>
      <c r="BC372">
        <v>3</v>
      </c>
      <c r="BD372">
        <v>5</v>
      </c>
      <c r="BE372" t="s">
        <v>3899</v>
      </c>
      <c r="BF372">
        <v>3</v>
      </c>
      <c r="BG372">
        <v>13</v>
      </c>
      <c r="BH372" t="s">
        <v>3900</v>
      </c>
      <c r="BI372" t="s">
        <v>5000</v>
      </c>
      <c r="BJ372">
        <v>1</v>
      </c>
      <c r="BK372" t="s">
        <v>3902</v>
      </c>
    </row>
    <row r="373" spans="1:63" x14ac:dyDescent="0.25">
      <c r="A373">
        <v>4326</v>
      </c>
      <c r="B373" t="str">
        <f>"20200128133017094395"</f>
        <v>20200128133017094395</v>
      </c>
      <c r="C373">
        <v>1</v>
      </c>
      <c r="D373">
        <v>1</v>
      </c>
      <c r="E373" t="s">
        <v>3886</v>
      </c>
      <c r="F373">
        <v>2</v>
      </c>
      <c r="G373">
        <v>0</v>
      </c>
      <c r="H373" t="s">
        <v>66</v>
      </c>
      <c r="I373">
        <v>0</v>
      </c>
      <c r="J373" t="s">
        <v>66</v>
      </c>
      <c r="K373">
        <v>1</v>
      </c>
      <c r="L373" t="s">
        <v>1627</v>
      </c>
      <c r="M373" t="s">
        <v>4181</v>
      </c>
      <c r="N373">
        <v>1</v>
      </c>
      <c r="O373" t="s">
        <v>1627</v>
      </c>
      <c r="P373" t="s">
        <v>4117</v>
      </c>
      <c r="Q373">
        <v>0</v>
      </c>
      <c r="R373" t="s">
        <v>66</v>
      </c>
      <c r="S373" t="s">
        <v>56</v>
      </c>
      <c r="T373" t="s">
        <v>56</v>
      </c>
      <c r="U373" t="s">
        <v>56</v>
      </c>
      <c r="V373" t="s">
        <v>56</v>
      </c>
      <c r="W373">
        <v>0</v>
      </c>
      <c r="X373" t="s">
        <v>66</v>
      </c>
      <c r="Y373" t="s">
        <v>56</v>
      </c>
      <c r="Z373">
        <v>0</v>
      </c>
      <c r="AA373" t="s">
        <v>66</v>
      </c>
      <c r="AB373" t="s">
        <v>56</v>
      </c>
      <c r="AC373">
        <v>0</v>
      </c>
      <c r="AD373" t="s">
        <v>66</v>
      </c>
      <c r="AE373" t="s">
        <v>56</v>
      </c>
      <c r="AF373">
        <v>0</v>
      </c>
      <c r="AG373" t="s">
        <v>66</v>
      </c>
      <c r="AH373" t="s">
        <v>56</v>
      </c>
      <c r="AI373">
        <v>1</v>
      </c>
      <c r="AJ373" t="s">
        <v>1627</v>
      </c>
      <c r="AK373">
        <v>0</v>
      </c>
      <c r="AL373" t="s">
        <v>66</v>
      </c>
      <c r="AM373" t="s">
        <v>56</v>
      </c>
      <c r="AN373" t="s">
        <v>56</v>
      </c>
      <c r="AO373" t="s">
        <v>5001</v>
      </c>
      <c r="AP373" t="s">
        <v>3889</v>
      </c>
      <c r="AQ373" t="s">
        <v>3890</v>
      </c>
      <c r="AR373" t="s">
        <v>2324</v>
      </c>
      <c r="AS373" t="s">
        <v>4266</v>
      </c>
      <c r="AT373" t="s">
        <v>5002</v>
      </c>
      <c r="AU373" t="s">
        <v>3944</v>
      </c>
      <c r="AV373" t="s">
        <v>3945</v>
      </c>
      <c r="AW373" t="s">
        <v>3946</v>
      </c>
      <c r="AX373">
        <v>8</v>
      </c>
      <c r="AY373">
        <v>7</v>
      </c>
      <c r="AZ373" t="s">
        <v>4308</v>
      </c>
      <c r="BA373">
        <v>10</v>
      </c>
      <c r="BB373" t="s">
        <v>3898</v>
      </c>
      <c r="BC373">
        <v>90</v>
      </c>
      <c r="BD373">
        <v>3</v>
      </c>
      <c r="BE373" t="s">
        <v>3911</v>
      </c>
      <c r="BF373">
        <v>12</v>
      </c>
      <c r="BG373" t="s">
        <v>5003</v>
      </c>
      <c r="BH373" t="s">
        <v>5004</v>
      </c>
      <c r="BI373" t="s">
        <v>5005</v>
      </c>
      <c r="BJ373">
        <v>1</v>
      </c>
      <c r="BK373" t="s">
        <v>3902</v>
      </c>
    </row>
    <row r="374" spans="1:63" x14ac:dyDescent="0.25">
      <c r="A374">
        <v>4327</v>
      </c>
      <c r="B374" t="str">
        <f>"20200128133017094395"</f>
        <v>20200128133017094395</v>
      </c>
      <c r="C374">
        <v>2</v>
      </c>
      <c r="D374">
        <v>1</v>
      </c>
      <c r="E374" t="s">
        <v>3886</v>
      </c>
      <c r="F374">
        <v>2</v>
      </c>
      <c r="G374">
        <v>0</v>
      </c>
      <c r="H374" t="s">
        <v>66</v>
      </c>
      <c r="I374">
        <v>0</v>
      </c>
      <c r="J374" t="s">
        <v>66</v>
      </c>
      <c r="K374">
        <v>1</v>
      </c>
      <c r="L374" t="s">
        <v>1627</v>
      </c>
      <c r="M374" t="s">
        <v>4181</v>
      </c>
      <c r="N374">
        <v>1</v>
      </c>
      <c r="O374" t="s">
        <v>1627</v>
      </c>
      <c r="P374" t="s">
        <v>4117</v>
      </c>
      <c r="Q374">
        <v>0</v>
      </c>
      <c r="R374" t="s">
        <v>66</v>
      </c>
      <c r="S374" t="s">
        <v>56</v>
      </c>
      <c r="T374" t="s">
        <v>56</v>
      </c>
      <c r="U374" t="s">
        <v>56</v>
      </c>
      <c r="V374" t="s">
        <v>56</v>
      </c>
      <c r="W374">
        <v>0</v>
      </c>
      <c r="X374" t="s">
        <v>66</v>
      </c>
      <c r="Y374" t="s">
        <v>56</v>
      </c>
      <c r="Z374">
        <v>0</v>
      </c>
      <c r="AA374" t="s">
        <v>66</v>
      </c>
      <c r="AB374" t="s">
        <v>56</v>
      </c>
      <c r="AC374">
        <v>0</v>
      </c>
      <c r="AD374" t="s">
        <v>66</v>
      </c>
      <c r="AE374" t="s">
        <v>56</v>
      </c>
      <c r="AF374">
        <v>0</v>
      </c>
      <c r="AG374" t="s">
        <v>66</v>
      </c>
      <c r="AH374" t="s">
        <v>56</v>
      </c>
      <c r="AI374">
        <v>1</v>
      </c>
      <c r="AJ374" t="s">
        <v>1627</v>
      </c>
      <c r="AK374" t="s">
        <v>56</v>
      </c>
      <c r="AL374" t="s">
        <v>56</v>
      </c>
      <c r="AM374" t="s">
        <v>56</v>
      </c>
      <c r="AN374" t="s">
        <v>56</v>
      </c>
      <c r="AO374" t="s">
        <v>5006</v>
      </c>
      <c r="AP374" t="s">
        <v>4863</v>
      </c>
      <c r="AQ374" t="s">
        <v>4864</v>
      </c>
      <c r="AR374" t="s">
        <v>3941</v>
      </c>
      <c r="AS374" t="s">
        <v>3942</v>
      </c>
      <c r="AT374" t="s">
        <v>5007</v>
      </c>
      <c r="AU374" t="s">
        <v>3944</v>
      </c>
      <c r="AV374" t="s">
        <v>3945</v>
      </c>
      <c r="AW374" t="s">
        <v>3946</v>
      </c>
      <c r="AX374">
        <v>8</v>
      </c>
      <c r="AY374">
        <v>2</v>
      </c>
      <c r="AZ374" t="s">
        <v>3897</v>
      </c>
      <c r="BA374">
        <v>10</v>
      </c>
      <c r="BB374" t="s">
        <v>3898</v>
      </c>
      <c r="BC374">
        <v>3</v>
      </c>
      <c r="BD374">
        <v>5</v>
      </c>
      <c r="BE374" t="s">
        <v>3899</v>
      </c>
      <c r="BF374">
        <v>810</v>
      </c>
      <c r="BG374">
        <v>66</v>
      </c>
      <c r="BH374" t="s">
        <v>3965</v>
      </c>
      <c r="BI374" t="s">
        <v>5008</v>
      </c>
      <c r="BJ374">
        <v>1</v>
      </c>
      <c r="BK374" t="s">
        <v>3902</v>
      </c>
    </row>
    <row r="375" spans="1:63" x14ac:dyDescent="0.25">
      <c r="A375">
        <v>4328</v>
      </c>
      <c r="B375" t="str">
        <f>"20200128133017094395"</f>
        <v>20200128133017094395</v>
      </c>
      <c r="C375">
        <v>3</v>
      </c>
      <c r="D375">
        <v>1</v>
      </c>
      <c r="E375" t="s">
        <v>3886</v>
      </c>
      <c r="F375">
        <v>2</v>
      </c>
      <c r="G375">
        <v>0</v>
      </c>
      <c r="H375" t="s">
        <v>66</v>
      </c>
      <c r="I375">
        <v>0</v>
      </c>
      <c r="J375" t="s">
        <v>66</v>
      </c>
      <c r="K375">
        <v>1</v>
      </c>
      <c r="L375" t="s">
        <v>1627</v>
      </c>
      <c r="M375" t="s">
        <v>4181</v>
      </c>
      <c r="N375">
        <v>1</v>
      </c>
      <c r="O375" t="s">
        <v>1627</v>
      </c>
      <c r="P375" t="s">
        <v>4117</v>
      </c>
      <c r="Q375">
        <v>0</v>
      </c>
      <c r="R375" t="s">
        <v>66</v>
      </c>
      <c r="S375" t="s">
        <v>56</v>
      </c>
      <c r="T375" t="s">
        <v>56</v>
      </c>
      <c r="U375" t="s">
        <v>56</v>
      </c>
      <c r="V375" t="s">
        <v>56</v>
      </c>
      <c r="W375">
        <v>0</v>
      </c>
      <c r="X375" t="s">
        <v>66</v>
      </c>
      <c r="Y375" t="s">
        <v>56</v>
      </c>
      <c r="Z375">
        <v>0</v>
      </c>
      <c r="AA375" t="s">
        <v>66</v>
      </c>
      <c r="AB375" t="s">
        <v>56</v>
      </c>
      <c r="AC375">
        <v>0</v>
      </c>
      <c r="AD375" t="s">
        <v>66</v>
      </c>
      <c r="AE375" t="s">
        <v>56</v>
      </c>
      <c r="AF375">
        <v>0</v>
      </c>
      <c r="AG375" t="s">
        <v>66</v>
      </c>
      <c r="AH375" t="s">
        <v>56</v>
      </c>
      <c r="AI375">
        <v>1</v>
      </c>
      <c r="AJ375" t="s">
        <v>1627</v>
      </c>
      <c r="AK375" t="s">
        <v>56</v>
      </c>
      <c r="AL375" t="s">
        <v>56</v>
      </c>
      <c r="AM375" t="s">
        <v>56</v>
      </c>
      <c r="AN375" t="s">
        <v>56</v>
      </c>
      <c r="AO375" t="s">
        <v>5009</v>
      </c>
      <c r="AP375" t="s">
        <v>4863</v>
      </c>
      <c r="AQ375" t="s">
        <v>4864</v>
      </c>
      <c r="AR375" t="s">
        <v>3941</v>
      </c>
      <c r="AS375" t="s">
        <v>3942</v>
      </c>
      <c r="AT375" t="s">
        <v>5010</v>
      </c>
      <c r="AU375" t="s">
        <v>3929</v>
      </c>
      <c r="AV375" t="s">
        <v>3930</v>
      </c>
      <c r="AW375" t="s">
        <v>3931</v>
      </c>
      <c r="AX375">
        <v>24</v>
      </c>
      <c r="AY375">
        <v>2</v>
      </c>
      <c r="AZ375" t="s">
        <v>3897</v>
      </c>
      <c r="BA375">
        <v>10</v>
      </c>
      <c r="BB375" t="s">
        <v>3898</v>
      </c>
      <c r="BC375">
        <v>3</v>
      </c>
      <c r="BD375">
        <v>5</v>
      </c>
      <c r="BE375" t="s">
        <v>3899</v>
      </c>
      <c r="BF375">
        <v>90</v>
      </c>
      <c r="BG375">
        <v>73</v>
      </c>
      <c r="BH375" t="s">
        <v>3999</v>
      </c>
      <c r="BI375" t="s">
        <v>5011</v>
      </c>
      <c r="BJ375">
        <v>1</v>
      </c>
      <c r="BK375" t="s">
        <v>3902</v>
      </c>
    </row>
    <row r="376" spans="1:63" x14ac:dyDescent="0.25">
      <c r="A376">
        <v>4329</v>
      </c>
      <c r="B376" t="str">
        <f>"20200128157017095139"</f>
        <v>20200128157017095139</v>
      </c>
      <c r="C376">
        <v>1</v>
      </c>
      <c r="D376">
        <v>1</v>
      </c>
      <c r="E376" t="s">
        <v>3886</v>
      </c>
      <c r="F376">
        <v>2</v>
      </c>
      <c r="G376">
        <v>0</v>
      </c>
      <c r="H376" t="s">
        <v>66</v>
      </c>
      <c r="I376">
        <v>0</v>
      </c>
      <c r="J376" t="s">
        <v>66</v>
      </c>
      <c r="K376">
        <v>1</v>
      </c>
      <c r="L376" t="s">
        <v>1627</v>
      </c>
      <c r="M376" t="s">
        <v>4112</v>
      </c>
      <c r="N376">
        <v>1</v>
      </c>
      <c r="O376" t="s">
        <v>1627</v>
      </c>
      <c r="P376" t="s">
        <v>5012</v>
      </c>
      <c r="Q376">
        <v>0</v>
      </c>
      <c r="R376" t="s">
        <v>66</v>
      </c>
      <c r="S376" t="s">
        <v>56</v>
      </c>
      <c r="T376" t="s">
        <v>56</v>
      </c>
      <c r="U376" t="s">
        <v>56</v>
      </c>
      <c r="V376" t="s">
        <v>56</v>
      </c>
      <c r="W376">
        <v>0</v>
      </c>
      <c r="X376" t="s">
        <v>66</v>
      </c>
      <c r="Y376" t="s">
        <v>56</v>
      </c>
      <c r="Z376">
        <v>0</v>
      </c>
      <c r="AA376" t="s">
        <v>66</v>
      </c>
      <c r="AB376" t="s">
        <v>56</v>
      </c>
      <c r="AC376">
        <v>0</v>
      </c>
      <c r="AD376" t="s">
        <v>66</v>
      </c>
      <c r="AE376" t="s">
        <v>56</v>
      </c>
      <c r="AF376">
        <v>0</v>
      </c>
      <c r="AG376" t="s">
        <v>66</v>
      </c>
      <c r="AH376" t="s">
        <v>56</v>
      </c>
      <c r="AI376">
        <v>1</v>
      </c>
      <c r="AJ376" t="s">
        <v>1627</v>
      </c>
      <c r="AK376" t="s">
        <v>56</v>
      </c>
      <c r="AL376" t="s">
        <v>56</v>
      </c>
      <c r="AM376" t="s">
        <v>56</v>
      </c>
      <c r="AN376" t="s">
        <v>56</v>
      </c>
      <c r="AO376" t="s">
        <v>5013</v>
      </c>
      <c r="AP376" t="s">
        <v>3962</v>
      </c>
      <c r="AQ376" t="s">
        <v>3963</v>
      </c>
      <c r="AR376" t="s">
        <v>3941</v>
      </c>
      <c r="AS376" t="s">
        <v>3942</v>
      </c>
      <c r="AT376" t="s">
        <v>5014</v>
      </c>
      <c r="AU376" t="s">
        <v>3944</v>
      </c>
      <c r="AV376" t="s">
        <v>3945</v>
      </c>
      <c r="AW376" t="s">
        <v>3946</v>
      </c>
      <c r="AX376">
        <v>12</v>
      </c>
      <c r="AY376">
        <v>2</v>
      </c>
      <c r="AZ376" t="s">
        <v>3897</v>
      </c>
      <c r="BA376">
        <v>10</v>
      </c>
      <c r="BB376" t="s">
        <v>3898</v>
      </c>
      <c r="BC376">
        <v>6</v>
      </c>
      <c r="BD376">
        <v>5</v>
      </c>
      <c r="BE376" t="s">
        <v>3899</v>
      </c>
      <c r="BF376">
        <v>360</v>
      </c>
      <c r="BG376">
        <v>66</v>
      </c>
      <c r="BH376" t="s">
        <v>3965</v>
      </c>
      <c r="BI376" t="s">
        <v>5015</v>
      </c>
      <c r="BJ376">
        <v>1</v>
      </c>
      <c r="BK376" t="s">
        <v>3902</v>
      </c>
    </row>
    <row r="377" spans="1:63" x14ac:dyDescent="0.25">
      <c r="A377">
        <v>4330</v>
      </c>
      <c r="B377" t="str">
        <f>"20200128190017095176"</f>
        <v>20200128190017095176</v>
      </c>
      <c r="C377">
        <v>1</v>
      </c>
      <c r="D377">
        <v>1</v>
      </c>
      <c r="E377" t="s">
        <v>3886</v>
      </c>
      <c r="F377">
        <v>2</v>
      </c>
      <c r="G377">
        <v>0</v>
      </c>
      <c r="H377" t="s">
        <v>66</v>
      </c>
      <c r="I377">
        <v>0</v>
      </c>
      <c r="J377" t="s">
        <v>66</v>
      </c>
      <c r="K377">
        <v>0</v>
      </c>
      <c r="L377" t="s">
        <v>66</v>
      </c>
      <c r="M377" t="s">
        <v>56</v>
      </c>
      <c r="N377">
        <v>0</v>
      </c>
      <c r="O377" t="s">
        <v>66</v>
      </c>
      <c r="P377" t="s">
        <v>56</v>
      </c>
      <c r="Q377">
        <v>0</v>
      </c>
      <c r="R377" t="s">
        <v>66</v>
      </c>
      <c r="S377" t="s">
        <v>56</v>
      </c>
      <c r="T377">
        <v>1</v>
      </c>
      <c r="U377" t="s">
        <v>1627</v>
      </c>
      <c r="V377" t="s">
        <v>56</v>
      </c>
      <c r="W377">
        <v>0</v>
      </c>
      <c r="X377" t="s">
        <v>66</v>
      </c>
      <c r="Y377" t="s">
        <v>56</v>
      </c>
      <c r="Z377">
        <v>0</v>
      </c>
      <c r="AA377" t="s">
        <v>66</v>
      </c>
      <c r="AB377" t="s">
        <v>56</v>
      </c>
      <c r="AC377">
        <v>1</v>
      </c>
      <c r="AD377" t="s">
        <v>1627</v>
      </c>
      <c r="AE377" t="s">
        <v>3887</v>
      </c>
      <c r="AF377">
        <v>0</v>
      </c>
      <c r="AG377" t="s">
        <v>66</v>
      </c>
      <c r="AH377" t="s">
        <v>56</v>
      </c>
      <c r="AI377">
        <v>1</v>
      </c>
      <c r="AJ377" t="s">
        <v>1627</v>
      </c>
      <c r="AK377" t="s">
        <v>56</v>
      </c>
      <c r="AL377" t="s">
        <v>56</v>
      </c>
      <c r="AM377" t="s">
        <v>56</v>
      </c>
      <c r="AN377" t="s">
        <v>56</v>
      </c>
      <c r="AO377" t="s">
        <v>5016</v>
      </c>
      <c r="AP377" t="s">
        <v>4077</v>
      </c>
      <c r="AQ377" t="s">
        <v>4078</v>
      </c>
      <c r="AR377" t="s">
        <v>3941</v>
      </c>
      <c r="AS377" t="s">
        <v>3942</v>
      </c>
      <c r="AT377" t="s">
        <v>5017</v>
      </c>
      <c r="AU377">
        <v>9000</v>
      </c>
      <c r="AV377" t="s">
        <v>3956</v>
      </c>
      <c r="AW377" t="s">
        <v>3956</v>
      </c>
      <c r="AX377">
        <v>12</v>
      </c>
      <c r="AY377">
        <v>2</v>
      </c>
      <c r="AZ377" t="s">
        <v>3897</v>
      </c>
      <c r="BA377">
        <v>10</v>
      </c>
      <c r="BB377" t="s">
        <v>3898</v>
      </c>
      <c r="BC377">
        <v>360</v>
      </c>
      <c r="BD377">
        <v>3</v>
      </c>
      <c r="BE377" t="s">
        <v>3911</v>
      </c>
      <c r="BF377">
        <v>720</v>
      </c>
      <c r="BG377">
        <v>66</v>
      </c>
      <c r="BH377" t="s">
        <v>3965</v>
      </c>
      <c r="BI377" t="s">
        <v>5018</v>
      </c>
      <c r="BJ377">
        <v>1</v>
      </c>
      <c r="BK377" t="s">
        <v>3902</v>
      </c>
    </row>
    <row r="378" spans="1:63" x14ac:dyDescent="0.25">
      <c r="A378">
        <v>4331</v>
      </c>
      <c r="B378" t="str">
        <f>"20200128170017095802"</f>
        <v>20200128170017095802</v>
      </c>
      <c r="C378">
        <v>1</v>
      </c>
      <c r="D378">
        <v>1</v>
      </c>
      <c r="E378" t="s">
        <v>3886</v>
      </c>
      <c r="F378">
        <v>2</v>
      </c>
      <c r="G378">
        <v>0</v>
      </c>
      <c r="H378" t="s">
        <v>66</v>
      </c>
      <c r="I378">
        <v>0</v>
      </c>
      <c r="J378" t="s">
        <v>66</v>
      </c>
      <c r="K378">
        <v>0</v>
      </c>
      <c r="L378" t="s">
        <v>66</v>
      </c>
      <c r="M378" t="s">
        <v>56</v>
      </c>
      <c r="N378">
        <v>0</v>
      </c>
      <c r="O378" t="s">
        <v>66</v>
      </c>
      <c r="P378" t="s">
        <v>56</v>
      </c>
      <c r="Q378">
        <v>0</v>
      </c>
      <c r="R378" t="s">
        <v>66</v>
      </c>
      <c r="S378" t="s">
        <v>56</v>
      </c>
      <c r="T378">
        <v>1</v>
      </c>
      <c r="U378" t="s">
        <v>1627</v>
      </c>
      <c r="V378" t="s">
        <v>4771</v>
      </c>
      <c r="W378">
        <v>0</v>
      </c>
      <c r="X378" t="s">
        <v>66</v>
      </c>
      <c r="Y378" t="s">
        <v>56</v>
      </c>
      <c r="Z378">
        <v>1</v>
      </c>
      <c r="AA378" t="s">
        <v>1627</v>
      </c>
      <c r="AB378" t="s">
        <v>5019</v>
      </c>
      <c r="AC378">
        <v>0</v>
      </c>
      <c r="AD378" t="s">
        <v>66</v>
      </c>
      <c r="AE378" t="s">
        <v>56</v>
      </c>
      <c r="AF378">
        <v>0</v>
      </c>
      <c r="AG378" t="s">
        <v>66</v>
      </c>
      <c r="AH378" t="s">
        <v>56</v>
      </c>
      <c r="AI378">
        <v>1</v>
      </c>
      <c r="AJ378" t="s">
        <v>1627</v>
      </c>
      <c r="AK378">
        <v>0</v>
      </c>
      <c r="AL378" t="s">
        <v>66</v>
      </c>
      <c r="AM378" t="s">
        <v>56</v>
      </c>
      <c r="AN378" t="s">
        <v>56</v>
      </c>
      <c r="AO378" t="s">
        <v>5020</v>
      </c>
      <c r="AP378" t="s">
        <v>4077</v>
      </c>
      <c r="AQ378" t="s">
        <v>4078</v>
      </c>
      <c r="AR378" t="s">
        <v>3941</v>
      </c>
      <c r="AS378" t="s">
        <v>3942</v>
      </c>
      <c r="AT378" t="s">
        <v>5021</v>
      </c>
      <c r="AU378" t="s">
        <v>3944</v>
      </c>
      <c r="AV378" t="s">
        <v>3945</v>
      </c>
      <c r="AW378" t="s">
        <v>3946</v>
      </c>
      <c r="AX378">
        <v>12</v>
      </c>
      <c r="AY378">
        <v>2</v>
      </c>
      <c r="AZ378" t="s">
        <v>3897</v>
      </c>
      <c r="BA378">
        <v>10</v>
      </c>
      <c r="BB378" t="s">
        <v>3898</v>
      </c>
      <c r="BC378">
        <v>3</v>
      </c>
      <c r="BD378">
        <v>5</v>
      </c>
      <c r="BE378" t="s">
        <v>3899</v>
      </c>
      <c r="BF378">
        <v>360</v>
      </c>
      <c r="BG378">
        <v>66</v>
      </c>
      <c r="BH378" t="s">
        <v>3965</v>
      </c>
      <c r="BI378" t="s">
        <v>5022</v>
      </c>
      <c r="BJ378">
        <v>1</v>
      </c>
      <c r="BK378" t="s">
        <v>3902</v>
      </c>
    </row>
    <row r="379" spans="1:63" x14ac:dyDescent="0.25">
      <c r="A379">
        <v>4332</v>
      </c>
      <c r="B379" t="str">
        <f>"20200128169017097014"</f>
        <v>20200128169017097014</v>
      </c>
      <c r="C379">
        <v>1</v>
      </c>
      <c r="D379">
        <v>1</v>
      </c>
      <c r="E379" t="s">
        <v>3886</v>
      </c>
      <c r="F379">
        <v>2</v>
      </c>
      <c r="G379">
        <v>0</v>
      </c>
      <c r="H379" t="s">
        <v>66</v>
      </c>
      <c r="I379">
        <v>0</v>
      </c>
      <c r="J379" t="s">
        <v>66</v>
      </c>
      <c r="K379">
        <v>1</v>
      </c>
      <c r="L379" t="s">
        <v>1627</v>
      </c>
      <c r="M379" t="s">
        <v>3915</v>
      </c>
      <c r="N379">
        <v>1</v>
      </c>
      <c r="O379" t="s">
        <v>1627</v>
      </c>
      <c r="P379" t="s">
        <v>5023</v>
      </c>
      <c r="Q379">
        <v>0</v>
      </c>
      <c r="R379" t="s">
        <v>66</v>
      </c>
      <c r="S379" t="s">
        <v>56</v>
      </c>
      <c r="T379" t="s">
        <v>56</v>
      </c>
      <c r="U379" t="s">
        <v>56</v>
      </c>
      <c r="V379" t="s">
        <v>56</v>
      </c>
      <c r="W379">
        <v>0</v>
      </c>
      <c r="X379" t="s">
        <v>66</v>
      </c>
      <c r="Y379" t="s">
        <v>56</v>
      </c>
      <c r="Z379">
        <v>0</v>
      </c>
      <c r="AA379" t="s">
        <v>66</v>
      </c>
      <c r="AB379" t="s">
        <v>56</v>
      </c>
      <c r="AC379">
        <v>0</v>
      </c>
      <c r="AD379" t="s">
        <v>66</v>
      </c>
      <c r="AE379" t="s">
        <v>56</v>
      </c>
      <c r="AF379">
        <v>0</v>
      </c>
      <c r="AG379" t="s">
        <v>66</v>
      </c>
      <c r="AH379" t="s">
        <v>56</v>
      </c>
      <c r="AI379">
        <v>1</v>
      </c>
      <c r="AJ379" t="s">
        <v>1627</v>
      </c>
      <c r="AK379" t="s">
        <v>56</v>
      </c>
      <c r="AL379" t="s">
        <v>56</v>
      </c>
      <c r="AM379" t="s">
        <v>56</v>
      </c>
      <c r="AN379" t="s">
        <v>56</v>
      </c>
      <c r="AO379" t="s">
        <v>3988</v>
      </c>
      <c r="AP379" t="s">
        <v>3918</v>
      </c>
      <c r="AQ379" t="s">
        <v>3919</v>
      </c>
      <c r="AR379" t="s">
        <v>3920</v>
      </c>
      <c r="AS379" t="s">
        <v>3921</v>
      </c>
      <c r="AT379" t="s">
        <v>5024</v>
      </c>
      <c r="AU379" t="s">
        <v>3907</v>
      </c>
      <c r="AV379" t="s">
        <v>3908</v>
      </c>
      <c r="AW379" t="s">
        <v>3909</v>
      </c>
      <c r="AX379">
        <v>12</v>
      </c>
      <c r="AY379">
        <v>2</v>
      </c>
      <c r="AZ379" t="s">
        <v>3897</v>
      </c>
      <c r="BA379">
        <v>10</v>
      </c>
      <c r="BB379" t="s">
        <v>3898</v>
      </c>
      <c r="BC379">
        <v>1</v>
      </c>
      <c r="BD379">
        <v>5</v>
      </c>
      <c r="BE379" t="s">
        <v>3899</v>
      </c>
      <c r="BF379">
        <v>1</v>
      </c>
      <c r="BG379">
        <v>37</v>
      </c>
      <c r="BH379" t="s">
        <v>4007</v>
      </c>
      <c r="BI379" t="s">
        <v>5025</v>
      </c>
      <c r="BJ379">
        <v>1</v>
      </c>
      <c r="BK379" t="s">
        <v>3902</v>
      </c>
    </row>
    <row r="380" spans="1:63" x14ac:dyDescent="0.25">
      <c r="A380">
        <v>4333</v>
      </c>
      <c r="B380" t="str">
        <f>"20200128169017097014"</f>
        <v>20200128169017097014</v>
      </c>
      <c r="C380">
        <v>2</v>
      </c>
      <c r="D380">
        <v>1</v>
      </c>
      <c r="E380" t="s">
        <v>3886</v>
      </c>
      <c r="F380">
        <v>2</v>
      </c>
      <c r="G380">
        <v>0</v>
      </c>
      <c r="H380" t="s">
        <v>66</v>
      </c>
      <c r="I380">
        <v>0</v>
      </c>
      <c r="J380" t="s">
        <v>66</v>
      </c>
      <c r="K380">
        <v>1</v>
      </c>
      <c r="L380" t="s">
        <v>1627</v>
      </c>
      <c r="M380" t="s">
        <v>4963</v>
      </c>
      <c r="N380">
        <v>1</v>
      </c>
      <c r="O380" t="s">
        <v>1627</v>
      </c>
      <c r="P380" t="s">
        <v>5023</v>
      </c>
      <c r="Q380">
        <v>0</v>
      </c>
      <c r="R380" t="s">
        <v>66</v>
      </c>
      <c r="S380" t="s">
        <v>56</v>
      </c>
      <c r="T380" t="s">
        <v>56</v>
      </c>
      <c r="U380" t="s">
        <v>56</v>
      </c>
      <c r="V380" t="s">
        <v>56</v>
      </c>
      <c r="W380">
        <v>0</v>
      </c>
      <c r="X380" t="s">
        <v>66</v>
      </c>
      <c r="Y380" t="s">
        <v>56</v>
      </c>
      <c r="Z380">
        <v>0</v>
      </c>
      <c r="AA380" t="s">
        <v>66</v>
      </c>
      <c r="AB380" t="s">
        <v>56</v>
      </c>
      <c r="AC380">
        <v>0</v>
      </c>
      <c r="AD380" t="s">
        <v>66</v>
      </c>
      <c r="AE380" t="s">
        <v>56</v>
      </c>
      <c r="AF380">
        <v>0</v>
      </c>
      <c r="AG380" t="s">
        <v>66</v>
      </c>
      <c r="AH380" t="s">
        <v>56</v>
      </c>
      <c r="AI380">
        <v>1</v>
      </c>
      <c r="AJ380" t="s">
        <v>1627</v>
      </c>
      <c r="AK380" t="s">
        <v>56</v>
      </c>
      <c r="AL380" t="s">
        <v>56</v>
      </c>
      <c r="AM380" t="s">
        <v>56</v>
      </c>
      <c r="AN380" t="s">
        <v>56</v>
      </c>
      <c r="AO380" t="s">
        <v>4349</v>
      </c>
      <c r="AP380" t="s">
        <v>3962</v>
      </c>
      <c r="AQ380" t="s">
        <v>3963</v>
      </c>
      <c r="AR380" t="s">
        <v>3941</v>
      </c>
      <c r="AS380" t="s">
        <v>3942</v>
      </c>
      <c r="AT380" t="s">
        <v>5026</v>
      </c>
      <c r="AU380" t="s">
        <v>3944</v>
      </c>
      <c r="AV380" t="s">
        <v>3945</v>
      </c>
      <c r="AW380" t="s">
        <v>3946</v>
      </c>
      <c r="AX380">
        <v>1</v>
      </c>
      <c r="AY380">
        <v>3</v>
      </c>
      <c r="AZ380" t="s">
        <v>3911</v>
      </c>
      <c r="BA380">
        <v>10</v>
      </c>
      <c r="BB380" t="s">
        <v>3898</v>
      </c>
      <c r="BC380">
        <v>1</v>
      </c>
      <c r="BD380">
        <v>5</v>
      </c>
      <c r="BE380" t="s">
        <v>3899</v>
      </c>
      <c r="BF380">
        <v>30</v>
      </c>
      <c r="BG380">
        <v>66</v>
      </c>
      <c r="BH380" t="s">
        <v>3965</v>
      </c>
      <c r="BI380" t="s">
        <v>5027</v>
      </c>
      <c r="BJ380">
        <v>1</v>
      </c>
      <c r="BK380" t="s">
        <v>3902</v>
      </c>
    </row>
    <row r="381" spans="1:63" x14ac:dyDescent="0.25">
      <c r="A381">
        <v>4334</v>
      </c>
      <c r="B381" t="str">
        <f>"20200128169017097014"</f>
        <v>20200128169017097014</v>
      </c>
      <c r="C381">
        <v>3</v>
      </c>
      <c r="D381">
        <v>1</v>
      </c>
      <c r="E381" t="s">
        <v>3886</v>
      </c>
      <c r="F381">
        <v>2</v>
      </c>
      <c r="G381">
        <v>0</v>
      </c>
      <c r="H381" t="s">
        <v>66</v>
      </c>
      <c r="I381">
        <v>0</v>
      </c>
      <c r="J381" t="s">
        <v>66</v>
      </c>
      <c r="K381">
        <v>1</v>
      </c>
      <c r="L381" t="s">
        <v>1627</v>
      </c>
      <c r="M381" t="s">
        <v>4859</v>
      </c>
      <c r="N381">
        <v>1</v>
      </c>
      <c r="O381" t="s">
        <v>1627</v>
      </c>
      <c r="P381" t="s">
        <v>5028</v>
      </c>
      <c r="Q381">
        <v>0</v>
      </c>
      <c r="R381" t="s">
        <v>66</v>
      </c>
      <c r="S381" t="s">
        <v>56</v>
      </c>
      <c r="T381" t="s">
        <v>56</v>
      </c>
      <c r="U381" t="s">
        <v>56</v>
      </c>
      <c r="V381" t="s">
        <v>56</v>
      </c>
      <c r="W381">
        <v>0</v>
      </c>
      <c r="X381" t="s">
        <v>66</v>
      </c>
      <c r="Y381" t="s">
        <v>56</v>
      </c>
      <c r="Z381">
        <v>0</v>
      </c>
      <c r="AA381" t="s">
        <v>66</v>
      </c>
      <c r="AB381" t="s">
        <v>56</v>
      </c>
      <c r="AC381">
        <v>0</v>
      </c>
      <c r="AD381" t="s">
        <v>66</v>
      </c>
      <c r="AE381" t="s">
        <v>56</v>
      </c>
      <c r="AF381">
        <v>0</v>
      </c>
      <c r="AG381" t="s">
        <v>66</v>
      </c>
      <c r="AH381" t="s">
        <v>56</v>
      </c>
      <c r="AI381">
        <v>1</v>
      </c>
      <c r="AJ381" t="s">
        <v>1627</v>
      </c>
      <c r="AK381" t="s">
        <v>56</v>
      </c>
      <c r="AL381" t="s">
        <v>56</v>
      </c>
      <c r="AM381" t="s">
        <v>56</v>
      </c>
      <c r="AN381" t="s">
        <v>56</v>
      </c>
      <c r="AO381" t="s">
        <v>4860</v>
      </c>
      <c r="AP381" t="s">
        <v>3934</v>
      </c>
      <c r="AQ381" t="s">
        <v>3935</v>
      </c>
      <c r="AR381">
        <v>502</v>
      </c>
      <c r="AS381" t="s">
        <v>4688</v>
      </c>
      <c r="AT381" t="s">
        <v>5029</v>
      </c>
      <c r="AU381" t="s">
        <v>3907</v>
      </c>
      <c r="AV381" t="s">
        <v>3908</v>
      </c>
      <c r="AW381" t="s">
        <v>3909</v>
      </c>
      <c r="AX381">
        <v>1</v>
      </c>
      <c r="AY381">
        <v>3</v>
      </c>
      <c r="AZ381" t="s">
        <v>3911</v>
      </c>
      <c r="BA381">
        <v>10</v>
      </c>
      <c r="BB381" t="s">
        <v>3898</v>
      </c>
      <c r="BC381">
        <v>1</v>
      </c>
      <c r="BD381">
        <v>5</v>
      </c>
      <c r="BE381" t="s">
        <v>3899</v>
      </c>
      <c r="BF381">
        <v>1</v>
      </c>
      <c r="BG381">
        <v>58</v>
      </c>
      <c r="BH381" t="s">
        <v>4245</v>
      </c>
      <c r="BI381" t="s">
        <v>5030</v>
      </c>
      <c r="BJ381">
        <v>1</v>
      </c>
      <c r="BK381" t="s">
        <v>3902</v>
      </c>
    </row>
    <row r="382" spans="1:63" x14ac:dyDescent="0.25">
      <c r="A382">
        <v>4335</v>
      </c>
      <c r="B382" t="str">
        <f>"20200128113017097028"</f>
        <v>20200128113017097028</v>
      </c>
      <c r="C382">
        <v>1</v>
      </c>
      <c r="D382">
        <v>1</v>
      </c>
      <c r="E382" t="s">
        <v>3886</v>
      </c>
      <c r="F382">
        <v>1</v>
      </c>
      <c r="G382">
        <v>0</v>
      </c>
      <c r="H382" t="s">
        <v>66</v>
      </c>
      <c r="I382">
        <v>0</v>
      </c>
      <c r="J382" t="s">
        <v>66</v>
      </c>
      <c r="K382">
        <v>0</v>
      </c>
      <c r="L382" t="s">
        <v>66</v>
      </c>
      <c r="M382" t="s">
        <v>56</v>
      </c>
      <c r="N382">
        <v>0</v>
      </c>
      <c r="O382" t="s">
        <v>66</v>
      </c>
      <c r="P382" t="s">
        <v>56</v>
      </c>
      <c r="Q382">
        <v>0</v>
      </c>
      <c r="R382" t="s">
        <v>66</v>
      </c>
      <c r="S382" t="s">
        <v>56</v>
      </c>
      <c r="T382">
        <v>1</v>
      </c>
      <c r="U382" t="s">
        <v>1627</v>
      </c>
      <c r="V382" t="s">
        <v>56</v>
      </c>
      <c r="W382">
        <v>0</v>
      </c>
      <c r="X382" t="s">
        <v>66</v>
      </c>
      <c r="Y382" t="s">
        <v>56</v>
      </c>
      <c r="Z382">
        <v>0</v>
      </c>
      <c r="AA382" t="s">
        <v>66</v>
      </c>
      <c r="AB382" t="s">
        <v>56</v>
      </c>
      <c r="AC382">
        <v>1</v>
      </c>
      <c r="AD382" t="s">
        <v>1627</v>
      </c>
      <c r="AE382" t="s">
        <v>3887</v>
      </c>
      <c r="AF382">
        <v>0</v>
      </c>
      <c r="AG382" t="s">
        <v>66</v>
      </c>
      <c r="AH382" t="s">
        <v>56</v>
      </c>
      <c r="AI382">
        <v>1</v>
      </c>
      <c r="AJ382" t="s">
        <v>1627</v>
      </c>
      <c r="AK382" t="s">
        <v>56</v>
      </c>
      <c r="AL382" t="s">
        <v>56</v>
      </c>
      <c r="AM382" t="s">
        <v>56</v>
      </c>
      <c r="AN382" t="s">
        <v>56</v>
      </c>
      <c r="AO382" t="s">
        <v>3975</v>
      </c>
      <c r="AP382" t="s">
        <v>3962</v>
      </c>
      <c r="AQ382" t="s">
        <v>3963</v>
      </c>
      <c r="AR382" t="s">
        <v>3941</v>
      </c>
      <c r="AS382" t="s">
        <v>3942</v>
      </c>
      <c r="AT382" t="s">
        <v>5031</v>
      </c>
      <c r="AU382" t="s">
        <v>4026</v>
      </c>
      <c r="AV382" t="s">
        <v>4027</v>
      </c>
      <c r="AW382" t="s">
        <v>4028</v>
      </c>
      <c r="AX382">
        <v>12</v>
      </c>
      <c r="AY382">
        <v>2</v>
      </c>
      <c r="AZ382" t="s">
        <v>3897</v>
      </c>
      <c r="BA382">
        <v>10</v>
      </c>
      <c r="BB382" t="s">
        <v>3898</v>
      </c>
      <c r="BC382">
        <v>30</v>
      </c>
      <c r="BD382">
        <v>3</v>
      </c>
      <c r="BE382" t="s">
        <v>3911</v>
      </c>
      <c r="BF382">
        <v>60</v>
      </c>
      <c r="BG382">
        <v>66</v>
      </c>
      <c r="BH382" t="s">
        <v>3965</v>
      </c>
      <c r="BI382" t="s">
        <v>5032</v>
      </c>
      <c r="BJ382">
        <v>1</v>
      </c>
      <c r="BK382" t="s">
        <v>3902</v>
      </c>
    </row>
    <row r="383" spans="1:63" x14ac:dyDescent="0.25">
      <c r="A383">
        <v>4336</v>
      </c>
      <c r="B383" t="str">
        <f>"20200128158017097754"</f>
        <v>20200128158017097754</v>
      </c>
      <c r="C383">
        <v>1</v>
      </c>
      <c r="D383">
        <v>1</v>
      </c>
      <c r="E383" t="s">
        <v>3886</v>
      </c>
      <c r="F383">
        <v>1</v>
      </c>
      <c r="G383">
        <v>0</v>
      </c>
      <c r="H383" t="s">
        <v>66</v>
      </c>
      <c r="I383">
        <v>0</v>
      </c>
      <c r="J383" t="s">
        <v>66</v>
      </c>
      <c r="K383">
        <v>1</v>
      </c>
      <c r="L383" t="s">
        <v>1627</v>
      </c>
      <c r="M383" t="s">
        <v>4899</v>
      </c>
      <c r="N383">
        <v>1</v>
      </c>
      <c r="O383" t="s">
        <v>1627</v>
      </c>
      <c r="P383" t="s">
        <v>5033</v>
      </c>
      <c r="Q383">
        <v>0</v>
      </c>
      <c r="R383" t="s">
        <v>66</v>
      </c>
      <c r="S383" t="s">
        <v>56</v>
      </c>
      <c r="T383" t="s">
        <v>56</v>
      </c>
      <c r="U383" t="s">
        <v>56</v>
      </c>
      <c r="V383" t="s">
        <v>56</v>
      </c>
      <c r="W383">
        <v>0</v>
      </c>
      <c r="X383" t="s">
        <v>66</v>
      </c>
      <c r="Y383" t="s">
        <v>56</v>
      </c>
      <c r="Z383">
        <v>0</v>
      </c>
      <c r="AA383" t="s">
        <v>66</v>
      </c>
      <c r="AB383" t="s">
        <v>56</v>
      </c>
      <c r="AC383">
        <v>0</v>
      </c>
      <c r="AD383" t="s">
        <v>66</v>
      </c>
      <c r="AE383" t="s">
        <v>56</v>
      </c>
      <c r="AF383">
        <v>0</v>
      </c>
      <c r="AG383" t="s">
        <v>66</v>
      </c>
      <c r="AH383" t="s">
        <v>56</v>
      </c>
      <c r="AI383">
        <v>1</v>
      </c>
      <c r="AJ383" t="s">
        <v>1627</v>
      </c>
      <c r="AK383" t="s">
        <v>56</v>
      </c>
      <c r="AL383" t="s">
        <v>56</v>
      </c>
      <c r="AM383" t="s">
        <v>56</v>
      </c>
      <c r="AN383" t="s">
        <v>56</v>
      </c>
      <c r="AO383" t="s">
        <v>4900</v>
      </c>
      <c r="AP383" t="s">
        <v>3889</v>
      </c>
      <c r="AQ383" t="s">
        <v>3890</v>
      </c>
      <c r="AR383" t="s">
        <v>3904</v>
      </c>
      <c r="AS383" t="s">
        <v>3905</v>
      </c>
      <c r="AT383" t="s">
        <v>5034</v>
      </c>
      <c r="AU383" t="s">
        <v>3944</v>
      </c>
      <c r="AV383" t="s">
        <v>3945</v>
      </c>
      <c r="AW383" t="s">
        <v>3946</v>
      </c>
      <c r="AX383">
        <v>12</v>
      </c>
      <c r="AY383">
        <v>2</v>
      </c>
      <c r="AZ383" t="s">
        <v>3897</v>
      </c>
      <c r="BA383">
        <v>10</v>
      </c>
      <c r="BB383" t="s">
        <v>3898</v>
      </c>
      <c r="BC383">
        <v>7</v>
      </c>
      <c r="BD383">
        <v>3</v>
      </c>
      <c r="BE383" t="s">
        <v>3911</v>
      </c>
      <c r="BF383">
        <v>14</v>
      </c>
      <c r="BG383" t="s">
        <v>3912</v>
      </c>
      <c r="BH383" t="s">
        <v>3913</v>
      </c>
      <c r="BI383" t="s">
        <v>5035</v>
      </c>
      <c r="BJ383">
        <v>1</v>
      </c>
      <c r="BK383" t="s">
        <v>3902</v>
      </c>
    </row>
    <row r="384" spans="1:63" x14ac:dyDescent="0.25">
      <c r="A384">
        <v>4337</v>
      </c>
      <c r="B384" t="str">
        <f>"20200128156017098071"</f>
        <v>20200128156017098071</v>
      </c>
      <c r="C384">
        <v>1</v>
      </c>
      <c r="D384">
        <v>1</v>
      </c>
      <c r="E384" t="s">
        <v>3886</v>
      </c>
      <c r="F384">
        <v>2</v>
      </c>
      <c r="G384">
        <v>0</v>
      </c>
      <c r="H384" t="s">
        <v>66</v>
      </c>
      <c r="I384">
        <v>0</v>
      </c>
      <c r="J384" t="s">
        <v>66</v>
      </c>
      <c r="K384">
        <v>1</v>
      </c>
      <c r="L384" t="s">
        <v>1627</v>
      </c>
      <c r="M384" t="s">
        <v>4112</v>
      </c>
      <c r="N384">
        <v>1</v>
      </c>
      <c r="O384" t="s">
        <v>1627</v>
      </c>
      <c r="P384" t="s">
        <v>5036</v>
      </c>
      <c r="Q384">
        <v>0</v>
      </c>
      <c r="R384" t="s">
        <v>66</v>
      </c>
      <c r="S384" t="s">
        <v>56</v>
      </c>
      <c r="T384" t="s">
        <v>56</v>
      </c>
      <c r="U384" t="s">
        <v>56</v>
      </c>
      <c r="V384" t="s">
        <v>56</v>
      </c>
      <c r="W384">
        <v>0</v>
      </c>
      <c r="X384" t="s">
        <v>66</v>
      </c>
      <c r="Y384" t="s">
        <v>56</v>
      </c>
      <c r="Z384">
        <v>0</v>
      </c>
      <c r="AA384" t="s">
        <v>66</v>
      </c>
      <c r="AB384" t="s">
        <v>56</v>
      </c>
      <c r="AC384">
        <v>0</v>
      </c>
      <c r="AD384" t="s">
        <v>66</v>
      </c>
      <c r="AE384" t="s">
        <v>56</v>
      </c>
      <c r="AF384">
        <v>0</v>
      </c>
      <c r="AG384" t="s">
        <v>66</v>
      </c>
      <c r="AH384" t="s">
        <v>56</v>
      </c>
      <c r="AI384">
        <v>1</v>
      </c>
      <c r="AJ384" t="s">
        <v>1627</v>
      </c>
      <c r="AK384" t="s">
        <v>56</v>
      </c>
      <c r="AL384" t="s">
        <v>56</v>
      </c>
      <c r="AM384" t="s">
        <v>56</v>
      </c>
      <c r="AN384" t="s">
        <v>56</v>
      </c>
      <c r="AO384" t="s">
        <v>3985</v>
      </c>
      <c r="AP384" t="s">
        <v>3962</v>
      </c>
      <c r="AQ384" t="s">
        <v>3963</v>
      </c>
      <c r="AR384" t="s">
        <v>3941</v>
      </c>
      <c r="AS384" t="s">
        <v>3942</v>
      </c>
      <c r="AT384" t="s">
        <v>5037</v>
      </c>
      <c r="AU384" t="s">
        <v>3944</v>
      </c>
      <c r="AV384" t="s">
        <v>3945</v>
      </c>
      <c r="AW384" t="s">
        <v>3946</v>
      </c>
      <c r="AX384">
        <v>24</v>
      </c>
      <c r="AY384">
        <v>2</v>
      </c>
      <c r="AZ384" t="s">
        <v>3897</v>
      </c>
      <c r="BA384">
        <v>10</v>
      </c>
      <c r="BB384" t="s">
        <v>3898</v>
      </c>
      <c r="BC384">
        <v>24</v>
      </c>
      <c r="BD384">
        <v>2</v>
      </c>
      <c r="BE384" t="s">
        <v>3897</v>
      </c>
      <c r="BF384">
        <v>56</v>
      </c>
      <c r="BG384">
        <v>66</v>
      </c>
      <c r="BH384" t="s">
        <v>3965</v>
      </c>
      <c r="BI384" t="s">
        <v>5038</v>
      </c>
      <c r="BJ384">
        <v>1</v>
      </c>
      <c r="BK384" t="s">
        <v>3902</v>
      </c>
    </row>
    <row r="385" spans="1:63" x14ac:dyDescent="0.25">
      <c r="A385">
        <v>4338</v>
      </c>
      <c r="B385" t="str">
        <f>"20200128193017098177"</f>
        <v>20200128193017098177</v>
      </c>
      <c r="C385">
        <v>1</v>
      </c>
      <c r="D385">
        <v>1</v>
      </c>
      <c r="E385" t="s">
        <v>3886</v>
      </c>
      <c r="F385">
        <v>1</v>
      </c>
      <c r="G385">
        <v>0</v>
      </c>
      <c r="H385" t="s">
        <v>66</v>
      </c>
      <c r="I385">
        <v>0</v>
      </c>
      <c r="J385" t="s">
        <v>66</v>
      </c>
      <c r="K385">
        <v>0</v>
      </c>
      <c r="L385" t="s">
        <v>66</v>
      </c>
      <c r="M385" t="s">
        <v>56</v>
      </c>
      <c r="N385">
        <v>0</v>
      </c>
      <c r="O385" t="s">
        <v>66</v>
      </c>
      <c r="P385" t="s">
        <v>56</v>
      </c>
      <c r="Q385">
        <v>0</v>
      </c>
      <c r="R385" t="s">
        <v>66</v>
      </c>
      <c r="S385" t="s">
        <v>56</v>
      </c>
      <c r="T385">
        <v>1</v>
      </c>
      <c r="U385" t="s">
        <v>1627</v>
      </c>
      <c r="V385" t="s">
        <v>56</v>
      </c>
      <c r="W385">
        <v>0</v>
      </c>
      <c r="X385" t="s">
        <v>66</v>
      </c>
      <c r="Y385" t="s">
        <v>56</v>
      </c>
      <c r="Z385">
        <v>0</v>
      </c>
      <c r="AA385" t="s">
        <v>66</v>
      </c>
      <c r="AB385" t="s">
        <v>56</v>
      </c>
      <c r="AC385">
        <v>1</v>
      </c>
      <c r="AD385" t="s">
        <v>1627</v>
      </c>
      <c r="AE385" t="s">
        <v>3887</v>
      </c>
      <c r="AF385">
        <v>0</v>
      </c>
      <c r="AG385" t="s">
        <v>66</v>
      </c>
      <c r="AH385" t="s">
        <v>56</v>
      </c>
      <c r="AI385">
        <v>1</v>
      </c>
      <c r="AJ385" t="s">
        <v>1627</v>
      </c>
      <c r="AK385" t="s">
        <v>56</v>
      </c>
      <c r="AL385" t="s">
        <v>56</v>
      </c>
      <c r="AM385" t="s">
        <v>56</v>
      </c>
      <c r="AN385" t="s">
        <v>56</v>
      </c>
      <c r="AO385" t="s">
        <v>5039</v>
      </c>
      <c r="AP385" t="s">
        <v>3889</v>
      </c>
      <c r="AQ385" t="s">
        <v>3890</v>
      </c>
      <c r="AR385">
        <v>503</v>
      </c>
      <c r="AS385" t="s">
        <v>4060</v>
      </c>
      <c r="AT385" t="s">
        <v>5040</v>
      </c>
      <c r="AU385" t="s">
        <v>3894</v>
      </c>
      <c r="AV385" t="s">
        <v>3895</v>
      </c>
      <c r="AW385" t="s">
        <v>3896</v>
      </c>
      <c r="AX385">
        <v>6</v>
      </c>
      <c r="AY385">
        <v>2</v>
      </c>
      <c r="AZ385" t="s">
        <v>3897</v>
      </c>
      <c r="BA385">
        <v>10</v>
      </c>
      <c r="BB385" t="s">
        <v>3898</v>
      </c>
      <c r="BC385">
        <v>5</v>
      </c>
      <c r="BD385">
        <v>3</v>
      </c>
      <c r="BE385" t="s">
        <v>3911</v>
      </c>
      <c r="BF385">
        <v>1</v>
      </c>
      <c r="BG385">
        <v>13</v>
      </c>
      <c r="BH385" t="s">
        <v>3900</v>
      </c>
      <c r="BI385" t="s">
        <v>5040</v>
      </c>
      <c r="BJ385">
        <v>1</v>
      </c>
      <c r="BK385" t="s">
        <v>3902</v>
      </c>
    </row>
    <row r="386" spans="1:63" x14ac:dyDescent="0.25">
      <c r="A386">
        <v>4604</v>
      </c>
      <c r="B386" t="str">
        <f>"20200201124017183479"</f>
        <v>20200201124017183479</v>
      </c>
      <c r="C386">
        <v>1</v>
      </c>
      <c r="D386">
        <v>1</v>
      </c>
      <c r="E386" t="s">
        <v>3886</v>
      </c>
      <c r="F386">
        <v>2</v>
      </c>
      <c r="G386">
        <v>0</v>
      </c>
      <c r="H386" t="s">
        <v>66</v>
      </c>
      <c r="I386">
        <v>0</v>
      </c>
      <c r="J386" t="s">
        <v>66</v>
      </c>
      <c r="K386">
        <v>0</v>
      </c>
      <c r="L386" t="s">
        <v>66</v>
      </c>
      <c r="M386" t="s">
        <v>56</v>
      </c>
      <c r="N386">
        <v>0</v>
      </c>
      <c r="O386" t="s">
        <v>66</v>
      </c>
      <c r="P386" t="s">
        <v>56</v>
      </c>
      <c r="Q386">
        <v>0</v>
      </c>
      <c r="R386" t="s">
        <v>66</v>
      </c>
      <c r="S386" t="s">
        <v>56</v>
      </c>
      <c r="T386">
        <v>1</v>
      </c>
      <c r="U386" t="s">
        <v>1627</v>
      </c>
      <c r="V386" t="s">
        <v>56</v>
      </c>
      <c r="W386">
        <v>0</v>
      </c>
      <c r="X386" t="s">
        <v>66</v>
      </c>
      <c r="Y386" t="s">
        <v>56</v>
      </c>
      <c r="Z386">
        <v>0</v>
      </c>
      <c r="AA386" t="s">
        <v>66</v>
      </c>
      <c r="AB386" t="s">
        <v>56</v>
      </c>
      <c r="AC386">
        <v>1</v>
      </c>
      <c r="AD386" t="s">
        <v>1627</v>
      </c>
      <c r="AE386" t="s">
        <v>3887</v>
      </c>
      <c r="AF386">
        <v>0</v>
      </c>
      <c r="AG386" t="s">
        <v>66</v>
      </c>
      <c r="AH386" t="s">
        <v>56</v>
      </c>
      <c r="AI386">
        <v>1</v>
      </c>
      <c r="AJ386" t="s">
        <v>1627</v>
      </c>
      <c r="AK386" t="s">
        <v>56</v>
      </c>
      <c r="AL386" t="s">
        <v>56</v>
      </c>
      <c r="AM386" t="s">
        <v>56</v>
      </c>
      <c r="AN386" t="s">
        <v>56</v>
      </c>
      <c r="AO386" t="s">
        <v>4272</v>
      </c>
      <c r="AP386" t="s">
        <v>3889</v>
      </c>
      <c r="AQ386" t="s">
        <v>3890</v>
      </c>
      <c r="AR386" t="s">
        <v>3891</v>
      </c>
      <c r="AS386" t="s">
        <v>3892</v>
      </c>
      <c r="AT386" t="s">
        <v>4273</v>
      </c>
      <c r="AU386" t="s">
        <v>3894</v>
      </c>
      <c r="AV386" t="s">
        <v>3895</v>
      </c>
      <c r="AW386" t="s">
        <v>3896</v>
      </c>
      <c r="AX386">
        <v>12</v>
      </c>
      <c r="AY386">
        <v>2</v>
      </c>
      <c r="AZ386" t="s">
        <v>3897</v>
      </c>
      <c r="BA386">
        <v>10</v>
      </c>
      <c r="BB386" t="s">
        <v>3898</v>
      </c>
      <c r="BC386">
        <v>3</v>
      </c>
      <c r="BD386">
        <v>5</v>
      </c>
      <c r="BE386" t="s">
        <v>3899</v>
      </c>
      <c r="BF386">
        <v>4</v>
      </c>
      <c r="BG386">
        <v>13</v>
      </c>
      <c r="BH386" t="s">
        <v>3900</v>
      </c>
      <c r="BI386" t="s">
        <v>5041</v>
      </c>
      <c r="BJ386">
        <v>1</v>
      </c>
      <c r="BK386" t="s">
        <v>3902</v>
      </c>
    </row>
    <row r="387" spans="1:63" x14ac:dyDescent="0.25">
      <c r="A387">
        <v>4605</v>
      </c>
      <c r="B387" t="str">
        <f>"20200201179017183660"</f>
        <v>20200201179017183660</v>
      </c>
      <c r="C387">
        <v>1</v>
      </c>
      <c r="D387">
        <v>1</v>
      </c>
      <c r="E387" t="s">
        <v>3886</v>
      </c>
      <c r="F387">
        <v>2</v>
      </c>
      <c r="G387">
        <v>0</v>
      </c>
      <c r="H387" t="s">
        <v>66</v>
      </c>
      <c r="I387">
        <v>0</v>
      </c>
      <c r="J387" t="s">
        <v>66</v>
      </c>
      <c r="K387">
        <v>0</v>
      </c>
      <c r="L387" t="s">
        <v>66</v>
      </c>
      <c r="M387" t="s">
        <v>56</v>
      </c>
      <c r="N387">
        <v>0</v>
      </c>
      <c r="O387" t="s">
        <v>66</v>
      </c>
      <c r="P387" t="s">
        <v>56</v>
      </c>
      <c r="Q387">
        <v>0</v>
      </c>
      <c r="R387" t="s">
        <v>66</v>
      </c>
      <c r="S387" t="s">
        <v>56</v>
      </c>
      <c r="T387">
        <v>1</v>
      </c>
      <c r="U387" t="s">
        <v>1627</v>
      </c>
      <c r="V387" t="s">
        <v>56</v>
      </c>
      <c r="W387">
        <v>0</v>
      </c>
      <c r="X387" t="s">
        <v>66</v>
      </c>
      <c r="Y387" t="s">
        <v>56</v>
      </c>
      <c r="Z387">
        <v>0</v>
      </c>
      <c r="AA387" t="s">
        <v>66</v>
      </c>
      <c r="AB387" t="s">
        <v>56</v>
      </c>
      <c r="AC387">
        <v>1</v>
      </c>
      <c r="AD387" t="s">
        <v>1627</v>
      </c>
      <c r="AE387" t="s">
        <v>3887</v>
      </c>
      <c r="AF387">
        <v>0</v>
      </c>
      <c r="AG387" t="s">
        <v>66</v>
      </c>
      <c r="AH387" t="s">
        <v>56</v>
      </c>
      <c r="AI387">
        <v>1</v>
      </c>
      <c r="AJ387" t="s">
        <v>1627</v>
      </c>
      <c r="AK387" t="s">
        <v>56</v>
      </c>
      <c r="AL387" t="s">
        <v>56</v>
      </c>
      <c r="AM387" t="s">
        <v>56</v>
      </c>
      <c r="AN387" t="s">
        <v>56</v>
      </c>
      <c r="AO387" t="s">
        <v>3992</v>
      </c>
      <c r="AP387" t="s">
        <v>3889</v>
      </c>
      <c r="AQ387" t="s">
        <v>3890</v>
      </c>
      <c r="AR387" t="s">
        <v>3926</v>
      </c>
      <c r="AS387" t="s">
        <v>3927</v>
      </c>
      <c r="AT387" t="s">
        <v>4273</v>
      </c>
      <c r="AU387" t="s">
        <v>3894</v>
      </c>
      <c r="AV387" t="s">
        <v>3895</v>
      </c>
      <c r="AW387" t="s">
        <v>3896</v>
      </c>
      <c r="AX387">
        <v>12</v>
      </c>
      <c r="AY387">
        <v>2</v>
      </c>
      <c r="AZ387" t="s">
        <v>3897</v>
      </c>
      <c r="BA387">
        <v>10</v>
      </c>
      <c r="BB387" t="s">
        <v>3898</v>
      </c>
      <c r="BC387">
        <v>3</v>
      </c>
      <c r="BD387">
        <v>5</v>
      </c>
      <c r="BE387" t="s">
        <v>3899</v>
      </c>
      <c r="BF387">
        <v>2</v>
      </c>
      <c r="BG387">
        <v>13</v>
      </c>
      <c r="BH387" t="s">
        <v>3900</v>
      </c>
      <c r="BI387" t="s">
        <v>5042</v>
      </c>
      <c r="BJ387">
        <v>1</v>
      </c>
      <c r="BK387" t="s">
        <v>3902</v>
      </c>
    </row>
    <row r="388" spans="1:63" x14ac:dyDescent="0.25">
      <c r="A388">
        <v>4606</v>
      </c>
      <c r="B388" t="str">
        <f>"20200201117017183734"</f>
        <v>20200201117017183734</v>
      </c>
      <c r="C388">
        <v>1</v>
      </c>
      <c r="D388">
        <v>1</v>
      </c>
      <c r="E388" t="s">
        <v>3886</v>
      </c>
      <c r="F388">
        <v>2</v>
      </c>
      <c r="G388">
        <v>0</v>
      </c>
      <c r="H388" t="s">
        <v>66</v>
      </c>
      <c r="I388">
        <v>0</v>
      </c>
      <c r="J388" t="s">
        <v>66</v>
      </c>
      <c r="K388">
        <v>0</v>
      </c>
      <c r="L388" t="s">
        <v>66</v>
      </c>
      <c r="M388" t="s">
        <v>56</v>
      </c>
      <c r="N388">
        <v>0</v>
      </c>
      <c r="O388" t="s">
        <v>66</v>
      </c>
      <c r="P388" t="s">
        <v>56</v>
      </c>
      <c r="Q388">
        <v>0</v>
      </c>
      <c r="R388" t="s">
        <v>66</v>
      </c>
      <c r="S388" t="s">
        <v>56</v>
      </c>
      <c r="T388">
        <v>1</v>
      </c>
      <c r="U388" t="s">
        <v>1627</v>
      </c>
      <c r="V388" t="s">
        <v>56</v>
      </c>
      <c r="W388">
        <v>0</v>
      </c>
      <c r="X388" t="s">
        <v>66</v>
      </c>
      <c r="Y388" t="s">
        <v>56</v>
      </c>
      <c r="Z388">
        <v>0</v>
      </c>
      <c r="AA388" t="s">
        <v>66</v>
      </c>
      <c r="AB388" t="s">
        <v>56</v>
      </c>
      <c r="AC388">
        <v>1</v>
      </c>
      <c r="AD388" t="s">
        <v>1627</v>
      </c>
      <c r="AE388" t="s">
        <v>3887</v>
      </c>
      <c r="AF388">
        <v>0</v>
      </c>
      <c r="AG388" t="s">
        <v>66</v>
      </c>
      <c r="AH388" t="s">
        <v>56</v>
      </c>
      <c r="AI388">
        <v>1</v>
      </c>
      <c r="AJ388" t="s">
        <v>1627</v>
      </c>
      <c r="AK388" t="s">
        <v>56</v>
      </c>
      <c r="AL388" t="s">
        <v>56</v>
      </c>
      <c r="AM388" t="s">
        <v>56</v>
      </c>
      <c r="AN388" t="s">
        <v>56</v>
      </c>
      <c r="AO388" t="s">
        <v>3992</v>
      </c>
      <c r="AP388" t="s">
        <v>3889</v>
      </c>
      <c r="AQ388" t="s">
        <v>3890</v>
      </c>
      <c r="AR388" t="s">
        <v>3926</v>
      </c>
      <c r="AS388" t="s">
        <v>3927</v>
      </c>
      <c r="AT388" t="s">
        <v>4273</v>
      </c>
      <c r="AU388" t="s">
        <v>3894</v>
      </c>
      <c r="AV388" t="s">
        <v>3895</v>
      </c>
      <c r="AW388" t="s">
        <v>3896</v>
      </c>
      <c r="AX388">
        <v>12</v>
      </c>
      <c r="AY388">
        <v>2</v>
      </c>
      <c r="AZ388" t="s">
        <v>3897</v>
      </c>
      <c r="BA388">
        <v>10</v>
      </c>
      <c r="BB388" t="s">
        <v>3898</v>
      </c>
      <c r="BC388">
        <v>3</v>
      </c>
      <c r="BD388">
        <v>5</v>
      </c>
      <c r="BE388" t="s">
        <v>3899</v>
      </c>
      <c r="BF388">
        <v>1</v>
      </c>
      <c r="BG388">
        <v>13</v>
      </c>
      <c r="BH388" t="s">
        <v>3900</v>
      </c>
      <c r="BI388" t="s">
        <v>5043</v>
      </c>
      <c r="BJ388">
        <v>1</v>
      </c>
      <c r="BK388" t="s">
        <v>3902</v>
      </c>
    </row>
    <row r="389" spans="1:63" x14ac:dyDescent="0.25">
      <c r="A389">
        <v>4607</v>
      </c>
      <c r="B389" t="str">
        <f>"20200201117017183734"</f>
        <v>20200201117017183734</v>
      </c>
      <c r="C389">
        <v>2</v>
      </c>
      <c r="D389">
        <v>1</v>
      </c>
      <c r="E389" t="s">
        <v>3886</v>
      </c>
      <c r="F389">
        <v>2</v>
      </c>
      <c r="G389">
        <v>0</v>
      </c>
      <c r="H389" t="s">
        <v>66</v>
      </c>
      <c r="I389">
        <v>0</v>
      </c>
      <c r="J389" t="s">
        <v>66</v>
      </c>
      <c r="K389">
        <v>0</v>
      </c>
      <c r="L389" t="s">
        <v>66</v>
      </c>
      <c r="M389" t="s">
        <v>56</v>
      </c>
      <c r="N389">
        <v>0</v>
      </c>
      <c r="O389" t="s">
        <v>66</v>
      </c>
      <c r="P389" t="s">
        <v>56</v>
      </c>
      <c r="Q389">
        <v>0</v>
      </c>
      <c r="R389" t="s">
        <v>66</v>
      </c>
      <c r="S389" t="s">
        <v>56</v>
      </c>
      <c r="T389">
        <v>1</v>
      </c>
      <c r="U389" t="s">
        <v>1627</v>
      </c>
      <c r="V389" t="s">
        <v>56</v>
      </c>
      <c r="W389">
        <v>0</v>
      </c>
      <c r="X389" t="s">
        <v>66</v>
      </c>
      <c r="Y389" t="s">
        <v>56</v>
      </c>
      <c r="Z389">
        <v>0</v>
      </c>
      <c r="AA389" t="s">
        <v>66</v>
      </c>
      <c r="AB389" t="s">
        <v>56</v>
      </c>
      <c r="AC389">
        <v>1</v>
      </c>
      <c r="AD389" t="s">
        <v>1627</v>
      </c>
      <c r="AE389" t="s">
        <v>3887</v>
      </c>
      <c r="AF389">
        <v>0</v>
      </c>
      <c r="AG389" t="s">
        <v>66</v>
      </c>
      <c r="AH389" t="s">
        <v>56</v>
      </c>
      <c r="AI389">
        <v>1</v>
      </c>
      <c r="AJ389" t="s">
        <v>1627</v>
      </c>
      <c r="AK389" t="s">
        <v>56</v>
      </c>
      <c r="AL389" t="s">
        <v>56</v>
      </c>
      <c r="AM389" t="s">
        <v>56</v>
      </c>
      <c r="AN389" t="s">
        <v>56</v>
      </c>
      <c r="AO389" t="s">
        <v>4004</v>
      </c>
      <c r="AP389" t="s">
        <v>3889</v>
      </c>
      <c r="AQ389" t="s">
        <v>3890</v>
      </c>
      <c r="AR389" t="s">
        <v>3891</v>
      </c>
      <c r="AS389" t="s">
        <v>3892</v>
      </c>
      <c r="AT389" t="s">
        <v>3893</v>
      </c>
      <c r="AU389" t="s">
        <v>3894</v>
      </c>
      <c r="AV389" t="s">
        <v>3895</v>
      </c>
      <c r="AW389" t="s">
        <v>3896</v>
      </c>
      <c r="AX389">
        <v>6</v>
      </c>
      <c r="AY389">
        <v>2</v>
      </c>
      <c r="AZ389" t="s">
        <v>3897</v>
      </c>
      <c r="BA389">
        <v>10</v>
      </c>
      <c r="BB389" t="s">
        <v>3898</v>
      </c>
      <c r="BC389">
        <v>3</v>
      </c>
      <c r="BD389">
        <v>5</v>
      </c>
      <c r="BE389" t="s">
        <v>3899</v>
      </c>
      <c r="BF389">
        <v>2</v>
      </c>
      <c r="BG389">
        <v>13</v>
      </c>
      <c r="BH389" t="s">
        <v>3900</v>
      </c>
      <c r="BI389" t="s">
        <v>5044</v>
      </c>
      <c r="BJ389">
        <v>1</v>
      </c>
      <c r="BK389" t="s">
        <v>3902</v>
      </c>
    </row>
    <row r="390" spans="1:63" x14ac:dyDescent="0.25">
      <c r="A390">
        <v>4608</v>
      </c>
      <c r="B390" t="str">
        <f>"20200201148017183785"</f>
        <v>20200201148017183785</v>
      </c>
      <c r="C390">
        <v>1</v>
      </c>
      <c r="D390">
        <v>1</v>
      </c>
      <c r="E390" t="s">
        <v>3886</v>
      </c>
      <c r="F390">
        <v>2</v>
      </c>
      <c r="G390">
        <v>0</v>
      </c>
      <c r="H390" t="s">
        <v>66</v>
      </c>
      <c r="I390">
        <v>0</v>
      </c>
      <c r="J390" t="s">
        <v>66</v>
      </c>
      <c r="K390">
        <v>0</v>
      </c>
      <c r="L390" t="s">
        <v>66</v>
      </c>
      <c r="M390" t="s">
        <v>56</v>
      </c>
      <c r="N390">
        <v>0</v>
      </c>
      <c r="O390" t="s">
        <v>66</v>
      </c>
      <c r="P390" t="s">
        <v>56</v>
      </c>
      <c r="Q390">
        <v>0</v>
      </c>
      <c r="R390" t="s">
        <v>66</v>
      </c>
      <c r="S390" t="s">
        <v>56</v>
      </c>
      <c r="T390">
        <v>1</v>
      </c>
      <c r="U390" t="s">
        <v>1627</v>
      </c>
      <c r="V390" t="s">
        <v>56</v>
      </c>
      <c r="W390">
        <v>0</v>
      </c>
      <c r="X390" t="s">
        <v>66</v>
      </c>
      <c r="Y390" t="s">
        <v>56</v>
      </c>
      <c r="Z390">
        <v>0</v>
      </c>
      <c r="AA390" t="s">
        <v>66</v>
      </c>
      <c r="AB390" t="s">
        <v>56</v>
      </c>
      <c r="AC390">
        <v>1</v>
      </c>
      <c r="AD390" t="s">
        <v>1627</v>
      </c>
      <c r="AE390" t="s">
        <v>3887</v>
      </c>
      <c r="AF390">
        <v>0</v>
      </c>
      <c r="AG390" t="s">
        <v>66</v>
      </c>
      <c r="AH390" t="s">
        <v>56</v>
      </c>
      <c r="AI390">
        <v>1</v>
      </c>
      <c r="AJ390" t="s">
        <v>1627</v>
      </c>
      <c r="AK390" t="s">
        <v>56</v>
      </c>
      <c r="AL390" t="s">
        <v>56</v>
      </c>
      <c r="AM390" t="s">
        <v>56</v>
      </c>
      <c r="AN390" t="s">
        <v>56</v>
      </c>
      <c r="AO390" t="s">
        <v>3995</v>
      </c>
      <c r="AP390" t="s">
        <v>3996</v>
      </c>
      <c r="AQ390" t="s">
        <v>3997</v>
      </c>
      <c r="AR390" t="s">
        <v>3926</v>
      </c>
      <c r="AS390" t="s">
        <v>3927</v>
      </c>
      <c r="AT390" t="s">
        <v>5045</v>
      </c>
      <c r="AU390">
        <v>9000</v>
      </c>
      <c r="AV390" t="s">
        <v>3956</v>
      </c>
      <c r="AW390" t="s">
        <v>3956</v>
      </c>
      <c r="AX390">
        <v>24</v>
      </c>
      <c r="AY390">
        <v>2</v>
      </c>
      <c r="AZ390" t="s">
        <v>3897</v>
      </c>
      <c r="BA390">
        <v>10</v>
      </c>
      <c r="BB390" t="s">
        <v>3898</v>
      </c>
      <c r="BC390">
        <v>1</v>
      </c>
      <c r="BD390">
        <v>4</v>
      </c>
      <c r="BE390" t="s">
        <v>4302</v>
      </c>
      <c r="BF390">
        <v>1</v>
      </c>
      <c r="BG390">
        <v>73</v>
      </c>
      <c r="BH390" t="s">
        <v>3999</v>
      </c>
      <c r="BI390" t="s">
        <v>5046</v>
      </c>
      <c r="BJ390">
        <v>1</v>
      </c>
      <c r="BK390" t="s">
        <v>3902</v>
      </c>
    </row>
    <row r="391" spans="1:63" x14ac:dyDescent="0.25">
      <c r="A391">
        <v>4609</v>
      </c>
      <c r="B391" t="str">
        <f>"20200201168017184067"</f>
        <v>20200201168017184067</v>
      </c>
      <c r="C391">
        <v>1</v>
      </c>
      <c r="D391">
        <v>1</v>
      </c>
      <c r="E391" t="s">
        <v>3886</v>
      </c>
      <c r="F391">
        <v>2</v>
      </c>
      <c r="G391">
        <v>0</v>
      </c>
      <c r="H391" t="s">
        <v>66</v>
      </c>
      <c r="I391">
        <v>0</v>
      </c>
      <c r="J391" t="s">
        <v>66</v>
      </c>
      <c r="K391">
        <v>0</v>
      </c>
      <c r="L391" t="s">
        <v>66</v>
      </c>
      <c r="M391" t="s">
        <v>56</v>
      </c>
      <c r="N391">
        <v>0</v>
      </c>
      <c r="O391" t="s">
        <v>66</v>
      </c>
      <c r="P391" t="s">
        <v>56</v>
      </c>
      <c r="Q391">
        <v>0</v>
      </c>
      <c r="R391" t="s">
        <v>66</v>
      </c>
      <c r="S391" t="s">
        <v>56</v>
      </c>
      <c r="T391">
        <v>1</v>
      </c>
      <c r="U391" t="s">
        <v>1627</v>
      </c>
      <c r="V391" t="s">
        <v>56</v>
      </c>
      <c r="W391">
        <v>0</v>
      </c>
      <c r="X391" t="s">
        <v>66</v>
      </c>
      <c r="Y391" t="s">
        <v>56</v>
      </c>
      <c r="Z391">
        <v>0</v>
      </c>
      <c r="AA391" t="s">
        <v>66</v>
      </c>
      <c r="AB391" t="s">
        <v>56</v>
      </c>
      <c r="AC391">
        <v>1</v>
      </c>
      <c r="AD391" t="s">
        <v>1627</v>
      </c>
      <c r="AE391" t="s">
        <v>3887</v>
      </c>
      <c r="AF391">
        <v>0</v>
      </c>
      <c r="AG391" t="s">
        <v>66</v>
      </c>
      <c r="AH391" t="s">
        <v>56</v>
      </c>
      <c r="AI391">
        <v>1</v>
      </c>
      <c r="AJ391" t="s">
        <v>1627</v>
      </c>
      <c r="AK391" t="s">
        <v>56</v>
      </c>
      <c r="AL391" t="s">
        <v>56</v>
      </c>
      <c r="AM391" t="s">
        <v>56</v>
      </c>
      <c r="AN391" t="s">
        <v>56</v>
      </c>
      <c r="AO391" t="s">
        <v>4046</v>
      </c>
      <c r="AP391" t="s">
        <v>3889</v>
      </c>
      <c r="AQ391" t="s">
        <v>3890</v>
      </c>
      <c r="AR391" t="s">
        <v>3926</v>
      </c>
      <c r="AS391" t="s">
        <v>3927</v>
      </c>
      <c r="AT391" t="s">
        <v>4507</v>
      </c>
      <c r="AU391" t="s">
        <v>3894</v>
      </c>
      <c r="AV391" t="s">
        <v>3895</v>
      </c>
      <c r="AW391" t="s">
        <v>3896</v>
      </c>
      <c r="AX391">
        <v>12</v>
      </c>
      <c r="AY391">
        <v>2</v>
      </c>
      <c r="AZ391" t="s">
        <v>3897</v>
      </c>
      <c r="BA391">
        <v>10</v>
      </c>
      <c r="BB391" t="s">
        <v>3898</v>
      </c>
      <c r="BC391">
        <v>2</v>
      </c>
      <c r="BD391">
        <v>5</v>
      </c>
      <c r="BE391" t="s">
        <v>3899</v>
      </c>
      <c r="BF391">
        <v>3</v>
      </c>
      <c r="BG391">
        <v>13</v>
      </c>
      <c r="BH391" t="s">
        <v>3900</v>
      </c>
      <c r="BI391" t="s">
        <v>5047</v>
      </c>
      <c r="BJ391">
        <v>1</v>
      </c>
      <c r="BK391" t="s">
        <v>3902</v>
      </c>
    </row>
    <row r="392" spans="1:63" x14ac:dyDescent="0.25">
      <c r="A392">
        <v>4610</v>
      </c>
      <c r="B392" t="str">
        <f>"20200201186017184141"</f>
        <v>20200201186017184141</v>
      </c>
      <c r="C392">
        <v>1</v>
      </c>
      <c r="D392">
        <v>1</v>
      </c>
      <c r="E392" t="s">
        <v>3886</v>
      </c>
      <c r="F392">
        <v>2</v>
      </c>
      <c r="G392">
        <v>0</v>
      </c>
      <c r="H392" t="s">
        <v>66</v>
      </c>
      <c r="I392">
        <v>0</v>
      </c>
      <c r="J392" t="s">
        <v>66</v>
      </c>
      <c r="K392">
        <v>0</v>
      </c>
      <c r="L392" t="s">
        <v>66</v>
      </c>
      <c r="M392" t="s">
        <v>56</v>
      </c>
      <c r="N392">
        <v>0</v>
      </c>
      <c r="O392" t="s">
        <v>66</v>
      </c>
      <c r="P392" t="s">
        <v>56</v>
      </c>
      <c r="Q392">
        <v>0</v>
      </c>
      <c r="R392" t="s">
        <v>66</v>
      </c>
      <c r="S392" t="s">
        <v>56</v>
      </c>
      <c r="T392">
        <v>1</v>
      </c>
      <c r="U392" t="s">
        <v>1627</v>
      </c>
      <c r="V392" t="s">
        <v>56</v>
      </c>
      <c r="W392">
        <v>0</v>
      </c>
      <c r="X392" t="s">
        <v>66</v>
      </c>
      <c r="Y392" t="s">
        <v>56</v>
      </c>
      <c r="Z392">
        <v>0</v>
      </c>
      <c r="AA392" t="s">
        <v>66</v>
      </c>
      <c r="AB392" t="s">
        <v>56</v>
      </c>
      <c r="AC392">
        <v>1</v>
      </c>
      <c r="AD392" t="s">
        <v>1627</v>
      </c>
      <c r="AE392" t="s">
        <v>3887</v>
      </c>
      <c r="AF392">
        <v>0</v>
      </c>
      <c r="AG392" t="s">
        <v>66</v>
      </c>
      <c r="AH392" t="s">
        <v>56</v>
      </c>
      <c r="AI392">
        <v>1</v>
      </c>
      <c r="AJ392" t="s">
        <v>1627</v>
      </c>
      <c r="AK392" t="s">
        <v>56</v>
      </c>
      <c r="AL392" t="s">
        <v>56</v>
      </c>
      <c r="AM392" t="s">
        <v>56</v>
      </c>
      <c r="AN392" t="s">
        <v>56</v>
      </c>
      <c r="AO392" t="s">
        <v>5048</v>
      </c>
      <c r="AP392" t="s">
        <v>3889</v>
      </c>
      <c r="AQ392" t="s">
        <v>3890</v>
      </c>
      <c r="AR392" t="s">
        <v>3891</v>
      </c>
      <c r="AS392" t="s">
        <v>3892</v>
      </c>
      <c r="AT392" t="s">
        <v>5049</v>
      </c>
      <c r="AU392" t="s">
        <v>3894</v>
      </c>
      <c r="AV392" t="s">
        <v>3895</v>
      </c>
      <c r="AW392" t="s">
        <v>3896</v>
      </c>
      <c r="AX392">
        <v>2</v>
      </c>
      <c r="AY392">
        <v>2</v>
      </c>
      <c r="AZ392" t="s">
        <v>3897</v>
      </c>
      <c r="BA392">
        <v>10</v>
      </c>
      <c r="BB392" t="s">
        <v>3898</v>
      </c>
      <c r="BC392">
        <v>1</v>
      </c>
      <c r="BD392">
        <v>4</v>
      </c>
      <c r="BE392" t="s">
        <v>4302</v>
      </c>
      <c r="BF392">
        <v>1</v>
      </c>
      <c r="BG392">
        <v>13</v>
      </c>
      <c r="BH392" t="s">
        <v>3900</v>
      </c>
      <c r="BI392" t="s">
        <v>5050</v>
      </c>
      <c r="BJ392">
        <v>1</v>
      </c>
      <c r="BK392" t="s">
        <v>3902</v>
      </c>
    </row>
    <row r="393" spans="1:63" x14ac:dyDescent="0.25">
      <c r="A393">
        <v>4611</v>
      </c>
      <c r="B393" t="str">
        <f>"20200201186017184141"</f>
        <v>20200201186017184141</v>
      </c>
      <c r="C393">
        <v>2</v>
      </c>
      <c r="D393">
        <v>1</v>
      </c>
      <c r="E393" t="s">
        <v>3886</v>
      </c>
      <c r="F393">
        <v>2</v>
      </c>
      <c r="G393">
        <v>0</v>
      </c>
      <c r="H393" t="s">
        <v>66</v>
      </c>
      <c r="I393">
        <v>0</v>
      </c>
      <c r="J393" t="s">
        <v>66</v>
      </c>
      <c r="K393">
        <v>0</v>
      </c>
      <c r="L393" t="s">
        <v>66</v>
      </c>
      <c r="M393" t="s">
        <v>56</v>
      </c>
      <c r="N393">
        <v>0</v>
      </c>
      <c r="O393" t="s">
        <v>66</v>
      </c>
      <c r="P393" t="s">
        <v>56</v>
      </c>
      <c r="Q393">
        <v>0</v>
      </c>
      <c r="R393" t="s">
        <v>66</v>
      </c>
      <c r="S393" t="s">
        <v>56</v>
      </c>
      <c r="T393">
        <v>1</v>
      </c>
      <c r="U393" t="s">
        <v>1627</v>
      </c>
      <c r="V393" t="s">
        <v>56</v>
      </c>
      <c r="W393">
        <v>0</v>
      </c>
      <c r="X393" t="s">
        <v>66</v>
      </c>
      <c r="Y393" t="s">
        <v>56</v>
      </c>
      <c r="Z393">
        <v>0</v>
      </c>
      <c r="AA393" t="s">
        <v>66</v>
      </c>
      <c r="AB393" t="s">
        <v>56</v>
      </c>
      <c r="AC393">
        <v>1</v>
      </c>
      <c r="AD393" t="s">
        <v>1627</v>
      </c>
      <c r="AE393" t="s">
        <v>3887</v>
      </c>
      <c r="AF393">
        <v>0</v>
      </c>
      <c r="AG393" t="s">
        <v>66</v>
      </c>
      <c r="AH393" t="s">
        <v>56</v>
      </c>
      <c r="AI393">
        <v>1</v>
      </c>
      <c r="AJ393" t="s">
        <v>1627</v>
      </c>
      <c r="AK393" t="s">
        <v>56</v>
      </c>
      <c r="AL393" t="s">
        <v>56</v>
      </c>
      <c r="AM393" t="s">
        <v>56</v>
      </c>
      <c r="AN393" t="s">
        <v>56</v>
      </c>
      <c r="AO393" t="s">
        <v>5051</v>
      </c>
      <c r="AP393" t="s">
        <v>3934</v>
      </c>
      <c r="AQ393" t="s">
        <v>3935</v>
      </c>
      <c r="AR393" t="s">
        <v>3926</v>
      </c>
      <c r="AS393" t="s">
        <v>3927</v>
      </c>
      <c r="AT393" t="s">
        <v>5052</v>
      </c>
      <c r="AU393" t="s">
        <v>3894</v>
      </c>
      <c r="AV393" t="s">
        <v>3895</v>
      </c>
      <c r="AW393" t="s">
        <v>3896</v>
      </c>
      <c r="AX393">
        <v>6</v>
      </c>
      <c r="AY393">
        <v>2</v>
      </c>
      <c r="AZ393" t="s">
        <v>3897</v>
      </c>
      <c r="BA393">
        <v>10</v>
      </c>
      <c r="BB393" t="s">
        <v>3898</v>
      </c>
      <c r="BC393">
        <v>1</v>
      </c>
      <c r="BD393">
        <v>4</v>
      </c>
      <c r="BE393" t="s">
        <v>4302</v>
      </c>
      <c r="BF393">
        <v>1</v>
      </c>
      <c r="BG393">
        <v>13</v>
      </c>
      <c r="BH393" t="s">
        <v>3900</v>
      </c>
      <c r="BI393" t="s">
        <v>5053</v>
      </c>
      <c r="BJ393">
        <v>1</v>
      </c>
      <c r="BK393" t="s">
        <v>3902</v>
      </c>
    </row>
    <row r="394" spans="1:63" x14ac:dyDescent="0.25">
      <c r="A394">
        <v>4612</v>
      </c>
      <c r="B394" t="str">
        <f>"20200201111017184213"</f>
        <v>20200201111017184213</v>
      </c>
      <c r="C394">
        <v>1</v>
      </c>
      <c r="D394">
        <v>1</v>
      </c>
      <c r="E394" t="s">
        <v>3886</v>
      </c>
      <c r="F394">
        <v>2</v>
      </c>
      <c r="G394">
        <v>0</v>
      </c>
      <c r="H394" t="s">
        <v>66</v>
      </c>
      <c r="I394">
        <v>0</v>
      </c>
      <c r="J394" t="s">
        <v>66</v>
      </c>
      <c r="K394">
        <v>0</v>
      </c>
      <c r="L394" t="s">
        <v>66</v>
      </c>
      <c r="M394" t="s">
        <v>56</v>
      </c>
      <c r="N394">
        <v>0</v>
      </c>
      <c r="O394" t="s">
        <v>66</v>
      </c>
      <c r="P394" t="s">
        <v>56</v>
      </c>
      <c r="Q394">
        <v>0</v>
      </c>
      <c r="R394" t="s">
        <v>66</v>
      </c>
      <c r="S394" t="s">
        <v>56</v>
      </c>
      <c r="T394">
        <v>1</v>
      </c>
      <c r="U394" t="s">
        <v>1627</v>
      </c>
      <c r="V394" t="s">
        <v>56</v>
      </c>
      <c r="W394">
        <v>0</v>
      </c>
      <c r="X394" t="s">
        <v>66</v>
      </c>
      <c r="Y394" t="s">
        <v>56</v>
      </c>
      <c r="Z394">
        <v>0</v>
      </c>
      <c r="AA394" t="s">
        <v>66</v>
      </c>
      <c r="AB394" t="s">
        <v>56</v>
      </c>
      <c r="AC394">
        <v>1</v>
      </c>
      <c r="AD394" t="s">
        <v>1627</v>
      </c>
      <c r="AE394" t="s">
        <v>3887</v>
      </c>
      <c r="AF394">
        <v>0</v>
      </c>
      <c r="AG394" t="s">
        <v>66</v>
      </c>
      <c r="AH394" t="s">
        <v>56</v>
      </c>
      <c r="AI394">
        <v>1</v>
      </c>
      <c r="AJ394" t="s">
        <v>1627</v>
      </c>
      <c r="AK394" t="s">
        <v>56</v>
      </c>
      <c r="AL394" t="s">
        <v>56</v>
      </c>
      <c r="AM394" t="s">
        <v>56</v>
      </c>
      <c r="AN394" t="s">
        <v>56</v>
      </c>
      <c r="AO394" t="s">
        <v>4046</v>
      </c>
      <c r="AP394" t="s">
        <v>3889</v>
      </c>
      <c r="AQ394" t="s">
        <v>3890</v>
      </c>
      <c r="AR394" t="s">
        <v>3926</v>
      </c>
      <c r="AS394" t="s">
        <v>3927</v>
      </c>
      <c r="AT394" t="s">
        <v>4507</v>
      </c>
      <c r="AU394" t="s">
        <v>3894</v>
      </c>
      <c r="AV394" t="s">
        <v>3895</v>
      </c>
      <c r="AW394" t="s">
        <v>3896</v>
      </c>
      <c r="AX394">
        <v>12</v>
      </c>
      <c r="AY394">
        <v>2</v>
      </c>
      <c r="AZ394" t="s">
        <v>3897</v>
      </c>
      <c r="BA394">
        <v>10</v>
      </c>
      <c r="BB394" t="s">
        <v>3898</v>
      </c>
      <c r="BC394">
        <v>3</v>
      </c>
      <c r="BD394">
        <v>5</v>
      </c>
      <c r="BE394" t="s">
        <v>3899</v>
      </c>
      <c r="BF394">
        <v>4</v>
      </c>
      <c r="BG394">
        <v>13</v>
      </c>
      <c r="BH394" t="s">
        <v>3900</v>
      </c>
      <c r="BI394" t="s">
        <v>5054</v>
      </c>
      <c r="BJ394">
        <v>1</v>
      </c>
      <c r="BK394" t="s">
        <v>3902</v>
      </c>
    </row>
    <row r="395" spans="1:63" x14ac:dyDescent="0.25">
      <c r="A395">
        <v>4613</v>
      </c>
      <c r="B395" t="str">
        <f>"20200201157017184296"</f>
        <v>20200201157017184296</v>
      </c>
      <c r="C395">
        <v>1</v>
      </c>
      <c r="D395">
        <v>1</v>
      </c>
      <c r="E395" t="s">
        <v>3886</v>
      </c>
      <c r="F395">
        <v>2</v>
      </c>
      <c r="G395">
        <v>0</v>
      </c>
      <c r="H395" t="s">
        <v>66</v>
      </c>
      <c r="I395">
        <v>0</v>
      </c>
      <c r="J395" t="s">
        <v>66</v>
      </c>
      <c r="K395">
        <v>0</v>
      </c>
      <c r="L395" t="s">
        <v>66</v>
      </c>
      <c r="M395" t="s">
        <v>56</v>
      </c>
      <c r="N395">
        <v>0</v>
      </c>
      <c r="O395" t="s">
        <v>66</v>
      </c>
      <c r="P395" t="s">
        <v>56</v>
      </c>
      <c r="Q395">
        <v>0</v>
      </c>
      <c r="R395" t="s">
        <v>66</v>
      </c>
      <c r="S395" t="s">
        <v>56</v>
      </c>
      <c r="T395">
        <v>1</v>
      </c>
      <c r="U395" t="s">
        <v>1627</v>
      </c>
      <c r="V395" t="s">
        <v>56</v>
      </c>
      <c r="W395">
        <v>0</v>
      </c>
      <c r="X395" t="s">
        <v>66</v>
      </c>
      <c r="Y395" t="s">
        <v>56</v>
      </c>
      <c r="Z395">
        <v>0</v>
      </c>
      <c r="AA395" t="s">
        <v>66</v>
      </c>
      <c r="AB395" t="s">
        <v>56</v>
      </c>
      <c r="AC395">
        <v>1</v>
      </c>
      <c r="AD395" t="s">
        <v>1627</v>
      </c>
      <c r="AE395" t="s">
        <v>3887</v>
      </c>
      <c r="AF395">
        <v>0</v>
      </c>
      <c r="AG395" t="s">
        <v>66</v>
      </c>
      <c r="AH395" t="s">
        <v>56</v>
      </c>
      <c r="AI395">
        <v>1</v>
      </c>
      <c r="AJ395" t="s">
        <v>1627</v>
      </c>
      <c r="AK395" t="s">
        <v>56</v>
      </c>
      <c r="AL395" t="s">
        <v>56</v>
      </c>
      <c r="AM395" t="s">
        <v>56</v>
      </c>
      <c r="AN395" t="s">
        <v>56</v>
      </c>
      <c r="AO395" t="s">
        <v>4139</v>
      </c>
      <c r="AP395" t="s">
        <v>3889</v>
      </c>
      <c r="AQ395" t="s">
        <v>3890</v>
      </c>
      <c r="AR395" t="s">
        <v>3891</v>
      </c>
      <c r="AS395" t="s">
        <v>3892</v>
      </c>
      <c r="AT395" t="s">
        <v>4780</v>
      </c>
      <c r="AU395" t="s">
        <v>3894</v>
      </c>
      <c r="AV395" t="s">
        <v>3895</v>
      </c>
      <c r="AW395" t="s">
        <v>3896</v>
      </c>
      <c r="AX395">
        <v>12</v>
      </c>
      <c r="AY395">
        <v>2</v>
      </c>
      <c r="AZ395" t="s">
        <v>3897</v>
      </c>
      <c r="BA395">
        <v>10</v>
      </c>
      <c r="BB395" t="s">
        <v>3898</v>
      </c>
      <c r="BC395">
        <v>3</v>
      </c>
      <c r="BD395">
        <v>5</v>
      </c>
      <c r="BE395" t="s">
        <v>3899</v>
      </c>
      <c r="BF395">
        <v>4</v>
      </c>
      <c r="BG395">
        <v>13</v>
      </c>
      <c r="BH395" t="s">
        <v>3900</v>
      </c>
      <c r="BI395" t="s">
        <v>5055</v>
      </c>
      <c r="BJ395">
        <v>1</v>
      </c>
      <c r="BK395" t="s">
        <v>3902</v>
      </c>
    </row>
    <row r="396" spans="1:63" x14ac:dyDescent="0.25">
      <c r="A396">
        <v>4614</v>
      </c>
      <c r="B396" t="str">
        <f>"20200201131017185155"</f>
        <v>20200201131017185155</v>
      </c>
      <c r="C396">
        <v>1</v>
      </c>
      <c r="D396">
        <v>1</v>
      </c>
      <c r="E396" t="s">
        <v>3886</v>
      </c>
      <c r="F396">
        <v>1</v>
      </c>
      <c r="G396">
        <v>0</v>
      </c>
      <c r="H396" t="s">
        <v>66</v>
      </c>
      <c r="I396">
        <v>0</v>
      </c>
      <c r="J396" t="s">
        <v>66</v>
      </c>
      <c r="K396">
        <v>0</v>
      </c>
      <c r="L396" t="s">
        <v>66</v>
      </c>
      <c r="M396" t="s">
        <v>56</v>
      </c>
      <c r="N396">
        <v>0</v>
      </c>
      <c r="O396" t="s">
        <v>66</v>
      </c>
      <c r="P396" t="s">
        <v>56</v>
      </c>
      <c r="Q396">
        <v>0</v>
      </c>
      <c r="R396" t="s">
        <v>66</v>
      </c>
      <c r="S396" t="s">
        <v>56</v>
      </c>
      <c r="T396">
        <v>1</v>
      </c>
      <c r="U396" t="s">
        <v>1627</v>
      </c>
      <c r="V396" t="s">
        <v>56</v>
      </c>
      <c r="W396">
        <v>0</v>
      </c>
      <c r="X396" t="s">
        <v>66</v>
      </c>
      <c r="Y396" t="s">
        <v>56</v>
      </c>
      <c r="Z396">
        <v>0</v>
      </c>
      <c r="AA396" t="s">
        <v>66</v>
      </c>
      <c r="AB396" t="s">
        <v>56</v>
      </c>
      <c r="AC396">
        <v>1</v>
      </c>
      <c r="AD396" t="s">
        <v>1627</v>
      </c>
      <c r="AE396" t="s">
        <v>3887</v>
      </c>
      <c r="AF396">
        <v>0</v>
      </c>
      <c r="AG396" t="s">
        <v>66</v>
      </c>
      <c r="AH396" t="s">
        <v>56</v>
      </c>
      <c r="AI396">
        <v>1</v>
      </c>
      <c r="AJ396" t="s">
        <v>1627</v>
      </c>
      <c r="AK396" t="s">
        <v>56</v>
      </c>
      <c r="AL396" t="s">
        <v>56</v>
      </c>
      <c r="AM396" t="s">
        <v>56</v>
      </c>
      <c r="AN396" t="s">
        <v>56</v>
      </c>
      <c r="AO396" t="s">
        <v>5048</v>
      </c>
      <c r="AP396" t="s">
        <v>3889</v>
      </c>
      <c r="AQ396" t="s">
        <v>3890</v>
      </c>
      <c r="AR396" t="s">
        <v>3926</v>
      </c>
      <c r="AS396" t="s">
        <v>3927</v>
      </c>
      <c r="AT396" t="s">
        <v>5056</v>
      </c>
      <c r="AU396" t="s">
        <v>3894</v>
      </c>
      <c r="AV396" t="s">
        <v>3895</v>
      </c>
      <c r="AW396" t="s">
        <v>3896</v>
      </c>
      <c r="AX396">
        <v>6</v>
      </c>
      <c r="AY396">
        <v>2</v>
      </c>
      <c r="AZ396" t="s">
        <v>3897</v>
      </c>
      <c r="BA396">
        <v>10</v>
      </c>
      <c r="BB396" t="s">
        <v>3898</v>
      </c>
      <c r="BC396">
        <v>1</v>
      </c>
      <c r="BD396">
        <v>5</v>
      </c>
      <c r="BE396" t="s">
        <v>3899</v>
      </c>
      <c r="BF396">
        <v>1</v>
      </c>
      <c r="BG396">
        <v>13</v>
      </c>
      <c r="BH396" t="s">
        <v>3900</v>
      </c>
      <c r="BI396" t="s">
        <v>5057</v>
      </c>
      <c r="BJ396">
        <v>1</v>
      </c>
      <c r="BK396" t="s">
        <v>3902</v>
      </c>
    </row>
    <row r="397" spans="1:63" x14ac:dyDescent="0.25">
      <c r="A397">
        <v>4615</v>
      </c>
      <c r="B397" t="str">
        <f>"20200201167017185446"</f>
        <v>20200201167017185446</v>
      </c>
      <c r="C397">
        <v>1</v>
      </c>
      <c r="D397">
        <v>1</v>
      </c>
      <c r="E397" t="s">
        <v>3886</v>
      </c>
      <c r="F397">
        <v>1</v>
      </c>
      <c r="G397">
        <v>0</v>
      </c>
      <c r="H397" t="s">
        <v>66</v>
      </c>
      <c r="I397">
        <v>0</v>
      </c>
      <c r="J397" t="s">
        <v>66</v>
      </c>
      <c r="K397">
        <v>1</v>
      </c>
      <c r="L397" t="s">
        <v>1627</v>
      </c>
      <c r="M397" t="s">
        <v>4189</v>
      </c>
      <c r="N397">
        <v>1</v>
      </c>
      <c r="O397" t="s">
        <v>1627</v>
      </c>
      <c r="P397" t="s">
        <v>5058</v>
      </c>
      <c r="Q397">
        <v>0</v>
      </c>
      <c r="R397" t="s">
        <v>66</v>
      </c>
      <c r="S397" t="s">
        <v>56</v>
      </c>
      <c r="T397" t="s">
        <v>56</v>
      </c>
      <c r="U397" t="s">
        <v>56</v>
      </c>
      <c r="V397" t="s">
        <v>56</v>
      </c>
      <c r="W397">
        <v>0</v>
      </c>
      <c r="X397" t="s">
        <v>66</v>
      </c>
      <c r="Y397" t="s">
        <v>56</v>
      </c>
      <c r="Z397">
        <v>0</v>
      </c>
      <c r="AA397" t="s">
        <v>66</v>
      </c>
      <c r="AB397" t="s">
        <v>56</v>
      </c>
      <c r="AC397">
        <v>0</v>
      </c>
      <c r="AD397" t="s">
        <v>66</v>
      </c>
      <c r="AE397" t="s">
        <v>56</v>
      </c>
      <c r="AF397">
        <v>0</v>
      </c>
      <c r="AG397" t="s">
        <v>66</v>
      </c>
      <c r="AH397" t="s">
        <v>56</v>
      </c>
      <c r="AI397">
        <v>1</v>
      </c>
      <c r="AJ397" t="s">
        <v>1627</v>
      </c>
      <c r="AK397" t="s">
        <v>56</v>
      </c>
      <c r="AL397" t="s">
        <v>56</v>
      </c>
      <c r="AM397" t="s">
        <v>56</v>
      </c>
      <c r="AN397" t="s">
        <v>56</v>
      </c>
      <c r="AO397" t="s">
        <v>4191</v>
      </c>
      <c r="AP397" t="s">
        <v>3889</v>
      </c>
      <c r="AQ397" t="s">
        <v>3890</v>
      </c>
      <c r="AR397" t="s">
        <v>3941</v>
      </c>
      <c r="AS397" t="s">
        <v>3942</v>
      </c>
      <c r="AT397" t="s">
        <v>5059</v>
      </c>
      <c r="AU397" t="s">
        <v>3894</v>
      </c>
      <c r="AV397" t="s">
        <v>3895</v>
      </c>
      <c r="AW397" t="s">
        <v>3896</v>
      </c>
      <c r="AX397">
        <v>12</v>
      </c>
      <c r="AY397">
        <v>2</v>
      </c>
      <c r="AZ397" t="s">
        <v>3897</v>
      </c>
      <c r="BA397">
        <v>10</v>
      </c>
      <c r="BB397" t="s">
        <v>3898</v>
      </c>
      <c r="BC397">
        <v>1</v>
      </c>
      <c r="BD397">
        <v>5</v>
      </c>
      <c r="BE397" t="s">
        <v>3899</v>
      </c>
      <c r="BF397">
        <v>1</v>
      </c>
      <c r="BG397">
        <v>13</v>
      </c>
      <c r="BH397" t="s">
        <v>3900</v>
      </c>
      <c r="BI397" t="s">
        <v>4193</v>
      </c>
      <c r="BJ397">
        <v>1</v>
      </c>
      <c r="BK397" t="s">
        <v>3902</v>
      </c>
    </row>
    <row r="398" spans="1:63" x14ac:dyDescent="0.25">
      <c r="A398">
        <v>4616</v>
      </c>
      <c r="B398" t="str">
        <f>"20200201165017185465"</f>
        <v>20200201165017185465</v>
      </c>
      <c r="C398">
        <v>1</v>
      </c>
      <c r="D398">
        <v>1</v>
      </c>
      <c r="E398" t="s">
        <v>3886</v>
      </c>
      <c r="F398">
        <v>2</v>
      </c>
      <c r="G398">
        <v>0</v>
      </c>
      <c r="H398" t="s">
        <v>66</v>
      </c>
      <c r="I398">
        <v>0</v>
      </c>
      <c r="J398" t="s">
        <v>66</v>
      </c>
      <c r="K398">
        <v>1</v>
      </c>
      <c r="L398" t="s">
        <v>1627</v>
      </c>
      <c r="M398" t="s">
        <v>5060</v>
      </c>
      <c r="N398">
        <v>1</v>
      </c>
      <c r="O398" t="s">
        <v>1627</v>
      </c>
      <c r="P398" t="s">
        <v>5061</v>
      </c>
      <c r="Q398">
        <v>0</v>
      </c>
      <c r="R398" t="s">
        <v>66</v>
      </c>
      <c r="S398" t="s">
        <v>56</v>
      </c>
      <c r="T398" t="s">
        <v>56</v>
      </c>
      <c r="U398" t="s">
        <v>56</v>
      </c>
      <c r="V398" t="s">
        <v>56</v>
      </c>
      <c r="W398">
        <v>0</v>
      </c>
      <c r="X398" t="s">
        <v>66</v>
      </c>
      <c r="Y398" t="s">
        <v>56</v>
      </c>
      <c r="Z398">
        <v>0</v>
      </c>
      <c r="AA398" t="s">
        <v>66</v>
      </c>
      <c r="AB398" t="s">
        <v>56</v>
      </c>
      <c r="AC398">
        <v>0</v>
      </c>
      <c r="AD398" t="s">
        <v>66</v>
      </c>
      <c r="AE398" t="s">
        <v>56</v>
      </c>
      <c r="AF398">
        <v>0</v>
      </c>
      <c r="AG398" t="s">
        <v>66</v>
      </c>
      <c r="AH398" t="s">
        <v>56</v>
      </c>
      <c r="AI398">
        <v>1</v>
      </c>
      <c r="AJ398" t="s">
        <v>1627</v>
      </c>
      <c r="AK398" t="s">
        <v>56</v>
      </c>
      <c r="AL398" t="s">
        <v>56</v>
      </c>
      <c r="AM398" t="s">
        <v>56</v>
      </c>
      <c r="AN398" t="s">
        <v>56</v>
      </c>
      <c r="AO398" t="s">
        <v>5062</v>
      </c>
      <c r="AP398" t="s">
        <v>3962</v>
      </c>
      <c r="AQ398" t="s">
        <v>3963</v>
      </c>
      <c r="AR398" t="s">
        <v>3941</v>
      </c>
      <c r="AS398" t="s">
        <v>3942</v>
      </c>
      <c r="AT398" t="s">
        <v>5063</v>
      </c>
      <c r="AU398" t="s">
        <v>3944</v>
      </c>
      <c r="AV398" t="s">
        <v>3945</v>
      </c>
      <c r="AW398" t="s">
        <v>3946</v>
      </c>
      <c r="AX398">
        <v>1</v>
      </c>
      <c r="AY398">
        <v>3</v>
      </c>
      <c r="AZ398" t="s">
        <v>3911</v>
      </c>
      <c r="BA398">
        <v>10</v>
      </c>
      <c r="BB398" t="s">
        <v>3898</v>
      </c>
      <c r="BC398">
        <v>90</v>
      </c>
      <c r="BD398">
        <v>3</v>
      </c>
      <c r="BE398" t="s">
        <v>3911</v>
      </c>
      <c r="BF398">
        <v>90</v>
      </c>
      <c r="BG398">
        <v>66</v>
      </c>
      <c r="BH398" t="s">
        <v>3965</v>
      </c>
      <c r="BI398" t="s">
        <v>5064</v>
      </c>
      <c r="BJ398">
        <v>1</v>
      </c>
      <c r="BK398" t="s">
        <v>3902</v>
      </c>
    </row>
    <row r="399" spans="1:63" x14ac:dyDescent="0.25">
      <c r="A399">
        <v>4617</v>
      </c>
      <c r="B399" t="str">
        <f>"20200201177017185591"</f>
        <v>20200201177017185591</v>
      </c>
      <c r="C399">
        <v>1</v>
      </c>
      <c r="D399">
        <v>1</v>
      </c>
      <c r="E399" t="s">
        <v>3886</v>
      </c>
      <c r="F399">
        <v>2</v>
      </c>
      <c r="G399">
        <v>0</v>
      </c>
      <c r="H399" t="s">
        <v>66</v>
      </c>
      <c r="I399">
        <v>0</v>
      </c>
      <c r="J399" t="s">
        <v>66</v>
      </c>
      <c r="K399">
        <v>0</v>
      </c>
      <c r="L399" t="s">
        <v>66</v>
      </c>
      <c r="M399" t="s">
        <v>56</v>
      </c>
      <c r="N399">
        <v>0</v>
      </c>
      <c r="O399" t="s">
        <v>66</v>
      </c>
      <c r="P399" t="s">
        <v>56</v>
      </c>
      <c r="Q399">
        <v>0</v>
      </c>
      <c r="R399" t="s">
        <v>66</v>
      </c>
      <c r="S399" t="s">
        <v>56</v>
      </c>
      <c r="T399">
        <v>1</v>
      </c>
      <c r="U399" t="s">
        <v>1627</v>
      </c>
      <c r="V399" t="s">
        <v>56</v>
      </c>
      <c r="W399">
        <v>0</v>
      </c>
      <c r="X399" t="s">
        <v>66</v>
      </c>
      <c r="Y399" t="s">
        <v>56</v>
      </c>
      <c r="Z399">
        <v>0</v>
      </c>
      <c r="AA399" t="s">
        <v>66</v>
      </c>
      <c r="AB399" t="s">
        <v>56</v>
      </c>
      <c r="AC399">
        <v>1</v>
      </c>
      <c r="AD399" t="s">
        <v>1627</v>
      </c>
      <c r="AE399" t="s">
        <v>3887</v>
      </c>
      <c r="AF399">
        <v>0</v>
      </c>
      <c r="AG399" t="s">
        <v>66</v>
      </c>
      <c r="AH399" t="s">
        <v>56</v>
      </c>
      <c r="AI399">
        <v>1</v>
      </c>
      <c r="AJ399" t="s">
        <v>1627</v>
      </c>
      <c r="AK399" t="s">
        <v>56</v>
      </c>
      <c r="AL399" t="s">
        <v>56</v>
      </c>
      <c r="AM399" t="s">
        <v>56</v>
      </c>
      <c r="AN399" t="s">
        <v>56</v>
      </c>
      <c r="AO399" t="s">
        <v>3888</v>
      </c>
      <c r="AP399" t="s">
        <v>3889</v>
      </c>
      <c r="AQ399" t="s">
        <v>3890</v>
      </c>
      <c r="AR399" t="s">
        <v>3891</v>
      </c>
      <c r="AS399" t="s">
        <v>3892</v>
      </c>
      <c r="AT399" t="s">
        <v>4276</v>
      </c>
      <c r="AU399" t="s">
        <v>3894</v>
      </c>
      <c r="AV399" t="s">
        <v>3895</v>
      </c>
      <c r="AW399" t="s">
        <v>3896</v>
      </c>
      <c r="AX399">
        <v>8</v>
      </c>
      <c r="AY399">
        <v>2</v>
      </c>
      <c r="AZ399" t="s">
        <v>3897</v>
      </c>
      <c r="BA399">
        <v>10</v>
      </c>
      <c r="BB399" t="s">
        <v>3898</v>
      </c>
      <c r="BC399">
        <v>3</v>
      </c>
      <c r="BD399">
        <v>5</v>
      </c>
      <c r="BE399" t="s">
        <v>3899</v>
      </c>
      <c r="BF399">
        <v>3</v>
      </c>
      <c r="BG399">
        <v>13</v>
      </c>
      <c r="BH399" t="s">
        <v>3900</v>
      </c>
      <c r="BI399" t="s">
        <v>5065</v>
      </c>
      <c r="BJ399">
        <v>1</v>
      </c>
      <c r="BK399" t="s">
        <v>3902</v>
      </c>
    </row>
    <row r="400" spans="1:63" x14ac:dyDescent="0.25">
      <c r="A400">
        <v>4618</v>
      </c>
      <c r="B400" t="str">
        <f>"20200201169017185704"</f>
        <v>20200201169017185704</v>
      </c>
      <c r="C400">
        <v>1</v>
      </c>
      <c r="D400">
        <v>1</v>
      </c>
      <c r="E400" t="s">
        <v>3886</v>
      </c>
      <c r="F400">
        <v>2</v>
      </c>
      <c r="G400">
        <v>0</v>
      </c>
      <c r="H400" t="s">
        <v>66</v>
      </c>
      <c r="I400">
        <v>0</v>
      </c>
      <c r="J400" t="s">
        <v>66</v>
      </c>
      <c r="K400">
        <v>0</v>
      </c>
      <c r="L400" t="s">
        <v>66</v>
      </c>
      <c r="M400" t="s">
        <v>56</v>
      </c>
      <c r="N400">
        <v>0</v>
      </c>
      <c r="O400" t="s">
        <v>66</v>
      </c>
      <c r="P400" t="s">
        <v>56</v>
      </c>
      <c r="Q400">
        <v>0</v>
      </c>
      <c r="R400" t="s">
        <v>66</v>
      </c>
      <c r="S400" t="s">
        <v>56</v>
      </c>
      <c r="T400">
        <v>1</v>
      </c>
      <c r="U400" t="s">
        <v>1627</v>
      </c>
      <c r="V400" t="s">
        <v>56</v>
      </c>
      <c r="W400">
        <v>0</v>
      </c>
      <c r="X400" t="s">
        <v>66</v>
      </c>
      <c r="Y400" t="s">
        <v>56</v>
      </c>
      <c r="Z400">
        <v>0</v>
      </c>
      <c r="AA400" t="s">
        <v>66</v>
      </c>
      <c r="AB400" t="s">
        <v>56</v>
      </c>
      <c r="AC400">
        <v>1</v>
      </c>
      <c r="AD400" t="s">
        <v>1627</v>
      </c>
      <c r="AE400" t="s">
        <v>3887</v>
      </c>
      <c r="AF400">
        <v>0</v>
      </c>
      <c r="AG400" t="s">
        <v>66</v>
      </c>
      <c r="AH400" t="s">
        <v>56</v>
      </c>
      <c r="AI400">
        <v>1</v>
      </c>
      <c r="AJ400" t="s">
        <v>1627</v>
      </c>
      <c r="AK400" t="s">
        <v>56</v>
      </c>
      <c r="AL400" t="s">
        <v>56</v>
      </c>
      <c r="AM400" t="s">
        <v>56</v>
      </c>
      <c r="AN400" t="s">
        <v>56</v>
      </c>
      <c r="AO400" t="s">
        <v>4765</v>
      </c>
      <c r="AP400" t="s">
        <v>3889</v>
      </c>
      <c r="AQ400" t="s">
        <v>3890</v>
      </c>
      <c r="AR400" t="s">
        <v>3891</v>
      </c>
      <c r="AS400" t="s">
        <v>3892</v>
      </c>
      <c r="AT400" t="s">
        <v>4276</v>
      </c>
      <c r="AU400" t="s">
        <v>3894</v>
      </c>
      <c r="AV400" t="s">
        <v>3895</v>
      </c>
      <c r="AW400" t="s">
        <v>3896</v>
      </c>
      <c r="AX400">
        <v>8</v>
      </c>
      <c r="AY400">
        <v>2</v>
      </c>
      <c r="AZ400" t="s">
        <v>3897</v>
      </c>
      <c r="BA400">
        <v>10</v>
      </c>
      <c r="BB400" t="s">
        <v>3898</v>
      </c>
      <c r="BC400">
        <v>4</v>
      </c>
      <c r="BD400">
        <v>5</v>
      </c>
      <c r="BE400" t="s">
        <v>3899</v>
      </c>
      <c r="BF400">
        <v>4</v>
      </c>
      <c r="BG400">
        <v>13</v>
      </c>
      <c r="BH400" t="s">
        <v>3900</v>
      </c>
      <c r="BI400" t="s">
        <v>5066</v>
      </c>
      <c r="BJ400">
        <v>1</v>
      </c>
      <c r="BK400" t="s">
        <v>3902</v>
      </c>
    </row>
    <row r="401" spans="1:63" x14ac:dyDescent="0.25">
      <c r="A401">
        <v>4619</v>
      </c>
      <c r="B401" t="str">
        <f>"20200201165017185754"</f>
        <v>20200201165017185754</v>
      </c>
      <c r="C401">
        <v>1</v>
      </c>
      <c r="D401">
        <v>1</v>
      </c>
      <c r="E401" t="s">
        <v>3886</v>
      </c>
      <c r="F401">
        <v>2</v>
      </c>
      <c r="G401">
        <v>0</v>
      </c>
      <c r="H401" t="s">
        <v>66</v>
      </c>
      <c r="I401">
        <v>0</v>
      </c>
      <c r="J401" t="s">
        <v>66</v>
      </c>
      <c r="K401">
        <v>1</v>
      </c>
      <c r="L401" t="s">
        <v>1627</v>
      </c>
      <c r="M401" t="s">
        <v>4116</v>
      </c>
      <c r="N401">
        <v>1</v>
      </c>
      <c r="O401" t="s">
        <v>1627</v>
      </c>
      <c r="P401" t="s">
        <v>5067</v>
      </c>
      <c r="Q401">
        <v>0</v>
      </c>
      <c r="R401" t="s">
        <v>66</v>
      </c>
      <c r="S401" t="s">
        <v>56</v>
      </c>
      <c r="T401" t="s">
        <v>56</v>
      </c>
      <c r="U401" t="s">
        <v>56</v>
      </c>
      <c r="V401" t="s">
        <v>56</v>
      </c>
      <c r="W401">
        <v>0</v>
      </c>
      <c r="X401" t="s">
        <v>66</v>
      </c>
      <c r="Y401" t="s">
        <v>56</v>
      </c>
      <c r="Z401">
        <v>0</v>
      </c>
      <c r="AA401" t="s">
        <v>66</v>
      </c>
      <c r="AB401" t="s">
        <v>56</v>
      </c>
      <c r="AC401">
        <v>0</v>
      </c>
      <c r="AD401" t="s">
        <v>66</v>
      </c>
      <c r="AE401" t="s">
        <v>56</v>
      </c>
      <c r="AF401">
        <v>0</v>
      </c>
      <c r="AG401" t="s">
        <v>66</v>
      </c>
      <c r="AH401" t="s">
        <v>56</v>
      </c>
      <c r="AI401">
        <v>1</v>
      </c>
      <c r="AJ401" t="s">
        <v>1627</v>
      </c>
      <c r="AK401" t="s">
        <v>56</v>
      </c>
      <c r="AL401" t="s">
        <v>56</v>
      </c>
      <c r="AM401" t="s">
        <v>56</v>
      </c>
      <c r="AN401" t="s">
        <v>56</v>
      </c>
      <c r="AO401" t="s">
        <v>5068</v>
      </c>
      <c r="AP401" t="s">
        <v>4283</v>
      </c>
      <c r="AQ401" t="s">
        <v>4284</v>
      </c>
      <c r="AR401" t="s">
        <v>4071</v>
      </c>
      <c r="AS401" t="s">
        <v>4072</v>
      </c>
      <c r="AT401" t="s">
        <v>5069</v>
      </c>
      <c r="AU401">
        <v>9000</v>
      </c>
      <c r="AV401" t="s">
        <v>3956</v>
      </c>
      <c r="AW401" t="s">
        <v>3956</v>
      </c>
      <c r="AX401">
        <v>1</v>
      </c>
      <c r="AY401">
        <v>3</v>
      </c>
      <c r="AZ401" t="s">
        <v>3911</v>
      </c>
      <c r="BA401">
        <v>10</v>
      </c>
      <c r="BB401" t="s">
        <v>3898</v>
      </c>
      <c r="BC401">
        <v>6</v>
      </c>
      <c r="BD401">
        <v>5</v>
      </c>
      <c r="BE401" t="s">
        <v>3899</v>
      </c>
      <c r="BF401">
        <v>6</v>
      </c>
      <c r="BG401">
        <v>73</v>
      </c>
      <c r="BH401" t="s">
        <v>3999</v>
      </c>
      <c r="BI401" t="s">
        <v>5070</v>
      </c>
      <c r="BJ401">
        <v>1</v>
      </c>
      <c r="BK401" t="s">
        <v>3902</v>
      </c>
    </row>
    <row r="402" spans="1:63" x14ac:dyDescent="0.25">
      <c r="A402">
        <v>4620</v>
      </c>
      <c r="B402" t="str">
        <f>"20200201133017185967"</f>
        <v>20200201133017185967</v>
      </c>
      <c r="C402">
        <v>1</v>
      </c>
      <c r="D402">
        <v>1</v>
      </c>
      <c r="E402" t="s">
        <v>3886</v>
      </c>
      <c r="F402">
        <v>2</v>
      </c>
      <c r="G402">
        <v>0</v>
      </c>
      <c r="H402" t="s">
        <v>66</v>
      </c>
      <c r="I402">
        <v>0</v>
      </c>
      <c r="J402" t="s">
        <v>66</v>
      </c>
      <c r="K402">
        <v>0</v>
      </c>
      <c r="L402" t="s">
        <v>66</v>
      </c>
      <c r="M402" t="s">
        <v>56</v>
      </c>
      <c r="N402">
        <v>0</v>
      </c>
      <c r="O402" t="s">
        <v>66</v>
      </c>
      <c r="P402" t="s">
        <v>56</v>
      </c>
      <c r="Q402">
        <v>0</v>
      </c>
      <c r="R402" t="s">
        <v>66</v>
      </c>
      <c r="S402" t="s">
        <v>56</v>
      </c>
      <c r="T402">
        <v>1</v>
      </c>
      <c r="U402" t="s">
        <v>1627</v>
      </c>
      <c r="V402" t="s">
        <v>56</v>
      </c>
      <c r="W402">
        <v>0</v>
      </c>
      <c r="X402" t="s">
        <v>66</v>
      </c>
      <c r="Y402" t="s">
        <v>56</v>
      </c>
      <c r="Z402">
        <v>0</v>
      </c>
      <c r="AA402" t="s">
        <v>66</v>
      </c>
      <c r="AB402" t="s">
        <v>56</v>
      </c>
      <c r="AC402">
        <v>1</v>
      </c>
      <c r="AD402" t="s">
        <v>1627</v>
      </c>
      <c r="AE402" t="s">
        <v>3887</v>
      </c>
      <c r="AF402">
        <v>0</v>
      </c>
      <c r="AG402" t="s">
        <v>66</v>
      </c>
      <c r="AH402" t="s">
        <v>56</v>
      </c>
      <c r="AI402">
        <v>1</v>
      </c>
      <c r="AJ402" t="s">
        <v>1627</v>
      </c>
      <c r="AK402" t="s">
        <v>56</v>
      </c>
      <c r="AL402" t="s">
        <v>56</v>
      </c>
      <c r="AM402" t="s">
        <v>56</v>
      </c>
      <c r="AN402" t="s">
        <v>56</v>
      </c>
      <c r="AO402" t="s">
        <v>4004</v>
      </c>
      <c r="AP402" t="s">
        <v>3889</v>
      </c>
      <c r="AQ402" t="s">
        <v>3890</v>
      </c>
      <c r="AR402" t="s">
        <v>3891</v>
      </c>
      <c r="AS402" t="s">
        <v>3892</v>
      </c>
      <c r="AT402" t="s">
        <v>4276</v>
      </c>
      <c r="AU402" t="s">
        <v>3894</v>
      </c>
      <c r="AV402" t="s">
        <v>3895</v>
      </c>
      <c r="AW402" t="s">
        <v>3896</v>
      </c>
      <c r="AX402">
        <v>8</v>
      </c>
      <c r="AY402">
        <v>2</v>
      </c>
      <c r="AZ402" t="s">
        <v>3897</v>
      </c>
      <c r="BA402">
        <v>10</v>
      </c>
      <c r="BB402" t="s">
        <v>3898</v>
      </c>
      <c r="BC402">
        <v>3</v>
      </c>
      <c r="BD402">
        <v>5</v>
      </c>
      <c r="BE402" t="s">
        <v>3899</v>
      </c>
      <c r="BF402">
        <v>3</v>
      </c>
      <c r="BG402">
        <v>13</v>
      </c>
      <c r="BH402" t="s">
        <v>3900</v>
      </c>
      <c r="BI402" t="s">
        <v>5071</v>
      </c>
      <c r="BJ402">
        <v>1</v>
      </c>
      <c r="BK402" t="s">
        <v>3902</v>
      </c>
    </row>
    <row r="403" spans="1:63" x14ac:dyDescent="0.25">
      <c r="A403">
        <v>4621</v>
      </c>
      <c r="B403" t="str">
        <f>"20200201134017186032"</f>
        <v>20200201134017186032</v>
      </c>
      <c r="C403">
        <v>1</v>
      </c>
      <c r="D403">
        <v>1</v>
      </c>
      <c r="E403" t="s">
        <v>3886</v>
      </c>
      <c r="F403">
        <v>2</v>
      </c>
      <c r="G403">
        <v>0</v>
      </c>
      <c r="H403" t="s">
        <v>66</v>
      </c>
      <c r="I403">
        <v>0</v>
      </c>
      <c r="J403" t="s">
        <v>66</v>
      </c>
      <c r="K403">
        <v>0</v>
      </c>
      <c r="L403" t="s">
        <v>66</v>
      </c>
      <c r="M403" t="s">
        <v>56</v>
      </c>
      <c r="N403">
        <v>0</v>
      </c>
      <c r="O403" t="s">
        <v>66</v>
      </c>
      <c r="P403" t="s">
        <v>56</v>
      </c>
      <c r="Q403">
        <v>0</v>
      </c>
      <c r="R403" t="s">
        <v>66</v>
      </c>
      <c r="S403" t="s">
        <v>56</v>
      </c>
      <c r="T403">
        <v>1</v>
      </c>
      <c r="U403" t="s">
        <v>1627</v>
      </c>
      <c r="V403" t="s">
        <v>56</v>
      </c>
      <c r="W403">
        <v>0</v>
      </c>
      <c r="X403" t="s">
        <v>66</v>
      </c>
      <c r="Y403" t="s">
        <v>56</v>
      </c>
      <c r="Z403">
        <v>0</v>
      </c>
      <c r="AA403" t="s">
        <v>66</v>
      </c>
      <c r="AB403" t="s">
        <v>56</v>
      </c>
      <c r="AC403">
        <v>1</v>
      </c>
      <c r="AD403" t="s">
        <v>1627</v>
      </c>
      <c r="AE403" t="s">
        <v>3887</v>
      </c>
      <c r="AF403">
        <v>0</v>
      </c>
      <c r="AG403" t="s">
        <v>66</v>
      </c>
      <c r="AH403" t="s">
        <v>56</v>
      </c>
      <c r="AI403">
        <v>1</v>
      </c>
      <c r="AJ403" t="s">
        <v>1627</v>
      </c>
      <c r="AK403" t="s">
        <v>56</v>
      </c>
      <c r="AL403" t="s">
        <v>56</v>
      </c>
      <c r="AM403" t="s">
        <v>56</v>
      </c>
      <c r="AN403" t="s">
        <v>56</v>
      </c>
      <c r="AO403" t="s">
        <v>5072</v>
      </c>
      <c r="AP403" t="s">
        <v>3962</v>
      </c>
      <c r="AQ403" t="s">
        <v>3963</v>
      </c>
      <c r="AR403" t="s">
        <v>3941</v>
      </c>
      <c r="AS403" t="s">
        <v>3942</v>
      </c>
      <c r="AT403" t="s">
        <v>5073</v>
      </c>
      <c r="AU403" t="s">
        <v>3944</v>
      </c>
      <c r="AV403" t="s">
        <v>3945</v>
      </c>
      <c r="AW403" t="s">
        <v>3946</v>
      </c>
      <c r="AX403">
        <v>12</v>
      </c>
      <c r="AY403">
        <v>2</v>
      </c>
      <c r="AZ403" t="s">
        <v>3897</v>
      </c>
      <c r="BA403">
        <v>10</v>
      </c>
      <c r="BB403" t="s">
        <v>3898</v>
      </c>
      <c r="BC403">
        <v>90</v>
      </c>
      <c r="BD403">
        <v>3</v>
      </c>
      <c r="BE403" t="s">
        <v>3911</v>
      </c>
      <c r="BF403">
        <v>180</v>
      </c>
      <c r="BG403">
        <v>66</v>
      </c>
      <c r="BH403" t="s">
        <v>3965</v>
      </c>
      <c r="BI403" t="s">
        <v>5074</v>
      </c>
      <c r="BJ403">
        <v>1</v>
      </c>
      <c r="BK403" t="s">
        <v>3902</v>
      </c>
    </row>
    <row r="404" spans="1:63" x14ac:dyDescent="0.25">
      <c r="A404">
        <v>4622</v>
      </c>
      <c r="B404" t="str">
        <f>"20200201115017186112"</f>
        <v>20200201115017186112</v>
      </c>
      <c r="C404">
        <v>1</v>
      </c>
      <c r="D404">
        <v>1</v>
      </c>
      <c r="E404" t="s">
        <v>3886</v>
      </c>
      <c r="F404">
        <v>2</v>
      </c>
      <c r="G404">
        <v>0</v>
      </c>
      <c r="H404" t="s">
        <v>66</v>
      </c>
      <c r="I404">
        <v>0</v>
      </c>
      <c r="J404" t="s">
        <v>66</v>
      </c>
      <c r="K404">
        <v>1</v>
      </c>
      <c r="L404" t="s">
        <v>1627</v>
      </c>
      <c r="M404" t="s">
        <v>5075</v>
      </c>
      <c r="N404">
        <v>1</v>
      </c>
      <c r="O404" t="s">
        <v>1627</v>
      </c>
      <c r="P404" t="s">
        <v>4367</v>
      </c>
      <c r="Q404">
        <v>0</v>
      </c>
      <c r="R404" t="s">
        <v>66</v>
      </c>
      <c r="S404" t="s">
        <v>56</v>
      </c>
      <c r="T404" t="s">
        <v>56</v>
      </c>
      <c r="U404" t="s">
        <v>56</v>
      </c>
      <c r="V404" t="s">
        <v>56</v>
      </c>
      <c r="W404">
        <v>0</v>
      </c>
      <c r="X404" t="s">
        <v>66</v>
      </c>
      <c r="Y404" t="s">
        <v>56</v>
      </c>
      <c r="Z404">
        <v>0</v>
      </c>
      <c r="AA404" t="s">
        <v>66</v>
      </c>
      <c r="AB404" t="s">
        <v>56</v>
      </c>
      <c r="AC404">
        <v>0</v>
      </c>
      <c r="AD404" t="s">
        <v>66</v>
      </c>
      <c r="AE404" t="s">
        <v>56</v>
      </c>
      <c r="AF404">
        <v>0</v>
      </c>
      <c r="AG404" t="s">
        <v>66</v>
      </c>
      <c r="AH404" t="s">
        <v>56</v>
      </c>
      <c r="AI404">
        <v>1</v>
      </c>
      <c r="AJ404" t="s">
        <v>1627</v>
      </c>
      <c r="AK404" t="s">
        <v>56</v>
      </c>
      <c r="AL404" t="s">
        <v>56</v>
      </c>
      <c r="AM404" t="s">
        <v>56</v>
      </c>
      <c r="AN404" t="s">
        <v>56</v>
      </c>
      <c r="AO404" t="s">
        <v>5076</v>
      </c>
      <c r="AP404" t="s">
        <v>3962</v>
      </c>
      <c r="AQ404" t="s">
        <v>3963</v>
      </c>
      <c r="AR404" t="s">
        <v>3941</v>
      </c>
      <c r="AS404" t="s">
        <v>3942</v>
      </c>
      <c r="AT404" t="s">
        <v>5077</v>
      </c>
      <c r="AU404" t="s">
        <v>3944</v>
      </c>
      <c r="AV404" t="s">
        <v>3945</v>
      </c>
      <c r="AW404" t="s">
        <v>3946</v>
      </c>
      <c r="AX404">
        <v>12</v>
      </c>
      <c r="AY404">
        <v>2</v>
      </c>
      <c r="AZ404" t="s">
        <v>3897</v>
      </c>
      <c r="BA404">
        <v>10</v>
      </c>
      <c r="BB404" t="s">
        <v>3898</v>
      </c>
      <c r="BC404">
        <v>90</v>
      </c>
      <c r="BD404">
        <v>3</v>
      </c>
      <c r="BE404" t="s">
        <v>3911</v>
      </c>
      <c r="BF404">
        <v>180</v>
      </c>
      <c r="BG404">
        <v>66</v>
      </c>
      <c r="BH404" t="s">
        <v>3965</v>
      </c>
      <c r="BI404" t="s">
        <v>5078</v>
      </c>
      <c r="BJ404">
        <v>1</v>
      </c>
      <c r="BK404" t="s">
        <v>3902</v>
      </c>
    </row>
    <row r="405" spans="1:63" x14ac:dyDescent="0.25">
      <c r="A405">
        <v>4623</v>
      </c>
      <c r="B405" t="str">
        <f>"20200201120017186253"</f>
        <v>20200201120017186253</v>
      </c>
      <c r="C405">
        <v>1</v>
      </c>
      <c r="D405">
        <v>1</v>
      </c>
      <c r="E405" t="s">
        <v>3886</v>
      </c>
      <c r="F405">
        <v>2</v>
      </c>
      <c r="G405">
        <v>0</v>
      </c>
      <c r="H405" t="s">
        <v>66</v>
      </c>
      <c r="I405">
        <v>0</v>
      </c>
      <c r="J405" t="s">
        <v>66</v>
      </c>
      <c r="K405">
        <v>0</v>
      </c>
      <c r="L405" t="s">
        <v>66</v>
      </c>
      <c r="M405" t="s">
        <v>56</v>
      </c>
      <c r="N405">
        <v>0</v>
      </c>
      <c r="O405" t="s">
        <v>66</v>
      </c>
      <c r="P405" t="s">
        <v>56</v>
      </c>
      <c r="Q405">
        <v>0</v>
      </c>
      <c r="R405" t="s">
        <v>66</v>
      </c>
      <c r="S405" t="s">
        <v>56</v>
      </c>
      <c r="T405">
        <v>1</v>
      </c>
      <c r="U405" t="s">
        <v>1627</v>
      </c>
      <c r="V405" t="s">
        <v>56</v>
      </c>
      <c r="W405">
        <v>0</v>
      </c>
      <c r="X405" t="s">
        <v>66</v>
      </c>
      <c r="Y405" t="s">
        <v>56</v>
      </c>
      <c r="Z405">
        <v>0</v>
      </c>
      <c r="AA405" t="s">
        <v>66</v>
      </c>
      <c r="AB405" t="s">
        <v>56</v>
      </c>
      <c r="AC405">
        <v>1</v>
      </c>
      <c r="AD405" t="s">
        <v>1627</v>
      </c>
      <c r="AE405" t="s">
        <v>3887</v>
      </c>
      <c r="AF405">
        <v>0</v>
      </c>
      <c r="AG405" t="s">
        <v>66</v>
      </c>
      <c r="AH405" t="s">
        <v>56</v>
      </c>
      <c r="AI405">
        <v>1</v>
      </c>
      <c r="AJ405" t="s">
        <v>1627</v>
      </c>
      <c r="AK405" t="s">
        <v>56</v>
      </c>
      <c r="AL405" t="s">
        <v>56</v>
      </c>
      <c r="AM405" t="s">
        <v>56</v>
      </c>
      <c r="AN405" t="s">
        <v>56</v>
      </c>
      <c r="AO405" t="s">
        <v>3903</v>
      </c>
      <c r="AP405" t="s">
        <v>3889</v>
      </c>
      <c r="AQ405" t="s">
        <v>3890</v>
      </c>
      <c r="AR405" t="s">
        <v>3904</v>
      </c>
      <c r="AS405" t="s">
        <v>3905</v>
      </c>
      <c r="AT405" t="s">
        <v>5079</v>
      </c>
      <c r="AU405" t="s">
        <v>3907</v>
      </c>
      <c r="AV405" t="s">
        <v>3908</v>
      </c>
      <c r="AW405" t="s">
        <v>3909</v>
      </c>
      <c r="AX405">
        <v>24</v>
      </c>
      <c r="AY405">
        <v>2</v>
      </c>
      <c r="AZ405" t="s">
        <v>3897</v>
      </c>
      <c r="BA405">
        <v>10</v>
      </c>
      <c r="BB405" t="s">
        <v>3898</v>
      </c>
      <c r="BC405">
        <v>30</v>
      </c>
      <c r="BD405">
        <v>3</v>
      </c>
      <c r="BE405" t="s">
        <v>3911</v>
      </c>
      <c r="BF405">
        <v>30</v>
      </c>
      <c r="BG405" t="s">
        <v>3912</v>
      </c>
      <c r="BH405" t="s">
        <v>3913</v>
      </c>
      <c r="BI405" t="s">
        <v>5080</v>
      </c>
      <c r="BJ405">
        <v>1</v>
      </c>
      <c r="BK405" t="s">
        <v>3902</v>
      </c>
    </row>
    <row r="406" spans="1:63" x14ac:dyDescent="0.25">
      <c r="A406">
        <v>4624</v>
      </c>
      <c r="B406" t="str">
        <f>"20200201118017186794"</f>
        <v>20200201118017186794</v>
      </c>
      <c r="C406">
        <v>1</v>
      </c>
      <c r="D406">
        <v>1</v>
      </c>
      <c r="E406" t="s">
        <v>3886</v>
      </c>
      <c r="F406">
        <v>2</v>
      </c>
      <c r="G406">
        <v>0</v>
      </c>
      <c r="H406" t="s">
        <v>66</v>
      </c>
      <c r="I406">
        <v>0</v>
      </c>
      <c r="J406" t="s">
        <v>66</v>
      </c>
      <c r="K406">
        <v>1</v>
      </c>
      <c r="L406" t="s">
        <v>1627</v>
      </c>
      <c r="M406" t="s">
        <v>5081</v>
      </c>
      <c r="N406">
        <v>1</v>
      </c>
      <c r="O406" t="s">
        <v>1627</v>
      </c>
      <c r="P406" t="s">
        <v>4625</v>
      </c>
      <c r="Q406">
        <v>0</v>
      </c>
      <c r="R406" t="s">
        <v>66</v>
      </c>
      <c r="S406" t="s">
        <v>56</v>
      </c>
      <c r="T406" t="s">
        <v>56</v>
      </c>
      <c r="U406" t="s">
        <v>56</v>
      </c>
      <c r="V406" t="s">
        <v>56</v>
      </c>
      <c r="W406">
        <v>0</v>
      </c>
      <c r="X406" t="s">
        <v>66</v>
      </c>
      <c r="Y406" t="s">
        <v>56</v>
      </c>
      <c r="Z406">
        <v>0</v>
      </c>
      <c r="AA406" t="s">
        <v>66</v>
      </c>
      <c r="AB406" t="s">
        <v>56</v>
      </c>
      <c r="AC406">
        <v>0</v>
      </c>
      <c r="AD406" t="s">
        <v>66</v>
      </c>
      <c r="AE406" t="s">
        <v>56</v>
      </c>
      <c r="AF406">
        <v>0</v>
      </c>
      <c r="AG406" t="s">
        <v>66</v>
      </c>
      <c r="AH406" t="s">
        <v>56</v>
      </c>
      <c r="AI406">
        <v>1</v>
      </c>
      <c r="AJ406" t="s">
        <v>1627</v>
      </c>
      <c r="AK406" t="s">
        <v>56</v>
      </c>
      <c r="AL406" t="s">
        <v>56</v>
      </c>
      <c r="AM406" t="s">
        <v>56</v>
      </c>
      <c r="AN406" t="s">
        <v>56</v>
      </c>
      <c r="AO406" t="s">
        <v>5082</v>
      </c>
      <c r="AP406" t="s">
        <v>3962</v>
      </c>
      <c r="AQ406" t="s">
        <v>3963</v>
      </c>
      <c r="AR406" t="s">
        <v>3941</v>
      </c>
      <c r="AS406" t="s">
        <v>3942</v>
      </c>
      <c r="AT406" t="s">
        <v>5083</v>
      </c>
      <c r="AU406">
        <v>9000</v>
      </c>
      <c r="AV406" t="s">
        <v>3956</v>
      </c>
      <c r="AW406" t="s">
        <v>3956</v>
      </c>
      <c r="AX406">
        <v>1</v>
      </c>
      <c r="AY406">
        <v>3</v>
      </c>
      <c r="AZ406" t="s">
        <v>3911</v>
      </c>
      <c r="BA406">
        <v>10</v>
      </c>
      <c r="BB406" t="s">
        <v>3898</v>
      </c>
      <c r="BC406">
        <v>6</v>
      </c>
      <c r="BD406">
        <v>5</v>
      </c>
      <c r="BE406" t="s">
        <v>3899</v>
      </c>
      <c r="BF406">
        <v>180</v>
      </c>
      <c r="BG406">
        <v>66</v>
      </c>
      <c r="BH406" t="s">
        <v>3965</v>
      </c>
      <c r="BI406" t="s">
        <v>5084</v>
      </c>
      <c r="BJ406">
        <v>1</v>
      </c>
      <c r="BK406" t="s">
        <v>3902</v>
      </c>
    </row>
    <row r="407" spans="1:63" x14ac:dyDescent="0.25">
      <c r="A407">
        <v>4625</v>
      </c>
      <c r="B407" t="str">
        <f>"20200201125017186878"</f>
        <v>20200201125017186878</v>
      </c>
      <c r="C407">
        <v>1</v>
      </c>
      <c r="D407">
        <v>1</v>
      </c>
      <c r="E407" t="s">
        <v>3886</v>
      </c>
      <c r="F407">
        <v>2</v>
      </c>
      <c r="G407">
        <v>0</v>
      </c>
      <c r="H407" t="s">
        <v>66</v>
      </c>
      <c r="I407">
        <v>0</v>
      </c>
      <c r="J407" t="s">
        <v>66</v>
      </c>
      <c r="K407">
        <v>1</v>
      </c>
      <c r="L407" t="s">
        <v>1627</v>
      </c>
      <c r="M407" t="s">
        <v>4524</v>
      </c>
      <c r="N407">
        <v>1</v>
      </c>
      <c r="O407" t="s">
        <v>1627</v>
      </c>
      <c r="P407" t="s">
        <v>4625</v>
      </c>
      <c r="Q407">
        <v>0</v>
      </c>
      <c r="R407" t="s">
        <v>66</v>
      </c>
      <c r="S407" t="s">
        <v>56</v>
      </c>
      <c r="T407" t="s">
        <v>56</v>
      </c>
      <c r="U407" t="s">
        <v>56</v>
      </c>
      <c r="V407" t="s">
        <v>56</v>
      </c>
      <c r="W407">
        <v>0</v>
      </c>
      <c r="X407" t="s">
        <v>66</v>
      </c>
      <c r="Y407" t="s">
        <v>56</v>
      </c>
      <c r="Z407">
        <v>0</v>
      </c>
      <c r="AA407" t="s">
        <v>66</v>
      </c>
      <c r="AB407" t="s">
        <v>56</v>
      </c>
      <c r="AC407">
        <v>0</v>
      </c>
      <c r="AD407" t="s">
        <v>66</v>
      </c>
      <c r="AE407" t="s">
        <v>56</v>
      </c>
      <c r="AF407">
        <v>0</v>
      </c>
      <c r="AG407" t="s">
        <v>66</v>
      </c>
      <c r="AH407" t="s">
        <v>56</v>
      </c>
      <c r="AI407">
        <v>1</v>
      </c>
      <c r="AJ407" t="s">
        <v>1627</v>
      </c>
      <c r="AK407">
        <v>0</v>
      </c>
      <c r="AL407" t="s">
        <v>66</v>
      </c>
      <c r="AM407" t="s">
        <v>56</v>
      </c>
      <c r="AN407" t="s">
        <v>56</v>
      </c>
      <c r="AO407" t="s">
        <v>4526</v>
      </c>
      <c r="AP407" t="s">
        <v>3962</v>
      </c>
      <c r="AQ407" t="s">
        <v>3963</v>
      </c>
      <c r="AR407" t="s">
        <v>3941</v>
      </c>
      <c r="AS407" t="s">
        <v>3942</v>
      </c>
      <c r="AT407" t="s">
        <v>5085</v>
      </c>
      <c r="AU407">
        <v>9000</v>
      </c>
      <c r="AV407" t="s">
        <v>3956</v>
      </c>
      <c r="AW407" t="s">
        <v>3956</v>
      </c>
      <c r="AX407">
        <v>1</v>
      </c>
      <c r="AY407">
        <v>3</v>
      </c>
      <c r="AZ407" t="s">
        <v>3911</v>
      </c>
      <c r="BA407">
        <v>10</v>
      </c>
      <c r="BB407" t="s">
        <v>3898</v>
      </c>
      <c r="BC407">
        <v>6</v>
      </c>
      <c r="BD407">
        <v>5</v>
      </c>
      <c r="BE407" t="s">
        <v>3899</v>
      </c>
      <c r="BF407">
        <v>180</v>
      </c>
      <c r="BG407">
        <v>66</v>
      </c>
      <c r="BH407" t="s">
        <v>3965</v>
      </c>
      <c r="BI407" t="s">
        <v>5086</v>
      </c>
      <c r="BJ407">
        <v>1</v>
      </c>
      <c r="BK407" t="s">
        <v>3902</v>
      </c>
    </row>
    <row r="408" spans="1:63" x14ac:dyDescent="0.25">
      <c r="A408">
        <v>4626</v>
      </c>
      <c r="B408" t="str">
        <f>"20200201124017187175"</f>
        <v>20200201124017187175</v>
      </c>
      <c r="C408">
        <v>1</v>
      </c>
      <c r="D408">
        <v>1</v>
      </c>
      <c r="E408" t="s">
        <v>3886</v>
      </c>
      <c r="F408">
        <v>2</v>
      </c>
      <c r="G408">
        <v>0</v>
      </c>
      <c r="H408" t="s">
        <v>66</v>
      </c>
      <c r="I408">
        <v>0</v>
      </c>
      <c r="J408" t="s">
        <v>66</v>
      </c>
      <c r="K408">
        <v>0</v>
      </c>
      <c r="L408" t="s">
        <v>66</v>
      </c>
      <c r="M408" t="s">
        <v>56</v>
      </c>
      <c r="N408">
        <v>0</v>
      </c>
      <c r="O408" t="s">
        <v>66</v>
      </c>
      <c r="P408" t="s">
        <v>56</v>
      </c>
      <c r="Q408">
        <v>0</v>
      </c>
      <c r="R408" t="s">
        <v>66</v>
      </c>
      <c r="S408" t="s">
        <v>56</v>
      </c>
      <c r="T408">
        <v>1</v>
      </c>
      <c r="U408" t="s">
        <v>1627</v>
      </c>
      <c r="V408" t="s">
        <v>56</v>
      </c>
      <c r="W408">
        <v>0</v>
      </c>
      <c r="X408" t="s">
        <v>66</v>
      </c>
      <c r="Y408" t="s">
        <v>56</v>
      </c>
      <c r="Z408">
        <v>0</v>
      </c>
      <c r="AA408" t="s">
        <v>66</v>
      </c>
      <c r="AB408" t="s">
        <v>56</v>
      </c>
      <c r="AC408">
        <v>1</v>
      </c>
      <c r="AD408" t="s">
        <v>1627</v>
      </c>
      <c r="AE408" t="s">
        <v>3887</v>
      </c>
      <c r="AF408">
        <v>0</v>
      </c>
      <c r="AG408" t="s">
        <v>66</v>
      </c>
      <c r="AH408" t="s">
        <v>56</v>
      </c>
      <c r="AI408">
        <v>1</v>
      </c>
      <c r="AJ408" t="s">
        <v>1627</v>
      </c>
      <c r="AK408">
        <v>0</v>
      </c>
      <c r="AL408" t="s">
        <v>66</v>
      </c>
      <c r="AM408" t="s">
        <v>56</v>
      </c>
      <c r="AN408" t="s">
        <v>56</v>
      </c>
      <c r="AO408" t="s">
        <v>5087</v>
      </c>
      <c r="AP408" t="s">
        <v>3889</v>
      </c>
      <c r="AQ408" t="s">
        <v>3890</v>
      </c>
      <c r="AR408" t="s">
        <v>2324</v>
      </c>
      <c r="AS408" t="s">
        <v>4266</v>
      </c>
      <c r="AT408" t="s">
        <v>5088</v>
      </c>
      <c r="AU408" t="s">
        <v>3944</v>
      </c>
      <c r="AV408" t="s">
        <v>3945</v>
      </c>
      <c r="AW408" t="s">
        <v>3946</v>
      </c>
      <c r="AX408">
        <v>7</v>
      </c>
      <c r="AY408">
        <v>3</v>
      </c>
      <c r="AZ408" t="s">
        <v>3911</v>
      </c>
      <c r="BA408">
        <v>10</v>
      </c>
      <c r="BB408" t="s">
        <v>3898</v>
      </c>
      <c r="BC408">
        <v>90</v>
      </c>
      <c r="BD408">
        <v>3</v>
      </c>
      <c r="BE408" t="s">
        <v>3911</v>
      </c>
      <c r="BF408">
        <v>12</v>
      </c>
      <c r="BG408" t="s">
        <v>3912</v>
      </c>
      <c r="BH408" t="s">
        <v>3913</v>
      </c>
      <c r="BI408" t="s">
        <v>5089</v>
      </c>
      <c r="BJ408">
        <v>1</v>
      </c>
      <c r="BK408" t="s">
        <v>3902</v>
      </c>
    </row>
    <row r="409" spans="1:63" x14ac:dyDescent="0.25">
      <c r="A409">
        <v>4627</v>
      </c>
      <c r="B409" t="str">
        <f>"20200201179017188588"</f>
        <v>20200201179017188588</v>
      </c>
      <c r="C409">
        <v>1</v>
      </c>
      <c r="D409">
        <v>1</v>
      </c>
      <c r="E409" t="s">
        <v>3886</v>
      </c>
      <c r="F409">
        <v>1</v>
      </c>
      <c r="G409">
        <v>0</v>
      </c>
      <c r="H409" t="s">
        <v>66</v>
      </c>
      <c r="I409">
        <v>0</v>
      </c>
      <c r="J409" t="s">
        <v>66</v>
      </c>
      <c r="K409">
        <v>1</v>
      </c>
      <c r="L409" t="s">
        <v>1627</v>
      </c>
      <c r="M409" t="s">
        <v>4019</v>
      </c>
      <c r="N409">
        <v>1</v>
      </c>
      <c r="O409" t="s">
        <v>1627</v>
      </c>
      <c r="P409" t="s">
        <v>5090</v>
      </c>
      <c r="Q409">
        <v>0</v>
      </c>
      <c r="R409" t="s">
        <v>66</v>
      </c>
      <c r="S409" t="s">
        <v>56</v>
      </c>
      <c r="T409" t="s">
        <v>56</v>
      </c>
      <c r="U409" t="s">
        <v>56</v>
      </c>
      <c r="V409" t="s">
        <v>56</v>
      </c>
      <c r="W409">
        <v>0</v>
      </c>
      <c r="X409" t="s">
        <v>66</v>
      </c>
      <c r="Y409" t="s">
        <v>56</v>
      </c>
      <c r="Z409">
        <v>0</v>
      </c>
      <c r="AA409" t="s">
        <v>66</v>
      </c>
      <c r="AB409" t="s">
        <v>56</v>
      </c>
      <c r="AC409">
        <v>0</v>
      </c>
      <c r="AD409" t="s">
        <v>66</v>
      </c>
      <c r="AE409" t="s">
        <v>56</v>
      </c>
      <c r="AF409">
        <v>0</v>
      </c>
      <c r="AG409" t="s">
        <v>66</v>
      </c>
      <c r="AH409" t="s">
        <v>56</v>
      </c>
      <c r="AI409">
        <v>1</v>
      </c>
      <c r="AJ409" t="s">
        <v>1627</v>
      </c>
      <c r="AK409" t="s">
        <v>56</v>
      </c>
      <c r="AL409" t="s">
        <v>56</v>
      </c>
      <c r="AM409" t="s">
        <v>56</v>
      </c>
      <c r="AN409" t="s">
        <v>56</v>
      </c>
      <c r="AO409" t="s">
        <v>4021</v>
      </c>
      <c r="AP409" t="s">
        <v>3962</v>
      </c>
      <c r="AQ409" t="s">
        <v>3963</v>
      </c>
      <c r="AR409" t="s">
        <v>3941</v>
      </c>
      <c r="AS409" t="s">
        <v>3942</v>
      </c>
      <c r="AT409" t="s">
        <v>5091</v>
      </c>
      <c r="AU409" t="s">
        <v>3944</v>
      </c>
      <c r="AV409" t="s">
        <v>3945</v>
      </c>
      <c r="AW409" t="s">
        <v>3946</v>
      </c>
      <c r="AX409">
        <v>1</v>
      </c>
      <c r="AY409">
        <v>3</v>
      </c>
      <c r="AZ409" t="s">
        <v>3911</v>
      </c>
      <c r="BA409">
        <v>10</v>
      </c>
      <c r="BB409" t="s">
        <v>3898</v>
      </c>
      <c r="BC409">
        <v>1</v>
      </c>
      <c r="BD409">
        <v>3</v>
      </c>
      <c r="BE409" t="s">
        <v>3911</v>
      </c>
      <c r="BF409">
        <v>1</v>
      </c>
      <c r="BG409">
        <v>66</v>
      </c>
      <c r="BH409" t="s">
        <v>3965</v>
      </c>
      <c r="BI409" t="s">
        <v>5092</v>
      </c>
      <c r="BJ409">
        <v>1</v>
      </c>
      <c r="BK409" t="s">
        <v>3902</v>
      </c>
    </row>
    <row r="410" spans="1:63" x14ac:dyDescent="0.25">
      <c r="A410">
        <v>4628</v>
      </c>
      <c r="B410" t="str">
        <f>"20200201168017188635"</f>
        <v>20200201168017188635</v>
      </c>
      <c r="C410">
        <v>1</v>
      </c>
      <c r="D410">
        <v>1</v>
      </c>
      <c r="E410" t="s">
        <v>3886</v>
      </c>
      <c r="F410">
        <v>2</v>
      </c>
      <c r="G410">
        <v>0</v>
      </c>
      <c r="H410" t="s">
        <v>66</v>
      </c>
      <c r="I410">
        <v>0</v>
      </c>
      <c r="J410" t="s">
        <v>66</v>
      </c>
      <c r="K410">
        <v>1</v>
      </c>
      <c r="L410" t="s">
        <v>1627</v>
      </c>
      <c r="M410" t="s">
        <v>5093</v>
      </c>
      <c r="N410">
        <v>1</v>
      </c>
      <c r="O410" t="s">
        <v>1627</v>
      </c>
      <c r="P410" t="s">
        <v>5094</v>
      </c>
      <c r="Q410">
        <v>0</v>
      </c>
      <c r="R410" t="s">
        <v>66</v>
      </c>
      <c r="S410" t="s">
        <v>56</v>
      </c>
      <c r="T410" t="s">
        <v>56</v>
      </c>
      <c r="U410" t="s">
        <v>56</v>
      </c>
      <c r="V410" t="s">
        <v>56</v>
      </c>
      <c r="W410">
        <v>0</v>
      </c>
      <c r="X410" t="s">
        <v>66</v>
      </c>
      <c r="Y410" t="s">
        <v>56</v>
      </c>
      <c r="Z410">
        <v>0</v>
      </c>
      <c r="AA410" t="s">
        <v>66</v>
      </c>
      <c r="AB410" t="s">
        <v>56</v>
      </c>
      <c r="AC410">
        <v>0</v>
      </c>
      <c r="AD410" t="s">
        <v>66</v>
      </c>
      <c r="AE410" t="s">
        <v>56</v>
      </c>
      <c r="AF410">
        <v>0</v>
      </c>
      <c r="AG410" t="s">
        <v>66</v>
      </c>
      <c r="AH410" t="s">
        <v>56</v>
      </c>
      <c r="AI410">
        <v>1</v>
      </c>
      <c r="AJ410" t="s">
        <v>1627</v>
      </c>
      <c r="AK410" t="s">
        <v>56</v>
      </c>
      <c r="AL410" t="s">
        <v>56</v>
      </c>
      <c r="AM410" t="s">
        <v>56</v>
      </c>
      <c r="AN410" t="s">
        <v>56</v>
      </c>
      <c r="AO410" t="s">
        <v>5095</v>
      </c>
      <c r="AP410" t="s">
        <v>3962</v>
      </c>
      <c r="AQ410" t="s">
        <v>3963</v>
      </c>
      <c r="AR410" t="s">
        <v>3941</v>
      </c>
      <c r="AS410" t="s">
        <v>3942</v>
      </c>
      <c r="AT410" t="s">
        <v>5096</v>
      </c>
      <c r="AU410" t="s">
        <v>3944</v>
      </c>
      <c r="AV410" t="s">
        <v>3945</v>
      </c>
      <c r="AW410" t="s">
        <v>3946</v>
      </c>
      <c r="AX410">
        <v>24</v>
      </c>
      <c r="AY410">
        <v>2</v>
      </c>
      <c r="AZ410" t="s">
        <v>3897</v>
      </c>
      <c r="BA410">
        <v>10</v>
      </c>
      <c r="BB410" t="s">
        <v>3898</v>
      </c>
      <c r="BC410">
        <v>7</v>
      </c>
      <c r="BD410">
        <v>3</v>
      </c>
      <c r="BE410" t="s">
        <v>3911</v>
      </c>
      <c r="BF410">
        <v>7</v>
      </c>
      <c r="BG410">
        <v>66</v>
      </c>
      <c r="BH410" t="s">
        <v>3965</v>
      </c>
      <c r="BI410" t="s">
        <v>5097</v>
      </c>
      <c r="BJ410">
        <v>1</v>
      </c>
      <c r="BK410" t="s">
        <v>3902</v>
      </c>
    </row>
    <row r="411" spans="1:63" x14ac:dyDescent="0.25">
      <c r="A411">
        <v>4629</v>
      </c>
      <c r="B411" t="str">
        <f>"20200201126017188946"</f>
        <v>20200201126017188946</v>
      </c>
      <c r="C411">
        <v>1</v>
      </c>
      <c r="D411">
        <v>1</v>
      </c>
      <c r="E411" t="s">
        <v>3886</v>
      </c>
      <c r="F411">
        <v>1</v>
      </c>
      <c r="G411">
        <v>0</v>
      </c>
      <c r="H411" t="s">
        <v>66</v>
      </c>
      <c r="I411">
        <v>0</v>
      </c>
      <c r="J411" t="s">
        <v>66</v>
      </c>
      <c r="K411">
        <v>0</v>
      </c>
      <c r="L411" t="s">
        <v>66</v>
      </c>
      <c r="M411" t="s">
        <v>56</v>
      </c>
      <c r="N411">
        <v>0</v>
      </c>
      <c r="O411" t="s">
        <v>66</v>
      </c>
      <c r="P411" t="s">
        <v>56</v>
      </c>
      <c r="Q411">
        <v>0</v>
      </c>
      <c r="R411" t="s">
        <v>66</v>
      </c>
      <c r="S411" t="s">
        <v>56</v>
      </c>
      <c r="T411">
        <v>1</v>
      </c>
      <c r="U411" t="s">
        <v>1627</v>
      </c>
      <c r="V411" t="s">
        <v>56</v>
      </c>
      <c r="W411">
        <v>0</v>
      </c>
      <c r="X411" t="s">
        <v>66</v>
      </c>
      <c r="Y411" t="s">
        <v>56</v>
      </c>
      <c r="Z411">
        <v>0</v>
      </c>
      <c r="AA411" t="s">
        <v>66</v>
      </c>
      <c r="AB411" t="s">
        <v>56</v>
      </c>
      <c r="AC411">
        <v>1</v>
      </c>
      <c r="AD411" t="s">
        <v>1627</v>
      </c>
      <c r="AE411" t="s">
        <v>3887</v>
      </c>
      <c r="AF411">
        <v>0</v>
      </c>
      <c r="AG411" t="s">
        <v>66</v>
      </c>
      <c r="AH411" t="s">
        <v>56</v>
      </c>
      <c r="AI411">
        <v>1</v>
      </c>
      <c r="AJ411" t="s">
        <v>1627</v>
      </c>
      <c r="AK411" t="s">
        <v>56</v>
      </c>
      <c r="AL411" t="s">
        <v>56</v>
      </c>
      <c r="AM411" t="s">
        <v>56</v>
      </c>
      <c r="AN411" t="s">
        <v>56</v>
      </c>
      <c r="AO411" t="s">
        <v>4391</v>
      </c>
      <c r="AP411" t="s">
        <v>3889</v>
      </c>
      <c r="AQ411" t="s">
        <v>3890</v>
      </c>
      <c r="AR411" t="s">
        <v>3941</v>
      </c>
      <c r="AS411" t="s">
        <v>3942</v>
      </c>
      <c r="AT411" t="s">
        <v>5098</v>
      </c>
      <c r="AU411" t="s">
        <v>3894</v>
      </c>
      <c r="AV411" t="s">
        <v>3895</v>
      </c>
      <c r="AW411" t="s">
        <v>3896</v>
      </c>
      <c r="AX411">
        <v>24</v>
      </c>
      <c r="AY411">
        <v>2</v>
      </c>
      <c r="AZ411" t="s">
        <v>3897</v>
      </c>
      <c r="BA411">
        <v>10</v>
      </c>
      <c r="BB411" t="s">
        <v>3898</v>
      </c>
      <c r="BC411">
        <v>2</v>
      </c>
      <c r="BD411">
        <v>3</v>
      </c>
      <c r="BE411" t="s">
        <v>3911</v>
      </c>
      <c r="BF411">
        <v>1</v>
      </c>
      <c r="BG411">
        <v>13</v>
      </c>
      <c r="BH411" t="s">
        <v>3900</v>
      </c>
      <c r="BI411" t="s">
        <v>5099</v>
      </c>
      <c r="BJ411">
        <v>1</v>
      </c>
      <c r="BK411" t="s">
        <v>3902</v>
      </c>
    </row>
    <row r="412" spans="1:63" x14ac:dyDescent="0.25">
      <c r="A412">
        <v>4630</v>
      </c>
      <c r="B412" t="str">
        <f>"20200202151017191165"</f>
        <v>20200202151017191165</v>
      </c>
      <c r="C412">
        <v>1</v>
      </c>
      <c r="D412">
        <v>1</v>
      </c>
      <c r="E412" t="s">
        <v>3886</v>
      </c>
      <c r="F412">
        <v>2</v>
      </c>
      <c r="G412">
        <v>0</v>
      </c>
      <c r="H412" t="s">
        <v>66</v>
      </c>
      <c r="I412">
        <v>0</v>
      </c>
      <c r="J412" t="s">
        <v>66</v>
      </c>
      <c r="K412">
        <v>0</v>
      </c>
      <c r="L412" t="s">
        <v>66</v>
      </c>
      <c r="M412" t="s">
        <v>56</v>
      </c>
      <c r="N412">
        <v>0</v>
      </c>
      <c r="O412" t="s">
        <v>66</v>
      </c>
      <c r="P412" t="s">
        <v>56</v>
      </c>
      <c r="Q412">
        <v>0</v>
      </c>
      <c r="R412" t="s">
        <v>66</v>
      </c>
      <c r="S412" t="s">
        <v>56</v>
      </c>
      <c r="T412">
        <v>1</v>
      </c>
      <c r="U412" t="s">
        <v>1627</v>
      </c>
      <c r="V412" t="s">
        <v>56</v>
      </c>
      <c r="W412">
        <v>0</v>
      </c>
      <c r="X412" t="s">
        <v>66</v>
      </c>
      <c r="Y412" t="s">
        <v>56</v>
      </c>
      <c r="Z412">
        <v>0</v>
      </c>
      <c r="AA412" t="s">
        <v>66</v>
      </c>
      <c r="AB412" t="s">
        <v>56</v>
      </c>
      <c r="AC412">
        <v>1</v>
      </c>
      <c r="AD412" t="s">
        <v>1627</v>
      </c>
      <c r="AE412" t="s">
        <v>3887</v>
      </c>
      <c r="AF412">
        <v>0</v>
      </c>
      <c r="AG412" t="s">
        <v>66</v>
      </c>
      <c r="AH412" t="s">
        <v>56</v>
      </c>
      <c r="AI412">
        <v>1</v>
      </c>
      <c r="AJ412" t="s">
        <v>1627</v>
      </c>
      <c r="AK412" t="s">
        <v>56</v>
      </c>
      <c r="AL412" t="s">
        <v>56</v>
      </c>
      <c r="AM412" t="s">
        <v>56</v>
      </c>
      <c r="AN412" t="s">
        <v>56</v>
      </c>
      <c r="AO412" t="s">
        <v>4306</v>
      </c>
      <c r="AP412" t="s">
        <v>3889</v>
      </c>
      <c r="AQ412" t="s">
        <v>3890</v>
      </c>
      <c r="AR412" t="s">
        <v>3904</v>
      </c>
      <c r="AS412" t="s">
        <v>3905</v>
      </c>
      <c r="AT412" t="s">
        <v>5100</v>
      </c>
      <c r="AU412" t="s">
        <v>4026</v>
      </c>
      <c r="AV412" t="s">
        <v>4027</v>
      </c>
      <c r="AW412" t="s">
        <v>4028</v>
      </c>
      <c r="AX412">
        <v>24</v>
      </c>
      <c r="AY412">
        <v>2</v>
      </c>
      <c r="AZ412" t="s">
        <v>3897</v>
      </c>
      <c r="BA412">
        <v>3</v>
      </c>
      <c r="BB412" t="s">
        <v>4309</v>
      </c>
      <c r="BC412">
        <v>24</v>
      </c>
      <c r="BD412">
        <v>2</v>
      </c>
      <c r="BE412" t="s">
        <v>3897</v>
      </c>
      <c r="BF412">
        <v>1</v>
      </c>
      <c r="BG412" t="s">
        <v>3912</v>
      </c>
      <c r="BH412" t="s">
        <v>3913</v>
      </c>
      <c r="BI412" t="s">
        <v>5101</v>
      </c>
      <c r="BJ412">
        <v>1</v>
      </c>
      <c r="BK412" t="s">
        <v>3902</v>
      </c>
    </row>
    <row r="413" spans="1:63" x14ac:dyDescent="0.25">
      <c r="A413">
        <v>4631</v>
      </c>
      <c r="B413" t="str">
        <f>"20200202183017191548"</f>
        <v>20200202183017191548</v>
      </c>
      <c r="C413">
        <v>1</v>
      </c>
      <c r="D413">
        <v>1</v>
      </c>
      <c r="E413" t="s">
        <v>3886</v>
      </c>
      <c r="F413">
        <v>2</v>
      </c>
      <c r="G413">
        <v>0</v>
      </c>
      <c r="H413" t="s">
        <v>66</v>
      </c>
      <c r="I413">
        <v>0</v>
      </c>
      <c r="J413" t="s">
        <v>66</v>
      </c>
      <c r="K413">
        <v>0</v>
      </c>
      <c r="L413" t="s">
        <v>66</v>
      </c>
      <c r="M413" t="s">
        <v>56</v>
      </c>
      <c r="N413">
        <v>0</v>
      </c>
      <c r="O413" t="s">
        <v>66</v>
      </c>
      <c r="P413" t="s">
        <v>56</v>
      </c>
      <c r="Q413">
        <v>0</v>
      </c>
      <c r="R413" t="s">
        <v>66</v>
      </c>
      <c r="S413" t="s">
        <v>56</v>
      </c>
      <c r="T413">
        <v>1</v>
      </c>
      <c r="U413" t="s">
        <v>1627</v>
      </c>
      <c r="V413" t="s">
        <v>56</v>
      </c>
      <c r="W413">
        <v>0</v>
      </c>
      <c r="X413" t="s">
        <v>66</v>
      </c>
      <c r="Y413" t="s">
        <v>56</v>
      </c>
      <c r="Z413">
        <v>0</v>
      </c>
      <c r="AA413" t="s">
        <v>66</v>
      </c>
      <c r="AB413" t="s">
        <v>56</v>
      </c>
      <c r="AC413">
        <v>1</v>
      </c>
      <c r="AD413" t="s">
        <v>1627</v>
      </c>
      <c r="AE413" t="s">
        <v>3887</v>
      </c>
      <c r="AF413">
        <v>0</v>
      </c>
      <c r="AG413" t="s">
        <v>66</v>
      </c>
      <c r="AH413" t="s">
        <v>56</v>
      </c>
      <c r="AI413">
        <v>1</v>
      </c>
      <c r="AJ413" t="s">
        <v>1627</v>
      </c>
      <c r="AK413" t="s">
        <v>56</v>
      </c>
      <c r="AL413" t="s">
        <v>56</v>
      </c>
      <c r="AM413" t="s">
        <v>56</v>
      </c>
      <c r="AN413" t="s">
        <v>56</v>
      </c>
      <c r="AO413" t="s">
        <v>5102</v>
      </c>
      <c r="AP413" t="s">
        <v>4283</v>
      </c>
      <c r="AQ413" t="s">
        <v>4284</v>
      </c>
      <c r="AR413" t="s">
        <v>3926</v>
      </c>
      <c r="AS413" t="s">
        <v>3927</v>
      </c>
      <c r="AT413" t="s">
        <v>5103</v>
      </c>
      <c r="AU413">
        <v>9000</v>
      </c>
      <c r="AV413" t="s">
        <v>3956</v>
      </c>
      <c r="AW413" t="s">
        <v>3956</v>
      </c>
      <c r="AX413">
        <v>4</v>
      </c>
      <c r="AY413">
        <v>2</v>
      </c>
      <c r="AZ413" t="s">
        <v>3897</v>
      </c>
      <c r="BA413">
        <v>10</v>
      </c>
      <c r="BB413" t="s">
        <v>3898</v>
      </c>
      <c r="BC413">
        <v>14</v>
      </c>
      <c r="BD413">
        <v>3</v>
      </c>
      <c r="BE413" t="s">
        <v>3911</v>
      </c>
      <c r="BF413">
        <v>2</v>
      </c>
      <c r="BG413">
        <v>73</v>
      </c>
      <c r="BH413" t="s">
        <v>3999</v>
      </c>
      <c r="BI413" t="s">
        <v>5104</v>
      </c>
      <c r="BJ413">
        <v>1</v>
      </c>
      <c r="BK413" t="s">
        <v>3902</v>
      </c>
    </row>
    <row r="414" spans="1:63" x14ac:dyDescent="0.25">
      <c r="A414">
        <v>4632</v>
      </c>
      <c r="B414" t="str">
        <f>"20200202189017191836"</f>
        <v>20200202189017191836</v>
      </c>
      <c r="C414">
        <v>1</v>
      </c>
      <c r="D414">
        <v>1</v>
      </c>
      <c r="E414" t="s">
        <v>3886</v>
      </c>
      <c r="F414">
        <v>1</v>
      </c>
      <c r="G414">
        <v>0</v>
      </c>
      <c r="H414" t="s">
        <v>66</v>
      </c>
      <c r="I414">
        <v>0</v>
      </c>
      <c r="J414" t="s">
        <v>66</v>
      </c>
      <c r="K414">
        <v>0</v>
      </c>
      <c r="L414" t="s">
        <v>66</v>
      </c>
      <c r="M414" t="s">
        <v>56</v>
      </c>
      <c r="N414">
        <v>0</v>
      </c>
      <c r="O414" t="s">
        <v>66</v>
      </c>
      <c r="P414" t="s">
        <v>56</v>
      </c>
      <c r="Q414">
        <v>0</v>
      </c>
      <c r="R414" t="s">
        <v>66</v>
      </c>
      <c r="S414" t="s">
        <v>56</v>
      </c>
      <c r="T414">
        <v>1</v>
      </c>
      <c r="U414" t="s">
        <v>1627</v>
      </c>
      <c r="V414" t="s">
        <v>56</v>
      </c>
      <c r="W414">
        <v>0</v>
      </c>
      <c r="X414" t="s">
        <v>66</v>
      </c>
      <c r="Y414" t="s">
        <v>56</v>
      </c>
      <c r="Z414">
        <v>0</v>
      </c>
      <c r="AA414" t="s">
        <v>66</v>
      </c>
      <c r="AB414" t="s">
        <v>56</v>
      </c>
      <c r="AC414">
        <v>1</v>
      </c>
      <c r="AD414" t="s">
        <v>1627</v>
      </c>
      <c r="AE414" t="s">
        <v>3887</v>
      </c>
      <c r="AF414">
        <v>0</v>
      </c>
      <c r="AG414" t="s">
        <v>66</v>
      </c>
      <c r="AH414" t="s">
        <v>56</v>
      </c>
      <c r="AI414">
        <v>1</v>
      </c>
      <c r="AJ414" t="s">
        <v>1627</v>
      </c>
      <c r="AK414" t="s">
        <v>56</v>
      </c>
      <c r="AL414" t="s">
        <v>56</v>
      </c>
      <c r="AM414" t="s">
        <v>56</v>
      </c>
      <c r="AN414" t="s">
        <v>56</v>
      </c>
      <c r="AO414" t="s">
        <v>3985</v>
      </c>
      <c r="AP414" t="s">
        <v>3962</v>
      </c>
      <c r="AQ414" t="s">
        <v>3963</v>
      </c>
      <c r="AR414" t="s">
        <v>3941</v>
      </c>
      <c r="AS414" t="s">
        <v>3942</v>
      </c>
      <c r="AT414" t="s">
        <v>5105</v>
      </c>
      <c r="AU414" t="s">
        <v>3944</v>
      </c>
      <c r="AV414" t="s">
        <v>3945</v>
      </c>
      <c r="AW414" t="s">
        <v>3946</v>
      </c>
      <c r="AX414">
        <v>1</v>
      </c>
      <c r="AY414">
        <v>3</v>
      </c>
      <c r="AZ414" t="s">
        <v>3911</v>
      </c>
      <c r="BA414">
        <v>10</v>
      </c>
      <c r="BB414" t="s">
        <v>3898</v>
      </c>
      <c r="BC414">
        <v>2</v>
      </c>
      <c r="BD414">
        <v>5</v>
      </c>
      <c r="BE414" t="s">
        <v>3899</v>
      </c>
      <c r="BF414">
        <v>60</v>
      </c>
      <c r="BG414">
        <v>66</v>
      </c>
      <c r="BH414" t="s">
        <v>3965</v>
      </c>
      <c r="BI414" t="s">
        <v>5106</v>
      </c>
      <c r="BJ414">
        <v>1</v>
      </c>
      <c r="BK414" t="s">
        <v>3902</v>
      </c>
    </row>
    <row r="415" spans="1:63" x14ac:dyDescent="0.25">
      <c r="A415">
        <v>4633</v>
      </c>
      <c r="B415" t="str">
        <f>"20200202131017191999"</f>
        <v>20200202131017191999</v>
      </c>
      <c r="C415">
        <v>1</v>
      </c>
      <c r="D415">
        <v>1</v>
      </c>
      <c r="E415" t="s">
        <v>3886</v>
      </c>
      <c r="F415">
        <v>2</v>
      </c>
      <c r="G415">
        <v>0</v>
      </c>
      <c r="H415" t="s">
        <v>66</v>
      </c>
      <c r="I415">
        <v>0</v>
      </c>
      <c r="J415" t="s">
        <v>66</v>
      </c>
      <c r="K415">
        <v>0</v>
      </c>
      <c r="L415" t="s">
        <v>66</v>
      </c>
      <c r="M415" t="s">
        <v>56</v>
      </c>
      <c r="N415">
        <v>0</v>
      </c>
      <c r="O415" t="s">
        <v>66</v>
      </c>
      <c r="P415" t="s">
        <v>56</v>
      </c>
      <c r="Q415">
        <v>0</v>
      </c>
      <c r="R415" t="s">
        <v>66</v>
      </c>
      <c r="S415" t="s">
        <v>56</v>
      </c>
      <c r="T415">
        <v>1</v>
      </c>
      <c r="U415" t="s">
        <v>1627</v>
      </c>
      <c r="V415" t="s">
        <v>56</v>
      </c>
      <c r="W415">
        <v>0</v>
      </c>
      <c r="X415" t="s">
        <v>66</v>
      </c>
      <c r="Y415" t="s">
        <v>56</v>
      </c>
      <c r="Z415">
        <v>0</v>
      </c>
      <c r="AA415" t="s">
        <v>66</v>
      </c>
      <c r="AB415" t="s">
        <v>56</v>
      </c>
      <c r="AC415">
        <v>1</v>
      </c>
      <c r="AD415" t="s">
        <v>1627</v>
      </c>
      <c r="AE415" t="s">
        <v>3887</v>
      </c>
      <c r="AF415">
        <v>0</v>
      </c>
      <c r="AG415" t="s">
        <v>66</v>
      </c>
      <c r="AH415" t="s">
        <v>56</v>
      </c>
      <c r="AI415">
        <v>1</v>
      </c>
      <c r="AJ415" t="s">
        <v>1627</v>
      </c>
      <c r="AK415" t="s">
        <v>56</v>
      </c>
      <c r="AL415" t="s">
        <v>56</v>
      </c>
      <c r="AM415" t="s">
        <v>56</v>
      </c>
      <c r="AN415" t="s">
        <v>56</v>
      </c>
      <c r="AO415" t="s">
        <v>4783</v>
      </c>
      <c r="AP415" t="s">
        <v>3889</v>
      </c>
      <c r="AQ415" t="s">
        <v>3890</v>
      </c>
      <c r="AR415" t="s">
        <v>3920</v>
      </c>
      <c r="AS415" t="s">
        <v>3921</v>
      </c>
      <c r="AT415" t="s">
        <v>5107</v>
      </c>
      <c r="AU415">
        <v>9000</v>
      </c>
      <c r="AV415" t="s">
        <v>3956</v>
      </c>
      <c r="AW415" t="s">
        <v>3956</v>
      </c>
      <c r="AX415">
        <v>24</v>
      </c>
      <c r="AY415">
        <v>2</v>
      </c>
      <c r="AZ415" t="s">
        <v>3897</v>
      </c>
      <c r="BA415">
        <v>10</v>
      </c>
      <c r="BB415" t="s">
        <v>3898</v>
      </c>
      <c r="BC415">
        <v>30</v>
      </c>
      <c r="BD415">
        <v>3</v>
      </c>
      <c r="BE415" t="s">
        <v>3911</v>
      </c>
      <c r="BF415">
        <v>1</v>
      </c>
      <c r="BG415">
        <v>74</v>
      </c>
      <c r="BH415" t="s">
        <v>3923</v>
      </c>
      <c r="BI415" t="s">
        <v>5108</v>
      </c>
      <c r="BJ415">
        <v>1</v>
      </c>
      <c r="BK415" t="s">
        <v>3902</v>
      </c>
    </row>
    <row r="416" spans="1:63" x14ac:dyDescent="0.25">
      <c r="A416">
        <v>4634</v>
      </c>
      <c r="B416" t="str">
        <f>"20200202188017192033"</f>
        <v>20200202188017192033</v>
      </c>
      <c r="C416">
        <v>1</v>
      </c>
      <c r="D416">
        <v>1</v>
      </c>
      <c r="E416" t="s">
        <v>3886</v>
      </c>
      <c r="F416">
        <v>1</v>
      </c>
      <c r="G416">
        <v>0</v>
      </c>
      <c r="H416" t="s">
        <v>66</v>
      </c>
      <c r="I416">
        <v>0</v>
      </c>
      <c r="J416" t="s">
        <v>66</v>
      </c>
      <c r="K416">
        <v>0</v>
      </c>
      <c r="L416" t="s">
        <v>66</v>
      </c>
      <c r="M416" t="s">
        <v>56</v>
      </c>
      <c r="N416">
        <v>0</v>
      </c>
      <c r="O416" t="s">
        <v>66</v>
      </c>
      <c r="P416" t="s">
        <v>56</v>
      </c>
      <c r="Q416">
        <v>0</v>
      </c>
      <c r="R416" t="s">
        <v>66</v>
      </c>
      <c r="S416" t="s">
        <v>56</v>
      </c>
      <c r="T416">
        <v>1</v>
      </c>
      <c r="U416" t="s">
        <v>1627</v>
      </c>
      <c r="V416" t="s">
        <v>56</v>
      </c>
      <c r="W416">
        <v>0</v>
      </c>
      <c r="X416" t="s">
        <v>66</v>
      </c>
      <c r="Y416" t="s">
        <v>56</v>
      </c>
      <c r="Z416">
        <v>0</v>
      </c>
      <c r="AA416" t="s">
        <v>66</v>
      </c>
      <c r="AB416" t="s">
        <v>56</v>
      </c>
      <c r="AC416">
        <v>1</v>
      </c>
      <c r="AD416" t="s">
        <v>1627</v>
      </c>
      <c r="AE416" t="s">
        <v>3887</v>
      </c>
      <c r="AF416">
        <v>0</v>
      </c>
      <c r="AG416" t="s">
        <v>66</v>
      </c>
      <c r="AH416" t="s">
        <v>56</v>
      </c>
      <c r="AI416">
        <v>1</v>
      </c>
      <c r="AJ416" t="s">
        <v>1627</v>
      </c>
      <c r="AK416" t="s">
        <v>56</v>
      </c>
      <c r="AL416" t="s">
        <v>56</v>
      </c>
      <c r="AM416" t="s">
        <v>56</v>
      </c>
      <c r="AN416" t="s">
        <v>56</v>
      </c>
      <c r="AO416" t="s">
        <v>3985</v>
      </c>
      <c r="AP416" t="s">
        <v>3962</v>
      </c>
      <c r="AQ416" t="s">
        <v>3963</v>
      </c>
      <c r="AR416" t="s">
        <v>3941</v>
      </c>
      <c r="AS416" t="s">
        <v>3942</v>
      </c>
      <c r="AT416" t="s">
        <v>5109</v>
      </c>
      <c r="AU416" t="s">
        <v>3944</v>
      </c>
      <c r="AV416" t="s">
        <v>3945</v>
      </c>
      <c r="AW416" t="s">
        <v>3946</v>
      </c>
      <c r="AX416">
        <v>1</v>
      </c>
      <c r="AY416">
        <v>3</v>
      </c>
      <c r="AZ416" t="s">
        <v>3911</v>
      </c>
      <c r="BA416">
        <v>10</v>
      </c>
      <c r="BB416" t="s">
        <v>3898</v>
      </c>
      <c r="BC416">
        <v>60</v>
      </c>
      <c r="BD416">
        <v>3</v>
      </c>
      <c r="BE416" t="s">
        <v>3911</v>
      </c>
      <c r="BF416">
        <v>60</v>
      </c>
      <c r="BG416">
        <v>66</v>
      </c>
      <c r="BH416" t="s">
        <v>3965</v>
      </c>
      <c r="BI416" t="s">
        <v>5110</v>
      </c>
      <c r="BJ416">
        <v>1</v>
      </c>
      <c r="BK416" t="s">
        <v>3902</v>
      </c>
    </row>
    <row r="417" spans="1:63" x14ac:dyDescent="0.25">
      <c r="A417">
        <v>4635</v>
      </c>
      <c r="B417" t="str">
        <f>"20200131186017156976"</f>
        <v>20200131186017156976</v>
      </c>
      <c r="C417">
        <v>1</v>
      </c>
      <c r="D417">
        <v>1</v>
      </c>
      <c r="E417" t="s">
        <v>3886</v>
      </c>
      <c r="F417">
        <v>1</v>
      </c>
      <c r="G417">
        <v>0</v>
      </c>
      <c r="H417" t="s">
        <v>66</v>
      </c>
      <c r="I417">
        <v>0</v>
      </c>
      <c r="J417" t="s">
        <v>66</v>
      </c>
      <c r="K417">
        <v>0</v>
      </c>
      <c r="L417" t="s">
        <v>66</v>
      </c>
      <c r="M417" t="s">
        <v>56</v>
      </c>
      <c r="N417">
        <v>0</v>
      </c>
      <c r="O417" t="s">
        <v>66</v>
      </c>
      <c r="P417" t="s">
        <v>56</v>
      </c>
      <c r="Q417">
        <v>0</v>
      </c>
      <c r="R417" t="s">
        <v>66</v>
      </c>
      <c r="S417" t="s">
        <v>56</v>
      </c>
      <c r="T417">
        <v>1</v>
      </c>
      <c r="U417" t="s">
        <v>1627</v>
      </c>
      <c r="V417" t="s">
        <v>56</v>
      </c>
      <c r="W417">
        <v>0</v>
      </c>
      <c r="X417" t="s">
        <v>66</v>
      </c>
      <c r="Y417" t="s">
        <v>56</v>
      </c>
      <c r="Z417">
        <v>0</v>
      </c>
      <c r="AA417" t="s">
        <v>66</v>
      </c>
      <c r="AB417" t="s">
        <v>56</v>
      </c>
      <c r="AC417">
        <v>1</v>
      </c>
      <c r="AD417" t="s">
        <v>1627</v>
      </c>
      <c r="AE417" t="s">
        <v>3887</v>
      </c>
      <c r="AF417">
        <v>0</v>
      </c>
      <c r="AG417" t="s">
        <v>66</v>
      </c>
      <c r="AH417" t="s">
        <v>56</v>
      </c>
      <c r="AI417">
        <v>1</v>
      </c>
      <c r="AJ417" t="s">
        <v>1627</v>
      </c>
      <c r="AK417" t="s">
        <v>56</v>
      </c>
      <c r="AL417" t="s">
        <v>56</v>
      </c>
      <c r="AM417" t="s">
        <v>56</v>
      </c>
      <c r="AN417" t="s">
        <v>56</v>
      </c>
      <c r="AO417" t="s">
        <v>4867</v>
      </c>
      <c r="AP417" t="s">
        <v>4330</v>
      </c>
      <c r="AQ417" t="s">
        <v>4331</v>
      </c>
      <c r="AR417" t="s">
        <v>3941</v>
      </c>
      <c r="AS417" t="s">
        <v>3942</v>
      </c>
      <c r="AT417" t="s">
        <v>5111</v>
      </c>
      <c r="AU417" t="s">
        <v>3929</v>
      </c>
      <c r="AV417" t="s">
        <v>3930</v>
      </c>
      <c r="AW417" t="s">
        <v>3931</v>
      </c>
      <c r="AX417">
        <v>12</v>
      </c>
      <c r="AY417">
        <v>2</v>
      </c>
      <c r="AZ417" t="s">
        <v>3897</v>
      </c>
      <c r="BA417">
        <v>10</v>
      </c>
      <c r="BB417" t="s">
        <v>3898</v>
      </c>
      <c r="BC417">
        <v>5</v>
      </c>
      <c r="BD417">
        <v>3</v>
      </c>
      <c r="BE417" t="s">
        <v>3911</v>
      </c>
      <c r="BF417">
        <v>10</v>
      </c>
      <c r="BG417">
        <v>78</v>
      </c>
      <c r="BH417" t="s">
        <v>4333</v>
      </c>
      <c r="BI417" t="s">
        <v>5112</v>
      </c>
      <c r="BJ417">
        <v>1</v>
      </c>
      <c r="BK417" t="s">
        <v>3902</v>
      </c>
    </row>
    <row r="418" spans="1:63" x14ac:dyDescent="0.25">
      <c r="A418">
        <v>4636</v>
      </c>
      <c r="B418" t="str">
        <f>"20200131178017158025"</f>
        <v>20200131178017158025</v>
      </c>
      <c r="C418">
        <v>1</v>
      </c>
      <c r="D418">
        <v>1</v>
      </c>
      <c r="E418" t="s">
        <v>3886</v>
      </c>
      <c r="F418">
        <v>2</v>
      </c>
      <c r="G418">
        <v>0</v>
      </c>
      <c r="H418" t="s">
        <v>66</v>
      </c>
      <c r="I418">
        <v>0</v>
      </c>
      <c r="J418" t="s">
        <v>66</v>
      </c>
      <c r="K418">
        <v>0</v>
      </c>
      <c r="L418" t="s">
        <v>66</v>
      </c>
      <c r="M418" t="s">
        <v>56</v>
      </c>
      <c r="N418">
        <v>0</v>
      </c>
      <c r="O418" t="s">
        <v>66</v>
      </c>
      <c r="P418" t="s">
        <v>56</v>
      </c>
      <c r="Q418">
        <v>0</v>
      </c>
      <c r="R418" t="s">
        <v>66</v>
      </c>
      <c r="S418" t="s">
        <v>56</v>
      </c>
      <c r="T418">
        <v>1</v>
      </c>
      <c r="U418" t="s">
        <v>1627</v>
      </c>
      <c r="V418" t="s">
        <v>56</v>
      </c>
      <c r="W418">
        <v>0</v>
      </c>
      <c r="X418" t="s">
        <v>66</v>
      </c>
      <c r="Y418" t="s">
        <v>56</v>
      </c>
      <c r="Z418">
        <v>0</v>
      </c>
      <c r="AA418" t="s">
        <v>66</v>
      </c>
      <c r="AB418" t="s">
        <v>56</v>
      </c>
      <c r="AC418">
        <v>1</v>
      </c>
      <c r="AD418" t="s">
        <v>1627</v>
      </c>
      <c r="AE418" t="s">
        <v>3887</v>
      </c>
      <c r="AF418">
        <v>0</v>
      </c>
      <c r="AG418" t="s">
        <v>66</v>
      </c>
      <c r="AH418" t="s">
        <v>56</v>
      </c>
      <c r="AI418">
        <v>1</v>
      </c>
      <c r="AJ418" t="s">
        <v>1627</v>
      </c>
      <c r="AK418" t="s">
        <v>56</v>
      </c>
      <c r="AL418" t="s">
        <v>56</v>
      </c>
      <c r="AM418" t="s">
        <v>56</v>
      </c>
      <c r="AN418" t="s">
        <v>56</v>
      </c>
      <c r="AO418" t="s">
        <v>5113</v>
      </c>
      <c r="AP418" t="s">
        <v>3962</v>
      </c>
      <c r="AQ418" t="s">
        <v>3963</v>
      </c>
      <c r="AR418" t="s">
        <v>3941</v>
      </c>
      <c r="AS418" t="s">
        <v>3942</v>
      </c>
      <c r="AT418" t="s">
        <v>5114</v>
      </c>
      <c r="AU418" t="s">
        <v>3944</v>
      </c>
      <c r="AV418" t="s">
        <v>3945</v>
      </c>
      <c r="AW418" t="s">
        <v>3946</v>
      </c>
      <c r="AX418">
        <v>12</v>
      </c>
      <c r="AY418">
        <v>2</v>
      </c>
      <c r="AZ418" t="s">
        <v>3897</v>
      </c>
      <c r="BA418">
        <v>10</v>
      </c>
      <c r="BB418" t="s">
        <v>3898</v>
      </c>
      <c r="BC418">
        <v>3</v>
      </c>
      <c r="BD418">
        <v>5</v>
      </c>
      <c r="BE418" t="s">
        <v>3899</v>
      </c>
      <c r="BF418">
        <v>180</v>
      </c>
      <c r="BG418">
        <v>66</v>
      </c>
      <c r="BH418" t="s">
        <v>3965</v>
      </c>
      <c r="BI418" t="s">
        <v>5115</v>
      </c>
      <c r="BJ418">
        <v>1</v>
      </c>
      <c r="BK418" t="s">
        <v>3902</v>
      </c>
    </row>
    <row r="419" spans="1:63" x14ac:dyDescent="0.25">
      <c r="A419">
        <v>4637</v>
      </c>
      <c r="B419" t="str">
        <f>"20200131152017159030"</f>
        <v>20200131152017159030</v>
      </c>
      <c r="C419">
        <v>1</v>
      </c>
      <c r="D419">
        <v>1</v>
      </c>
      <c r="E419" t="s">
        <v>3886</v>
      </c>
      <c r="F419">
        <v>2</v>
      </c>
      <c r="G419">
        <v>0</v>
      </c>
      <c r="H419" t="s">
        <v>66</v>
      </c>
      <c r="I419">
        <v>0</v>
      </c>
      <c r="J419" t="s">
        <v>66</v>
      </c>
      <c r="K419">
        <v>1</v>
      </c>
      <c r="L419" t="s">
        <v>1627</v>
      </c>
      <c r="M419" t="s">
        <v>3976</v>
      </c>
      <c r="N419">
        <v>1</v>
      </c>
      <c r="O419" t="s">
        <v>1627</v>
      </c>
      <c r="P419" t="s">
        <v>5116</v>
      </c>
      <c r="Q419">
        <v>0</v>
      </c>
      <c r="R419" t="s">
        <v>66</v>
      </c>
      <c r="S419" t="s">
        <v>56</v>
      </c>
      <c r="T419" t="s">
        <v>56</v>
      </c>
      <c r="U419" t="s">
        <v>56</v>
      </c>
      <c r="V419" t="s">
        <v>56</v>
      </c>
      <c r="W419">
        <v>0</v>
      </c>
      <c r="X419" t="s">
        <v>66</v>
      </c>
      <c r="Y419" t="s">
        <v>56</v>
      </c>
      <c r="Z419">
        <v>0</v>
      </c>
      <c r="AA419" t="s">
        <v>66</v>
      </c>
      <c r="AB419" t="s">
        <v>56</v>
      </c>
      <c r="AC419">
        <v>0</v>
      </c>
      <c r="AD419" t="s">
        <v>66</v>
      </c>
      <c r="AE419" t="s">
        <v>56</v>
      </c>
      <c r="AF419">
        <v>0</v>
      </c>
      <c r="AG419" t="s">
        <v>66</v>
      </c>
      <c r="AH419" t="s">
        <v>56</v>
      </c>
      <c r="AI419">
        <v>1</v>
      </c>
      <c r="AJ419" t="s">
        <v>1627</v>
      </c>
      <c r="AK419" t="s">
        <v>56</v>
      </c>
      <c r="AL419" t="s">
        <v>56</v>
      </c>
      <c r="AM419" t="s">
        <v>56</v>
      </c>
      <c r="AN419" t="s">
        <v>56</v>
      </c>
      <c r="AO419" t="s">
        <v>4076</v>
      </c>
      <c r="AP419" t="s">
        <v>3962</v>
      </c>
      <c r="AQ419" t="s">
        <v>3963</v>
      </c>
      <c r="AR419" t="s">
        <v>3941</v>
      </c>
      <c r="AS419" t="s">
        <v>3942</v>
      </c>
      <c r="AT419" t="s">
        <v>5117</v>
      </c>
      <c r="AU419">
        <v>9000</v>
      </c>
      <c r="AV419" t="s">
        <v>3956</v>
      </c>
      <c r="AW419" t="s">
        <v>3956</v>
      </c>
      <c r="AX419">
        <v>12</v>
      </c>
      <c r="AY419">
        <v>2</v>
      </c>
      <c r="AZ419" t="s">
        <v>3897</v>
      </c>
      <c r="BA419">
        <v>10</v>
      </c>
      <c r="BB419" t="s">
        <v>3898</v>
      </c>
      <c r="BC419">
        <v>3</v>
      </c>
      <c r="BD419">
        <v>5</v>
      </c>
      <c r="BE419" t="s">
        <v>3899</v>
      </c>
      <c r="BF419">
        <v>180</v>
      </c>
      <c r="BG419">
        <v>66</v>
      </c>
      <c r="BH419" t="s">
        <v>3965</v>
      </c>
      <c r="BI419" t="s">
        <v>4770</v>
      </c>
      <c r="BJ419">
        <v>1</v>
      </c>
      <c r="BK419" t="s">
        <v>3902</v>
      </c>
    </row>
    <row r="420" spans="1:63" x14ac:dyDescent="0.25">
      <c r="A420">
        <v>4638</v>
      </c>
      <c r="B420" t="str">
        <f>"20200131175017159115"</f>
        <v>20200131175017159115</v>
      </c>
      <c r="C420">
        <v>1</v>
      </c>
      <c r="D420">
        <v>1</v>
      </c>
      <c r="E420" t="s">
        <v>3886</v>
      </c>
      <c r="F420">
        <v>2</v>
      </c>
      <c r="G420">
        <v>0</v>
      </c>
      <c r="H420" t="s">
        <v>66</v>
      </c>
      <c r="I420">
        <v>0</v>
      </c>
      <c r="J420" t="s">
        <v>66</v>
      </c>
      <c r="K420">
        <v>0</v>
      </c>
      <c r="L420" t="s">
        <v>66</v>
      </c>
      <c r="M420" t="s">
        <v>56</v>
      </c>
      <c r="N420">
        <v>0</v>
      </c>
      <c r="O420" t="s">
        <v>66</v>
      </c>
      <c r="P420" t="s">
        <v>56</v>
      </c>
      <c r="Q420">
        <v>0</v>
      </c>
      <c r="R420" t="s">
        <v>66</v>
      </c>
      <c r="S420" t="s">
        <v>56</v>
      </c>
      <c r="T420">
        <v>1</v>
      </c>
      <c r="U420" t="s">
        <v>1627</v>
      </c>
      <c r="V420" t="s">
        <v>56</v>
      </c>
      <c r="W420">
        <v>0</v>
      </c>
      <c r="X420" t="s">
        <v>66</v>
      </c>
      <c r="Y420" t="s">
        <v>56</v>
      </c>
      <c r="Z420">
        <v>0</v>
      </c>
      <c r="AA420" t="s">
        <v>66</v>
      </c>
      <c r="AB420" t="s">
        <v>56</v>
      </c>
      <c r="AC420">
        <v>1</v>
      </c>
      <c r="AD420" t="s">
        <v>1627</v>
      </c>
      <c r="AE420" t="s">
        <v>3887</v>
      </c>
      <c r="AF420">
        <v>0</v>
      </c>
      <c r="AG420" t="s">
        <v>66</v>
      </c>
      <c r="AH420" t="s">
        <v>56</v>
      </c>
      <c r="AI420">
        <v>1</v>
      </c>
      <c r="AJ420" t="s">
        <v>1627</v>
      </c>
      <c r="AK420" t="s">
        <v>56</v>
      </c>
      <c r="AL420" t="s">
        <v>56</v>
      </c>
      <c r="AM420" t="s">
        <v>56</v>
      </c>
      <c r="AN420" t="s">
        <v>56</v>
      </c>
      <c r="AO420" t="s">
        <v>5118</v>
      </c>
      <c r="AP420" t="s">
        <v>3918</v>
      </c>
      <c r="AQ420" t="s">
        <v>3919</v>
      </c>
      <c r="AR420" t="s">
        <v>3920</v>
      </c>
      <c r="AS420" t="s">
        <v>3921</v>
      </c>
      <c r="AT420" t="s">
        <v>5119</v>
      </c>
      <c r="AU420">
        <v>9000</v>
      </c>
      <c r="AV420" t="s">
        <v>3956</v>
      </c>
      <c r="AW420" t="s">
        <v>3956</v>
      </c>
      <c r="AX420">
        <v>12</v>
      </c>
      <c r="AY420">
        <v>2</v>
      </c>
      <c r="AZ420" t="s">
        <v>3897</v>
      </c>
      <c r="BA420">
        <v>10</v>
      </c>
      <c r="BB420" t="s">
        <v>3898</v>
      </c>
      <c r="BC420">
        <v>3</v>
      </c>
      <c r="BD420">
        <v>5</v>
      </c>
      <c r="BE420" t="s">
        <v>3899</v>
      </c>
      <c r="BF420">
        <v>3</v>
      </c>
      <c r="BG420">
        <v>37</v>
      </c>
      <c r="BH420" t="s">
        <v>4007</v>
      </c>
      <c r="BI420" t="s">
        <v>5120</v>
      </c>
      <c r="BJ420">
        <v>1</v>
      </c>
      <c r="BK420" t="s">
        <v>3902</v>
      </c>
    </row>
    <row r="421" spans="1:63" x14ac:dyDescent="0.25">
      <c r="A421">
        <v>4639</v>
      </c>
      <c r="B421" t="str">
        <f>"20200131195017159774"</f>
        <v>20200131195017159774</v>
      </c>
      <c r="C421">
        <v>1</v>
      </c>
      <c r="D421">
        <v>1</v>
      </c>
      <c r="E421" t="s">
        <v>3886</v>
      </c>
      <c r="F421">
        <v>2</v>
      </c>
      <c r="G421">
        <v>0</v>
      </c>
      <c r="H421" t="s">
        <v>66</v>
      </c>
      <c r="I421">
        <v>0</v>
      </c>
      <c r="J421" t="s">
        <v>66</v>
      </c>
      <c r="K421">
        <v>0</v>
      </c>
      <c r="L421" t="s">
        <v>66</v>
      </c>
      <c r="M421" t="s">
        <v>56</v>
      </c>
      <c r="N421">
        <v>0</v>
      </c>
      <c r="O421" t="s">
        <v>66</v>
      </c>
      <c r="P421" t="s">
        <v>56</v>
      </c>
      <c r="Q421">
        <v>0</v>
      </c>
      <c r="R421" t="s">
        <v>66</v>
      </c>
      <c r="S421" t="s">
        <v>56</v>
      </c>
      <c r="T421">
        <v>1</v>
      </c>
      <c r="U421" t="s">
        <v>1627</v>
      </c>
      <c r="V421" t="s">
        <v>56</v>
      </c>
      <c r="W421">
        <v>0</v>
      </c>
      <c r="X421" t="s">
        <v>66</v>
      </c>
      <c r="Y421" t="s">
        <v>56</v>
      </c>
      <c r="Z421">
        <v>0</v>
      </c>
      <c r="AA421" t="s">
        <v>66</v>
      </c>
      <c r="AB421" t="s">
        <v>56</v>
      </c>
      <c r="AC421">
        <v>1</v>
      </c>
      <c r="AD421" t="s">
        <v>1627</v>
      </c>
      <c r="AE421" t="s">
        <v>3887</v>
      </c>
      <c r="AF421">
        <v>0</v>
      </c>
      <c r="AG421" t="s">
        <v>66</v>
      </c>
      <c r="AH421" t="s">
        <v>56</v>
      </c>
      <c r="AI421">
        <v>1</v>
      </c>
      <c r="AJ421" t="s">
        <v>1627</v>
      </c>
      <c r="AK421" t="s">
        <v>56</v>
      </c>
      <c r="AL421" t="s">
        <v>56</v>
      </c>
      <c r="AM421" t="s">
        <v>56</v>
      </c>
      <c r="AN421" t="s">
        <v>56</v>
      </c>
      <c r="AO421" t="s">
        <v>3938</v>
      </c>
      <c r="AP421" t="s">
        <v>3962</v>
      </c>
      <c r="AQ421" t="s">
        <v>3963</v>
      </c>
      <c r="AR421" t="s">
        <v>3941</v>
      </c>
      <c r="AS421" t="s">
        <v>3942</v>
      </c>
      <c r="AT421" t="s">
        <v>5121</v>
      </c>
      <c r="AU421">
        <v>9000</v>
      </c>
      <c r="AV421" t="s">
        <v>3956</v>
      </c>
      <c r="AW421" t="s">
        <v>3956</v>
      </c>
      <c r="AX421">
        <v>24</v>
      </c>
      <c r="AY421">
        <v>2</v>
      </c>
      <c r="AZ421" t="s">
        <v>3897</v>
      </c>
      <c r="BA421">
        <v>10</v>
      </c>
      <c r="BB421" t="s">
        <v>3898</v>
      </c>
      <c r="BC421">
        <v>4</v>
      </c>
      <c r="BD421">
        <v>5</v>
      </c>
      <c r="BE421" t="s">
        <v>3899</v>
      </c>
      <c r="BF421">
        <v>120</v>
      </c>
      <c r="BG421">
        <v>66</v>
      </c>
      <c r="BH421" t="s">
        <v>3965</v>
      </c>
      <c r="BI421" t="s">
        <v>5122</v>
      </c>
      <c r="BJ421">
        <v>1</v>
      </c>
      <c r="BK421" t="s">
        <v>3902</v>
      </c>
    </row>
    <row r="422" spans="1:63" x14ac:dyDescent="0.25">
      <c r="A422">
        <v>4640</v>
      </c>
      <c r="B422" t="str">
        <f>"20200131140017159979"</f>
        <v>20200131140017159979</v>
      </c>
      <c r="C422">
        <v>1</v>
      </c>
      <c r="D422">
        <v>1</v>
      </c>
      <c r="E422" t="s">
        <v>3886</v>
      </c>
      <c r="F422">
        <v>2</v>
      </c>
      <c r="G422">
        <v>0</v>
      </c>
      <c r="H422" t="s">
        <v>66</v>
      </c>
      <c r="I422">
        <v>0</v>
      </c>
      <c r="J422" t="s">
        <v>66</v>
      </c>
      <c r="K422">
        <v>0</v>
      </c>
      <c r="L422" t="s">
        <v>66</v>
      </c>
      <c r="M422" t="s">
        <v>56</v>
      </c>
      <c r="N422">
        <v>0</v>
      </c>
      <c r="O422" t="s">
        <v>66</v>
      </c>
      <c r="P422" t="s">
        <v>56</v>
      </c>
      <c r="Q422">
        <v>0</v>
      </c>
      <c r="R422" t="s">
        <v>66</v>
      </c>
      <c r="S422" t="s">
        <v>56</v>
      </c>
      <c r="T422">
        <v>1</v>
      </c>
      <c r="U422" t="s">
        <v>1627</v>
      </c>
      <c r="V422" t="s">
        <v>56</v>
      </c>
      <c r="W422">
        <v>0</v>
      </c>
      <c r="X422" t="s">
        <v>66</v>
      </c>
      <c r="Y422" t="s">
        <v>56</v>
      </c>
      <c r="Z422">
        <v>0</v>
      </c>
      <c r="AA422" t="s">
        <v>66</v>
      </c>
      <c r="AB422" t="s">
        <v>56</v>
      </c>
      <c r="AC422">
        <v>1</v>
      </c>
      <c r="AD422" t="s">
        <v>1627</v>
      </c>
      <c r="AE422" t="s">
        <v>3887</v>
      </c>
      <c r="AF422">
        <v>0</v>
      </c>
      <c r="AG422" t="s">
        <v>66</v>
      </c>
      <c r="AH422" t="s">
        <v>56</v>
      </c>
      <c r="AI422">
        <v>1</v>
      </c>
      <c r="AJ422" t="s">
        <v>1627</v>
      </c>
      <c r="AK422" t="s">
        <v>56</v>
      </c>
      <c r="AL422" t="s">
        <v>56</v>
      </c>
      <c r="AM422" t="s">
        <v>56</v>
      </c>
      <c r="AN422" t="s">
        <v>56</v>
      </c>
      <c r="AO422" t="s">
        <v>4092</v>
      </c>
      <c r="AP422" t="s">
        <v>3962</v>
      </c>
      <c r="AQ422" t="s">
        <v>3963</v>
      </c>
      <c r="AR422" t="s">
        <v>3941</v>
      </c>
      <c r="AS422" t="s">
        <v>3942</v>
      </c>
      <c r="AT422" t="s">
        <v>5123</v>
      </c>
      <c r="AU422" t="s">
        <v>3944</v>
      </c>
      <c r="AV422" t="s">
        <v>3945</v>
      </c>
      <c r="AW422" t="s">
        <v>3946</v>
      </c>
      <c r="AX422">
        <v>24</v>
      </c>
      <c r="AY422">
        <v>2</v>
      </c>
      <c r="AZ422" t="s">
        <v>3897</v>
      </c>
      <c r="BA422">
        <v>10</v>
      </c>
      <c r="BB422" t="s">
        <v>3898</v>
      </c>
      <c r="BC422">
        <v>3</v>
      </c>
      <c r="BD422">
        <v>5</v>
      </c>
      <c r="BE422" t="s">
        <v>3899</v>
      </c>
      <c r="BF422">
        <v>90</v>
      </c>
      <c r="BG422">
        <v>74</v>
      </c>
      <c r="BH422" t="s">
        <v>3923</v>
      </c>
      <c r="BI422" t="s">
        <v>5124</v>
      </c>
      <c r="BJ422">
        <v>1</v>
      </c>
      <c r="BK422" t="s">
        <v>3902</v>
      </c>
    </row>
    <row r="423" spans="1:63" x14ac:dyDescent="0.25">
      <c r="A423">
        <v>4641</v>
      </c>
      <c r="B423" t="str">
        <f>"20200131138017159994"</f>
        <v>20200131138017159994</v>
      </c>
      <c r="C423">
        <v>1</v>
      </c>
      <c r="D423">
        <v>1</v>
      </c>
      <c r="E423" t="s">
        <v>3886</v>
      </c>
      <c r="F423">
        <v>1</v>
      </c>
      <c r="G423">
        <v>0</v>
      </c>
      <c r="H423" t="s">
        <v>66</v>
      </c>
      <c r="I423">
        <v>0</v>
      </c>
      <c r="J423" t="s">
        <v>66</v>
      </c>
      <c r="K423">
        <v>0</v>
      </c>
      <c r="L423" t="s">
        <v>66</v>
      </c>
      <c r="M423" t="s">
        <v>56</v>
      </c>
      <c r="N423">
        <v>0</v>
      </c>
      <c r="O423" t="s">
        <v>66</v>
      </c>
      <c r="P423" t="s">
        <v>56</v>
      </c>
      <c r="Q423">
        <v>0</v>
      </c>
      <c r="R423" t="s">
        <v>66</v>
      </c>
      <c r="S423" t="s">
        <v>56</v>
      </c>
      <c r="T423">
        <v>1</v>
      </c>
      <c r="U423" t="s">
        <v>1627</v>
      </c>
      <c r="V423" t="s">
        <v>56</v>
      </c>
      <c r="W423">
        <v>0</v>
      </c>
      <c r="X423" t="s">
        <v>66</v>
      </c>
      <c r="Y423" t="s">
        <v>56</v>
      </c>
      <c r="Z423">
        <v>0</v>
      </c>
      <c r="AA423" t="s">
        <v>66</v>
      </c>
      <c r="AB423" t="s">
        <v>56</v>
      </c>
      <c r="AC423">
        <v>1</v>
      </c>
      <c r="AD423" t="s">
        <v>1627</v>
      </c>
      <c r="AE423" t="s">
        <v>3887</v>
      </c>
      <c r="AF423">
        <v>0</v>
      </c>
      <c r="AG423" t="s">
        <v>66</v>
      </c>
      <c r="AH423" t="s">
        <v>56</v>
      </c>
      <c r="AI423">
        <v>1</v>
      </c>
      <c r="AJ423" t="s">
        <v>1627</v>
      </c>
      <c r="AK423" t="s">
        <v>56</v>
      </c>
      <c r="AL423" t="s">
        <v>56</v>
      </c>
      <c r="AM423" t="s">
        <v>56</v>
      </c>
      <c r="AN423" t="s">
        <v>56</v>
      </c>
      <c r="AO423" t="s">
        <v>4046</v>
      </c>
      <c r="AP423" t="s">
        <v>3889</v>
      </c>
      <c r="AQ423" t="s">
        <v>3890</v>
      </c>
      <c r="AR423" t="s">
        <v>3926</v>
      </c>
      <c r="AS423" t="s">
        <v>3927</v>
      </c>
      <c r="AT423" t="s">
        <v>5125</v>
      </c>
      <c r="AU423" t="s">
        <v>3894</v>
      </c>
      <c r="AV423" t="s">
        <v>3895</v>
      </c>
      <c r="AW423" t="s">
        <v>3896</v>
      </c>
      <c r="AX423">
        <v>12</v>
      </c>
      <c r="AY423">
        <v>2</v>
      </c>
      <c r="AZ423" t="s">
        <v>3897</v>
      </c>
      <c r="BA423">
        <v>10</v>
      </c>
      <c r="BB423" t="s">
        <v>3898</v>
      </c>
      <c r="BC423">
        <v>3</v>
      </c>
      <c r="BD423">
        <v>5</v>
      </c>
      <c r="BE423" t="s">
        <v>3899</v>
      </c>
      <c r="BF423">
        <v>4</v>
      </c>
      <c r="BG423">
        <v>13</v>
      </c>
      <c r="BH423" t="s">
        <v>3900</v>
      </c>
      <c r="BI423" t="s">
        <v>5126</v>
      </c>
      <c r="BJ423">
        <v>1</v>
      </c>
      <c r="BK423" t="s">
        <v>3902</v>
      </c>
    </row>
    <row r="424" spans="1:63" x14ac:dyDescent="0.25">
      <c r="A424">
        <v>4642</v>
      </c>
      <c r="B424" t="str">
        <f>"20200131174017160435"</f>
        <v>20200131174017160435</v>
      </c>
      <c r="C424">
        <v>1</v>
      </c>
      <c r="D424">
        <v>1</v>
      </c>
      <c r="E424" t="s">
        <v>3886</v>
      </c>
      <c r="F424">
        <v>2</v>
      </c>
      <c r="G424">
        <v>0</v>
      </c>
      <c r="H424" t="s">
        <v>66</v>
      </c>
      <c r="I424">
        <v>0</v>
      </c>
      <c r="J424" t="s">
        <v>66</v>
      </c>
      <c r="K424">
        <v>1</v>
      </c>
      <c r="L424" t="s">
        <v>1627</v>
      </c>
      <c r="M424" t="s">
        <v>5127</v>
      </c>
      <c r="N424">
        <v>1</v>
      </c>
      <c r="O424" t="s">
        <v>1627</v>
      </c>
      <c r="P424" t="s">
        <v>4649</v>
      </c>
      <c r="Q424">
        <v>0</v>
      </c>
      <c r="R424" t="s">
        <v>66</v>
      </c>
      <c r="S424" t="s">
        <v>56</v>
      </c>
      <c r="T424" t="s">
        <v>56</v>
      </c>
      <c r="U424" t="s">
        <v>56</v>
      </c>
      <c r="V424" t="s">
        <v>56</v>
      </c>
      <c r="W424">
        <v>0</v>
      </c>
      <c r="X424" t="s">
        <v>66</v>
      </c>
      <c r="Y424" t="s">
        <v>56</v>
      </c>
      <c r="Z424">
        <v>0</v>
      </c>
      <c r="AA424" t="s">
        <v>66</v>
      </c>
      <c r="AB424" t="s">
        <v>56</v>
      </c>
      <c r="AC424">
        <v>0</v>
      </c>
      <c r="AD424" t="s">
        <v>66</v>
      </c>
      <c r="AE424" t="s">
        <v>56</v>
      </c>
      <c r="AF424">
        <v>0</v>
      </c>
      <c r="AG424" t="s">
        <v>66</v>
      </c>
      <c r="AH424" t="s">
        <v>56</v>
      </c>
      <c r="AI424">
        <v>1</v>
      </c>
      <c r="AJ424" t="s">
        <v>1627</v>
      </c>
      <c r="AK424" t="s">
        <v>56</v>
      </c>
      <c r="AL424" t="s">
        <v>56</v>
      </c>
      <c r="AM424" t="s">
        <v>56</v>
      </c>
      <c r="AN424" t="s">
        <v>56</v>
      </c>
      <c r="AO424" t="s">
        <v>4176</v>
      </c>
      <c r="AP424" t="s">
        <v>3889</v>
      </c>
      <c r="AQ424" t="s">
        <v>3890</v>
      </c>
      <c r="AR424" t="s">
        <v>3920</v>
      </c>
      <c r="AS424" t="s">
        <v>3921</v>
      </c>
      <c r="AT424" t="s">
        <v>5128</v>
      </c>
      <c r="AU424">
        <v>9000</v>
      </c>
      <c r="AV424" t="s">
        <v>3956</v>
      </c>
      <c r="AW424" t="s">
        <v>3956</v>
      </c>
      <c r="AX424">
        <v>24</v>
      </c>
      <c r="AY424">
        <v>2</v>
      </c>
      <c r="AZ424" t="s">
        <v>3897</v>
      </c>
      <c r="BA424">
        <v>10</v>
      </c>
      <c r="BB424" t="s">
        <v>3898</v>
      </c>
      <c r="BC424">
        <v>3</v>
      </c>
      <c r="BD424">
        <v>5</v>
      </c>
      <c r="BE424" t="s">
        <v>3899</v>
      </c>
      <c r="BF424">
        <v>3</v>
      </c>
      <c r="BG424">
        <v>37</v>
      </c>
      <c r="BH424" t="s">
        <v>4007</v>
      </c>
      <c r="BI424" t="s">
        <v>5129</v>
      </c>
      <c r="BJ424">
        <v>1</v>
      </c>
      <c r="BK424" t="s">
        <v>3902</v>
      </c>
    </row>
    <row r="425" spans="1:63" x14ac:dyDescent="0.25">
      <c r="A425">
        <v>4643</v>
      </c>
      <c r="B425" t="str">
        <f>"20200131140017160458"</f>
        <v>20200131140017160458</v>
      </c>
      <c r="C425">
        <v>1</v>
      </c>
      <c r="D425">
        <v>1</v>
      </c>
      <c r="E425" t="s">
        <v>3886</v>
      </c>
      <c r="F425">
        <v>2</v>
      </c>
      <c r="G425">
        <v>0</v>
      </c>
      <c r="H425" t="s">
        <v>66</v>
      </c>
      <c r="I425">
        <v>0</v>
      </c>
      <c r="J425" t="s">
        <v>66</v>
      </c>
      <c r="K425">
        <v>0</v>
      </c>
      <c r="L425" t="s">
        <v>66</v>
      </c>
      <c r="M425" t="s">
        <v>56</v>
      </c>
      <c r="N425">
        <v>0</v>
      </c>
      <c r="O425" t="s">
        <v>66</v>
      </c>
      <c r="P425" t="s">
        <v>56</v>
      </c>
      <c r="Q425">
        <v>0</v>
      </c>
      <c r="R425" t="s">
        <v>66</v>
      </c>
      <c r="S425" t="s">
        <v>56</v>
      </c>
      <c r="T425">
        <v>1</v>
      </c>
      <c r="U425" t="s">
        <v>1627</v>
      </c>
      <c r="V425" t="s">
        <v>56</v>
      </c>
      <c r="W425">
        <v>0</v>
      </c>
      <c r="X425" t="s">
        <v>66</v>
      </c>
      <c r="Y425" t="s">
        <v>56</v>
      </c>
      <c r="Z425">
        <v>0</v>
      </c>
      <c r="AA425" t="s">
        <v>66</v>
      </c>
      <c r="AB425" t="s">
        <v>56</v>
      </c>
      <c r="AC425">
        <v>1</v>
      </c>
      <c r="AD425" t="s">
        <v>1627</v>
      </c>
      <c r="AE425" t="s">
        <v>3887</v>
      </c>
      <c r="AF425">
        <v>0</v>
      </c>
      <c r="AG425" t="s">
        <v>66</v>
      </c>
      <c r="AH425" t="s">
        <v>56</v>
      </c>
      <c r="AI425">
        <v>1</v>
      </c>
      <c r="AJ425" t="s">
        <v>1627</v>
      </c>
      <c r="AK425" t="s">
        <v>56</v>
      </c>
      <c r="AL425" t="s">
        <v>56</v>
      </c>
      <c r="AM425" t="s">
        <v>56</v>
      </c>
      <c r="AN425" t="s">
        <v>56</v>
      </c>
      <c r="AO425" t="s">
        <v>5130</v>
      </c>
      <c r="AP425" t="s">
        <v>3962</v>
      </c>
      <c r="AQ425" t="s">
        <v>3963</v>
      </c>
      <c r="AR425" t="s">
        <v>3941</v>
      </c>
      <c r="AS425" t="s">
        <v>3942</v>
      </c>
      <c r="AT425" t="s">
        <v>5131</v>
      </c>
      <c r="AU425">
        <v>9000</v>
      </c>
      <c r="AV425" t="s">
        <v>3956</v>
      </c>
      <c r="AW425" t="s">
        <v>3956</v>
      </c>
      <c r="AX425">
        <v>12</v>
      </c>
      <c r="AY425">
        <v>2</v>
      </c>
      <c r="AZ425" t="s">
        <v>3897</v>
      </c>
      <c r="BA425">
        <v>10</v>
      </c>
      <c r="BB425" t="s">
        <v>3898</v>
      </c>
      <c r="BC425">
        <v>30</v>
      </c>
      <c r="BD425">
        <v>3</v>
      </c>
      <c r="BE425" t="s">
        <v>3911</v>
      </c>
      <c r="BF425">
        <v>60</v>
      </c>
      <c r="BG425">
        <v>66</v>
      </c>
      <c r="BH425" t="s">
        <v>3965</v>
      </c>
      <c r="BI425" t="s">
        <v>5132</v>
      </c>
      <c r="BJ425">
        <v>1</v>
      </c>
      <c r="BK425" t="s">
        <v>3902</v>
      </c>
    </row>
    <row r="426" spans="1:63" x14ac:dyDescent="0.25">
      <c r="A426">
        <v>4644</v>
      </c>
      <c r="B426" t="str">
        <f>"20200131191017160493"</f>
        <v>20200131191017160493</v>
      </c>
      <c r="C426">
        <v>1</v>
      </c>
      <c r="D426">
        <v>1</v>
      </c>
      <c r="E426" t="s">
        <v>3886</v>
      </c>
      <c r="F426">
        <v>2</v>
      </c>
      <c r="G426">
        <v>0</v>
      </c>
      <c r="H426" t="s">
        <v>66</v>
      </c>
      <c r="I426">
        <v>0</v>
      </c>
      <c r="J426" t="s">
        <v>66</v>
      </c>
      <c r="K426">
        <v>0</v>
      </c>
      <c r="L426" t="s">
        <v>66</v>
      </c>
      <c r="M426" t="s">
        <v>56</v>
      </c>
      <c r="N426">
        <v>0</v>
      </c>
      <c r="O426" t="s">
        <v>66</v>
      </c>
      <c r="P426" t="s">
        <v>56</v>
      </c>
      <c r="Q426">
        <v>0</v>
      </c>
      <c r="R426" t="s">
        <v>66</v>
      </c>
      <c r="S426" t="s">
        <v>56</v>
      </c>
      <c r="T426">
        <v>1</v>
      </c>
      <c r="U426" t="s">
        <v>1627</v>
      </c>
      <c r="V426" t="s">
        <v>56</v>
      </c>
      <c r="W426">
        <v>0</v>
      </c>
      <c r="X426" t="s">
        <v>66</v>
      </c>
      <c r="Y426" t="s">
        <v>56</v>
      </c>
      <c r="Z426">
        <v>0</v>
      </c>
      <c r="AA426" t="s">
        <v>66</v>
      </c>
      <c r="AB426" t="s">
        <v>56</v>
      </c>
      <c r="AC426">
        <v>1</v>
      </c>
      <c r="AD426" t="s">
        <v>1627</v>
      </c>
      <c r="AE426" t="s">
        <v>3887</v>
      </c>
      <c r="AF426">
        <v>0</v>
      </c>
      <c r="AG426" t="s">
        <v>66</v>
      </c>
      <c r="AH426" t="s">
        <v>56</v>
      </c>
      <c r="AI426">
        <v>1</v>
      </c>
      <c r="AJ426" t="s">
        <v>1627</v>
      </c>
      <c r="AK426" t="s">
        <v>56</v>
      </c>
      <c r="AL426" t="s">
        <v>56</v>
      </c>
      <c r="AM426" t="s">
        <v>56</v>
      </c>
      <c r="AN426" t="s">
        <v>56</v>
      </c>
      <c r="AO426" t="s">
        <v>4598</v>
      </c>
      <c r="AP426" t="s">
        <v>3962</v>
      </c>
      <c r="AQ426" t="s">
        <v>3963</v>
      </c>
      <c r="AR426" t="s">
        <v>3941</v>
      </c>
      <c r="AS426" t="s">
        <v>3942</v>
      </c>
      <c r="AT426" t="s">
        <v>5133</v>
      </c>
      <c r="AU426">
        <v>9000</v>
      </c>
      <c r="AV426" t="s">
        <v>3956</v>
      </c>
      <c r="AW426" t="s">
        <v>3956</v>
      </c>
      <c r="AX426">
        <v>24</v>
      </c>
      <c r="AY426">
        <v>2</v>
      </c>
      <c r="AZ426" t="s">
        <v>3897</v>
      </c>
      <c r="BA426">
        <v>10</v>
      </c>
      <c r="BB426" t="s">
        <v>3898</v>
      </c>
      <c r="BC426">
        <v>4</v>
      </c>
      <c r="BD426">
        <v>5</v>
      </c>
      <c r="BE426" t="s">
        <v>3899</v>
      </c>
      <c r="BF426">
        <v>360</v>
      </c>
      <c r="BG426">
        <v>66</v>
      </c>
      <c r="BH426" t="s">
        <v>3965</v>
      </c>
      <c r="BI426" t="s">
        <v>4600</v>
      </c>
      <c r="BJ426">
        <v>1</v>
      </c>
      <c r="BK426" t="s">
        <v>3902</v>
      </c>
    </row>
    <row r="427" spans="1:63" x14ac:dyDescent="0.25">
      <c r="A427">
        <v>4645</v>
      </c>
      <c r="B427" t="str">
        <f>"20200131192017160928"</f>
        <v>20200131192017160928</v>
      </c>
      <c r="C427">
        <v>1</v>
      </c>
      <c r="D427">
        <v>1</v>
      </c>
      <c r="E427" t="s">
        <v>3886</v>
      </c>
      <c r="F427">
        <v>2</v>
      </c>
      <c r="G427">
        <v>0</v>
      </c>
      <c r="H427" t="s">
        <v>66</v>
      </c>
      <c r="I427">
        <v>0</v>
      </c>
      <c r="J427" t="s">
        <v>66</v>
      </c>
      <c r="K427">
        <v>0</v>
      </c>
      <c r="L427" t="s">
        <v>66</v>
      </c>
      <c r="M427" t="s">
        <v>56</v>
      </c>
      <c r="N427">
        <v>0</v>
      </c>
      <c r="O427" t="s">
        <v>66</v>
      </c>
      <c r="P427" t="s">
        <v>56</v>
      </c>
      <c r="Q427">
        <v>0</v>
      </c>
      <c r="R427" t="s">
        <v>66</v>
      </c>
      <c r="S427" t="s">
        <v>56</v>
      </c>
      <c r="T427">
        <v>1</v>
      </c>
      <c r="U427" t="s">
        <v>1627</v>
      </c>
      <c r="V427" t="s">
        <v>56</v>
      </c>
      <c r="W427">
        <v>0</v>
      </c>
      <c r="X427" t="s">
        <v>66</v>
      </c>
      <c r="Y427" t="s">
        <v>56</v>
      </c>
      <c r="Z427">
        <v>0</v>
      </c>
      <c r="AA427" t="s">
        <v>66</v>
      </c>
      <c r="AB427" t="s">
        <v>56</v>
      </c>
      <c r="AC427">
        <v>1</v>
      </c>
      <c r="AD427" t="s">
        <v>1627</v>
      </c>
      <c r="AE427" t="s">
        <v>3887</v>
      </c>
      <c r="AF427">
        <v>0</v>
      </c>
      <c r="AG427" t="s">
        <v>66</v>
      </c>
      <c r="AH427" t="s">
        <v>56</v>
      </c>
      <c r="AI427">
        <v>1</v>
      </c>
      <c r="AJ427" t="s">
        <v>1627</v>
      </c>
      <c r="AK427" t="s">
        <v>56</v>
      </c>
      <c r="AL427" t="s">
        <v>56</v>
      </c>
      <c r="AM427" t="s">
        <v>56</v>
      </c>
      <c r="AN427" t="s">
        <v>56</v>
      </c>
      <c r="AO427" t="s">
        <v>5134</v>
      </c>
      <c r="AP427" t="s">
        <v>3971</v>
      </c>
      <c r="AQ427" t="s">
        <v>3972</v>
      </c>
      <c r="AR427" t="s">
        <v>2324</v>
      </c>
      <c r="AS427" t="s">
        <v>4266</v>
      </c>
      <c r="AT427" t="s">
        <v>5135</v>
      </c>
      <c r="AU427" t="s">
        <v>3944</v>
      </c>
      <c r="AV427" t="s">
        <v>3945</v>
      </c>
      <c r="AW427" t="s">
        <v>3946</v>
      </c>
      <c r="AX427">
        <v>24</v>
      </c>
      <c r="AY427">
        <v>2</v>
      </c>
      <c r="AZ427" t="s">
        <v>3897</v>
      </c>
      <c r="BA427">
        <v>10</v>
      </c>
      <c r="BB427" t="s">
        <v>3898</v>
      </c>
      <c r="BC427">
        <v>4</v>
      </c>
      <c r="BD427">
        <v>5</v>
      </c>
      <c r="BE427" t="s">
        <v>3899</v>
      </c>
      <c r="BF427">
        <v>8</v>
      </c>
      <c r="BG427">
        <v>16</v>
      </c>
      <c r="BH427" t="s">
        <v>5136</v>
      </c>
      <c r="BI427" t="s">
        <v>5137</v>
      </c>
      <c r="BJ427">
        <v>1</v>
      </c>
      <c r="BK427" t="s">
        <v>3902</v>
      </c>
    </row>
    <row r="428" spans="1:63" x14ac:dyDescent="0.25">
      <c r="A428">
        <v>4646</v>
      </c>
      <c r="B428" t="str">
        <f>"20200131166017161104"</f>
        <v>20200131166017161104</v>
      </c>
      <c r="C428">
        <v>1</v>
      </c>
      <c r="D428">
        <v>1</v>
      </c>
      <c r="E428" t="s">
        <v>3886</v>
      </c>
      <c r="F428">
        <v>2</v>
      </c>
      <c r="G428">
        <v>0</v>
      </c>
      <c r="H428" t="s">
        <v>66</v>
      </c>
      <c r="I428">
        <v>0</v>
      </c>
      <c r="J428" t="s">
        <v>66</v>
      </c>
      <c r="K428">
        <v>1</v>
      </c>
      <c r="L428" t="s">
        <v>1627</v>
      </c>
      <c r="M428" t="s">
        <v>4463</v>
      </c>
      <c r="N428">
        <v>1</v>
      </c>
      <c r="O428" t="s">
        <v>1627</v>
      </c>
      <c r="P428" t="s">
        <v>4464</v>
      </c>
      <c r="Q428">
        <v>0</v>
      </c>
      <c r="R428" t="s">
        <v>66</v>
      </c>
      <c r="S428" t="s">
        <v>56</v>
      </c>
      <c r="T428" t="s">
        <v>56</v>
      </c>
      <c r="U428" t="s">
        <v>56</v>
      </c>
      <c r="V428" t="s">
        <v>56</v>
      </c>
      <c r="W428">
        <v>0</v>
      </c>
      <c r="X428" t="s">
        <v>66</v>
      </c>
      <c r="Y428" t="s">
        <v>56</v>
      </c>
      <c r="Z428">
        <v>0</v>
      </c>
      <c r="AA428" t="s">
        <v>66</v>
      </c>
      <c r="AB428" t="s">
        <v>56</v>
      </c>
      <c r="AC428">
        <v>0</v>
      </c>
      <c r="AD428" t="s">
        <v>66</v>
      </c>
      <c r="AE428" t="s">
        <v>56</v>
      </c>
      <c r="AF428">
        <v>0</v>
      </c>
      <c r="AG428" t="s">
        <v>66</v>
      </c>
      <c r="AH428" t="s">
        <v>56</v>
      </c>
      <c r="AI428">
        <v>1</v>
      </c>
      <c r="AJ428" t="s">
        <v>1627</v>
      </c>
      <c r="AK428" t="s">
        <v>56</v>
      </c>
      <c r="AL428" t="s">
        <v>56</v>
      </c>
      <c r="AM428" t="s">
        <v>56</v>
      </c>
      <c r="AN428" t="s">
        <v>56</v>
      </c>
      <c r="AO428" t="s">
        <v>4349</v>
      </c>
      <c r="AP428" t="s">
        <v>3962</v>
      </c>
      <c r="AQ428" t="s">
        <v>3963</v>
      </c>
      <c r="AR428" t="s">
        <v>3941</v>
      </c>
      <c r="AS428" t="s">
        <v>3942</v>
      </c>
      <c r="AT428" t="s">
        <v>5138</v>
      </c>
      <c r="AU428" t="s">
        <v>3944</v>
      </c>
      <c r="AV428" t="s">
        <v>3945</v>
      </c>
      <c r="AW428" t="s">
        <v>3946</v>
      </c>
      <c r="AX428">
        <v>24</v>
      </c>
      <c r="AY428">
        <v>2</v>
      </c>
      <c r="AZ428" t="s">
        <v>3897</v>
      </c>
      <c r="BA428">
        <v>10</v>
      </c>
      <c r="BB428" t="s">
        <v>3898</v>
      </c>
      <c r="BC428">
        <v>180</v>
      </c>
      <c r="BD428">
        <v>3</v>
      </c>
      <c r="BE428" t="s">
        <v>3911</v>
      </c>
      <c r="BF428">
        <v>180</v>
      </c>
      <c r="BG428">
        <v>66</v>
      </c>
      <c r="BH428" t="s">
        <v>3965</v>
      </c>
      <c r="BI428" t="s">
        <v>4466</v>
      </c>
      <c r="BJ428">
        <v>1</v>
      </c>
      <c r="BK428" t="s">
        <v>3902</v>
      </c>
    </row>
    <row r="429" spans="1:63" x14ac:dyDescent="0.25">
      <c r="A429">
        <v>4647</v>
      </c>
      <c r="B429" t="str">
        <f>"20200131193017161194"</f>
        <v>20200131193017161194</v>
      </c>
      <c r="C429">
        <v>1</v>
      </c>
      <c r="D429">
        <v>1</v>
      </c>
      <c r="E429" t="s">
        <v>3886</v>
      </c>
      <c r="F429">
        <v>2</v>
      </c>
      <c r="G429">
        <v>0</v>
      </c>
      <c r="H429" t="s">
        <v>66</v>
      </c>
      <c r="I429">
        <v>0</v>
      </c>
      <c r="J429" t="s">
        <v>66</v>
      </c>
      <c r="K429">
        <v>0</v>
      </c>
      <c r="L429" t="s">
        <v>66</v>
      </c>
      <c r="M429" t="s">
        <v>56</v>
      </c>
      <c r="N429">
        <v>0</v>
      </c>
      <c r="O429" t="s">
        <v>66</v>
      </c>
      <c r="P429" t="s">
        <v>56</v>
      </c>
      <c r="Q429">
        <v>0</v>
      </c>
      <c r="R429" t="s">
        <v>66</v>
      </c>
      <c r="S429" t="s">
        <v>56</v>
      </c>
      <c r="T429">
        <v>1</v>
      </c>
      <c r="U429" t="s">
        <v>1627</v>
      </c>
      <c r="V429" t="s">
        <v>56</v>
      </c>
      <c r="W429">
        <v>0</v>
      </c>
      <c r="X429" t="s">
        <v>66</v>
      </c>
      <c r="Y429" t="s">
        <v>56</v>
      </c>
      <c r="Z429">
        <v>0</v>
      </c>
      <c r="AA429" t="s">
        <v>66</v>
      </c>
      <c r="AB429" t="s">
        <v>56</v>
      </c>
      <c r="AC429">
        <v>1</v>
      </c>
      <c r="AD429" t="s">
        <v>1627</v>
      </c>
      <c r="AE429" t="s">
        <v>3887</v>
      </c>
      <c r="AF429">
        <v>0</v>
      </c>
      <c r="AG429" t="s">
        <v>66</v>
      </c>
      <c r="AH429" t="s">
        <v>56</v>
      </c>
      <c r="AI429">
        <v>1</v>
      </c>
      <c r="AJ429" t="s">
        <v>1627</v>
      </c>
      <c r="AK429" t="s">
        <v>56</v>
      </c>
      <c r="AL429" t="s">
        <v>56</v>
      </c>
      <c r="AM429" t="s">
        <v>56</v>
      </c>
      <c r="AN429" t="s">
        <v>56</v>
      </c>
      <c r="AO429" t="s">
        <v>4086</v>
      </c>
      <c r="AP429" t="s">
        <v>3939</v>
      </c>
      <c r="AQ429" t="s">
        <v>3940</v>
      </c>
      <c r="AR429" t="s">
        <v>3920</v>
      </c>
      <c r="AS429" t="s">
        <v>3921</v>
      </c>
      <c r="AT429" t="s">
        <v>5139</v>
      </c>
      <c r="AU429">
        <v>9000</v>
      </c>
      <c r="AV429" t="s">
        <v>3956</v>
      </c>
      <c r="AW429" t="s">
        <v>3956</v>
      </c>
      <c r="AX429">
        <v>24</v>
      </c>
      <c r="AY429">
        <v>2</v>
      </c>
      <c r="AZ429" t="s">
        <v>3897</v>
      </c>
      <c r="BA429">
        <v>10</v>
      </c>
      <c r="BB429" t="s">
        <v>3898</v>
      </c>
      <c r="BC429">
        <v>6</v>
      </c>
      <c r="BD429">
        <v>5</v>
      </c>
      <c r="BE429" t="s">
        <v>3899</v>
      </c>
      <c r="BF429">
        <v>180</v>
      </c>
      <c r="BG429">
        <v>14</v>
      </c>
      <c r="BH429" t="s">
        <v>3947</v>
      </c>
      <c r="BI429" t="s">
        <v>5140</v>
      </c>
      <c r="BJ429">
        <v>1</v>
      </c>
      <c r="BK429" t="s">
        <v>3902</v>
      </c>
    </row>
    <row r="430" spans="1:63" x14ac:dyDescent="0.25">
      <c r="A430">
        <v>4648</v>
      </c>
      <c r="B430" t="str">
        <f>"20200131130017161362"</f>
        <v>20200131130017161362</v>
      </c>
      <c r="C430">
        <v>1</v>
      </c>
      <c r="D430">
        <v>1</v>
      </c>
      <c r="E430" t="s">
        <v>3886</v>
      </c>
      <c r="F430">
        <v>1</v>
      </c>
      <c r="G430">
        <v>0</v>
      </c>
      <c r="H430" t="s">
        <v>66</v>
      </c>
      <c r="I430">
        <v>0</v>
      </c>
      <c r="J430" t="s">
        <v>66</v>
      </c>
      <c r="K430">
        <v>1</v>
      </c>
      <c r="L430" t="s">
        <v>1627</v>
      </c>
      <c r="M430" t="s">
        <v>5141</v>
      </c>
      <c r="N430">
        <v>1</v>
      </c>
      <c r="O430" t="s">
        <v>1627</v>
      </c>
      <c r="P430" t="s">
        <v>5142</v>
      </c>
      <c r="Q430">
        <v>0</v>
      </c>
      <c r="R430" t="s">
        <v>66</v>
      </c>
      <c r="S430" t="s">
        <v>56</v>
      </c>
      <c r="T430" t="s">
        <v>56</v>
      </c>
      <c r="U430" t="s">
        <v>56</v>
      </c>
      <c r="V430" t="s">
        <v>56</v>
      </c>
      <c r="W430">
        <v>0</v>
      </c>
      <c r="X430" t="s">
        <v>66</v>
      </c>
      <c r="Y430" t="s">
        <v>56</v>
      </c>
      <c r="Z430">
        <v>0</v>
      </c>
      <c r="AA430" t="s">
        <v>66</v>
      </c>
      <c r="AB430" t="s">
        <v>56</v>
      </c>
      <c r="AC430">
        <v>0</v>
      </c>
      <c r="AD430" t="s">
        <v>66</v>
      </c>
      <c r="AE430" t="s">
        <v>56</v>
      </c>
      <c r="AF430">
        <v>0</v>
      </c>
      <c r="AG430" t="s">
        <v>66</v>
      </c>
      <c r="AH430" t="s">
        <v>56</v>
      </c>
      <c r="AI430">
        <v>1</v>
      </c>
      <c r="AJ430" t="s">
        <v>1627</v>
      </c>
      <c r="AK430" t="s">
        <v>56</v>
      </c>
      <c r="AL430" t="s">
        <v>56</v>
      </c>
      <c r="AM430" t="s">
        <v>56</v>
      </c>
      <c r="AN430" t="s">
        <v>56</v>
      </c>
      <c r="AO430" t="s">
        <v>4391</v>
      </c>
      <c r="AP430" t="s">
        <v>3934</v>
      </c>
      <c r="AQ430" t="s">
        <v>3935</v>
      </c>
      <c r="AR430" t="s">
        <v>3941</v>
      </c>
      <c r="AS430" t="s">
        <v>3942</v>
      </c>
      <c r="AT430" t="s">
        <v>5143</v>
      </c>
      <c r="AU430" t="s">
        <v>3944</v>
      </c>
      <c r="AV430" t="s">
        <v>3945</v>
      </c>
      <c r="AW430" t="s">
        <v>3946</v>
      </c>
      <c r="AX430">
        <v>24</v>
      </c>
      <c r="AY430">
        <v>2</v>
      </c>
      <c r="AZ430" t="s">
        <v>3897</v>
      </c>
      <c r="BA430">
        <v>10</v>
      </c>
      <c r="BB430" t="s">
        <v>3898</v>
      </c>
      <c r="BC430">
        <v>1</v>
      </c>
      <c r="BD430">
        <v>3</v>
      </c>
      <c r="BE430" t="s">
        <v>3911</v>
      </c>
      <c r="BF430">
        <v>1</v>
      </c>
      <c r="BG430">
        <v>13</v>
      </c>
      <c r="BH430" t="s">
        <v>3900</v>
      </c>
      <c r="BI430" t="s">
        <v>5144</v>
      </c>
      <c r="BJ430">
        <v>1</v>
      </c>
      <c r="BK430" t="s">
        <v>3902</v>
      </c>
    </row>
    <row r="431" spans="1:63" x14ac:dyDescent="0.25">
      <c r="A431">
        <v>4649</v>
      </c>
      <c r="B431" t="str">
        <f>"20200131183017161557"</f>
        <v>20200131183017161557</v>
      </c>
      <c r="C431">
        <v>1</v>
      </c>
      <c r="D431">
        <v>1</v>
      </c>
      <c r="E431" t="s">
        <v>3886</v>
      </c>
      <c r="F431">
        <v>2</v>
      </c>
      <c r="G431">
        <v>0</v>
      </c>
      <c r="H431" t="s">
        <v>66</v>
      </c>
      <c r="I431">
        <v>0</v>
      </c>
      <c r="J431" t="s">
        <v>66</v>
      </c>
      <c r="K431">
        <v>1</v>
      </c>
      <c r="L431" t="s">
        <v>1627</v>
      </c>
      <c r="M431" t="s">
        <v>4223</v>
      </c>
      <c r="N431">
        <v>1</v>
      </c>
      <c r="O431" t="s">
        <v>1627</v>
      </c>
      <c r="P431" t="s">
        <v>5145</v>
      </c>
      <c r="Q431">
        <v>0</v>
      </c>
      <c r="R431" t="s">
        <v>66</v>
      </c>
      <c r="S431" t="s">
        <v>56</v>
      </c>
      <c r="T431" t="s">
        <v>56</v>
      </c>
      <c r="U431" t="s">
        <v>56</v>
      </c>
      <c r="V431" t="s">
        <v>56</v>
      </c>
      <c r="W431">
        <v>0</v>
      </c>
      <c r="X431" t="s">
        <v>66</v>
      </c>
      <c r="Y431" t="s">
        <v>56</v>
      </c>
      <c r="Z431">
        <v>0</v>
      </c>
      <c r="AA431" t="s">
        <v>66</v>
      </c>
      <c r="AB431" t="s">
        <v>56</v>
      </c>
      <c r="AC431">
        <v>0</v>
      </c>
      <c r="AD431" t="s">
        <v>66</v>
      </c>
      <c r="AE431" t="s">
        <v>56</v>
      </c>
      <c r="AF431">
        <v>0</v>
      </c>
      <c r="AG431" t="s">
        <v>66</v>
      </c>
      <c r="AH431" t="s">
        <v>56</v>
      </c>
      <c r="AI431">
        <v>1</v>
      </c>
      <c r="AJ431" t="s">
        <v>1627</v>
      </c>
      <c r="AK431" t="s">
        <v>56</v>
      </c>
      <c r="AL431" t="s">
        <v>56</v>
      </c>
      <c r="AM431" t="s">
        <v>56</v>
      </c>
      <c r="AN431" t="s">
        <v>56</v>
      </c>
      <c r="AO431" t="s">
        <v>4468</v>
      </c>
      <c r="AP431" t="s">
        <v>4077</v>
      </c>
      <c r="AQ431" t="s">
        <v>4078</v>
      </c>
      <c r="AR431" t="s">
        <v>3941</v>
      </c>
      <c r="AS431" t="s">
        <v>3942</v>
      </c>
      <c r="AT431" t="s">
        <v>5146</v>
      </c>
      <c r="AU431" t="s">
        <v>3944</v>
      </c>
      <c r="AV431" t="s">
        <v>3945</v>
      </c>
      <c r="AW431" t="s">
        <v>3946</v>
      </c>
      <c r="AX431">
        <v>24</v>
      </c>
      <c r="AY431">
        <v>2</v>
      </c>
      <c r="AZ431" t="s">
        <v>3897</v>
      </c>
      <c r="BA431">
        <v>10</v>
      </c>
      <c r="BB431" t="s">
        <v>3898</v>
      </c>
      <c r="BC431">
        <v>6</v>
      </c>
      <c r="BD431">
        <v>5</v>
      </c>
      <c r="BE431" t="s">
        <v>3899</v>
      </c>
      <c r="BF431">
        <v>180</v>
      </c>
      <c r="BG431">
        <v>66</v>
      </c>
      <c r="BH431" t="s">
        <v>3965</v>
      </c>
      <c r="BI431" t="s">
        <v>5147</v>
      </c>
      <c r="BJ431">
        <v>1</v>
      </c>
      <c r="BK431" t="s">
        <v>3902</v>
      </c>
    </row>
    <row r="432" spans="1:63" x14ac:dyDescent="0.25">
      <c r="A432">
        <v>4650</v>
      </c>
      <c r="B432" t="str">
        <f>"20200131181017161562"</f>
        <v>20200131181017161562</v>
      </c>
      <c r="C432">
        <v>1</v>
      </c>
      <c r="D432">
        <v>1</v>
      </c>
      <c r="E432" t="s">
        <v>3886</v>
      </c>
      <c r="F432">
        <v>2</v>
      </c>
      <c r="G432">
        <v>0</v>
      </c>
      <c r="H432" t="s">
        <v>66</v>
      </c>
      <c r="I432">
        <v>0</v>
      </c>
      <c r="J432" t="s">
        <v>66</v>
      </c>
      <c r="K432">
        <v>0</v>
      </c>
      <c r="L432" t="s">
        <v>66</v>
      </c>
      <c r="M432" t="s">
        <v>56</v>
      </c>
      <c r="N432">
        <v>0</v>
      </c>
      <c r="O432" t="s">
        <v>66</v>
      </c>
      <c r="P432" t="s">
        <v>56</v>
      </c>
      <c r="Q432">
        <v>0</v>
      </c>
      <c r="R432" t="s">
        <v>66</v>
      </c>
      <c r="S432" t="s">
        <v>56</v>
      </c>
      <c r="T432">
        <v>1</v>
      </c>
      <c r="U432" t="s">
        <v>1627</v>
      </c>
      <c r="V432" t="s">
        <v>56</v>
      </c>
      <c r="W432">
        <v>0</v>
      </c>
      <c r="X432" t="s">
        <v>66</v>
      </c>
      <c r="Y432" t="s">
        <v>56</v>
      </c>
      <c r="Z432">
        <v>0</v>
      </c>
      <c r="AA432" t="s">
        <v>66</v>
      </c>
      <c r="AB432" t="s">
        <v>56</v>
      </c>
      <c r="AC432">
        <v>1</v>
      </c>
      <c r="AD432" t="s">
        <v>1627</v>
      </c>
      <c r="AE432" t="s">
        <v>3887</v>
      </c>
      <c r="AF432">
        <v>0</v>
      </c>
      <c r="AG432" t="s">
        <v>66</v>
      </c>
      <c r="AH432" t="s">
        <v>56</v>
      </c>
      <c r="AI432">
        <v>1</v>
      </c>
      <c r="AJ432" t="s">
        <v>1627</v>
      </c>
      <c r="AK432" t="s">
        <v>56</v>
      </c>
      <c r="AL432" t="s">
        <v>56</v>
      </c>
      <c r="AM432" t="s">
        <v>56</v>
      </c>
      <c r="AN432" t="s">
        <v>56</v>
      </c>
      <c r="AO432" t="s">
        <v>4139</v>
      </c>
      <c r="AP432" t="s">
        <v>3889</v>
      </c>
      <c r="AQ432" t="s">
        <v>3890</v>
      </c>
      <c r="AR432" t="s">
        <v>3926</v>
      </c>
      <c r="AS432" t="s">
        <v>3927</v>
      </c>
      <c r="AT432" t="s">
        <v>5148</v>
      </c>
      <c r="AU432" t="s">
        <v>3894</v>
      </c>
      <c r="AV432" t="s">
        <v>3895</v>
      </c>
      <c r="AW432" t="s">
        <v>3896</v>
      </c>
      <c r="AX432">
        <v>12</v>
      </c>
      <c r="AY432">
        <v>2</v>
      </c>
      <c r="AZ432" t="s">
        <v>3897</v>
      </c>
      <c r="BA432">
        <v>10</v>
      </c>
      <c r="BB432" t="s">
        <v>3898</v>
      </c>
      <c r="BC432">
        <v>3</v>
      </c>
      <c r="BD432">
        <v>5</v>
      </c>
      <c r="BE432" t="s">
        <v>3899</v>
      </c>
      <c r="BF432">
        <v>3</v>
      </c>
      <c r="BG432">
        <v>13</v>
      </c>
      <c r="BH432" t="s">
        <v>3900</v>
      </c>
      <c r="BI432" t="s">
        <v>5149</v>
      </c>
      <c r="BJ432">
        <v>1</v>
      </c>
      <c r="BK432" t="s">
        <v>3902</v>
      </c>
    </row>
    <row r="433" spans="1:63" x14ac:dyDescent="0.25">
      <c r="A433">
        <v>4651</v>
      </c>
      <c r="B433" t="str">
        <f>"20200131185017162471"</f>
        <v>20200131185017162471</v>
      </c>
      <c r="C433">
        <v>1</v>
      </c>
      <c r="D433">
        <v>1</v>
      </c>
      <c r="E433" t="s">
        <v>3886</v>
      </c>
      <c r="F433">
        <v>2</v>
      </c>
      <c r="G433">
        <v>0</v>
      </c>
      <c r="H433" t="s">
        <v>66</v>
      </c>
      <c r="I433">
        <v>0</v>
      </c>
      <c r="J433" t="s">
        <v>66</v>
      </c>
      <c r="K433">
        <v>0</v>
      </c>
      <c r="L433" t="s">
        <v>66</v>
      </c>
      <c r="M433" t="s">
        <v>56</v>
      </c>
      <c r="N433">
        <v>0</v>
      </c>
      <c r="O433" t="s">
        <v>66</v>
      </c>
      <c r="P433" t="s">
        <v>56</v>
      </c>
      <c r="Q433">
        <v>0</v>
      </c>
      <c r="R433" t="s">
        <v>66</v>
      </c>
      <c r="S433" t="s">
        <v>56</v>
      </c>
      <c r="T433">
        <v>1</v>
      </c>
      <c r="U433" t="s">
        <v>1627</v>
      </c>
      <c r="V433" t="s">
        <v>56</v>
      </c>
      <c r="W433">
        <v>0</v>
      </c>
      <c r="X433" t="s">
        <v>66</v>
      </c>
      <c r="Y433" t="s">
        <v>56</v>
      </c>
      <c r="Z433">
        <v>0</v>
      </c>
      <c r="AA433" t="s">
        <v>66</v>
      </c>
      <c r="AB433" t="s">
        <v>56</v>
      </c>
      <c r="AC433">
        <v>1</v>
      </c>
      <c r="AD433" t="s">
        <v>1627</v>
      </c>
      <c r="AE433" t="s">
        <v>3887</v>
      </c>
      <c r="AF433">
        <v>0</v>
      </c>
      <c r="AG433" t="s">
        <v>66</v>
      </c>
      <c r="AH433" t="s">
        <v>56</v>
      </c>
      <c r="AI433">
        <v>1</v>
      </c>
      <c r="AJ433" t="s">
        <v>1627</v>
      </c>
      <c r="AK433" t="s">
        <v>56</v>
      </c>
      <c r="AL433" t="s">
        <v>56</v>
      </c>
      <c r="AM433" t="s">
        <v>56</v>
      </c>
      <c r="AN433" t="s">
        <v>56</v>
      </c>
      <c r="AO433" t="s">
        <v>5150</v>
      </c>
      <c r="AP433" t="s">
        <v>3962</v>
      </c>
      <c r="AQ433" t="s">
        <v>3963</v>
      </c>
      <c r="AR433" t="s">
        <v>3941</v>
      </c>
      <c r="AS433" t="s">
        <v>3942</v>
      </c>
      <c r="AT433" t="s">
        <v>5151</v>
      </c>
      <c r="AU433" t="s">
        <v>4621</v>
      </c>
      <c r="AV433" t="s">
        <v>4622</v>
      </c>
      <c r="AW433" t="s">
        <v>4623</v>
      </c>
      <c r="AX433">
        <v>8</v>
      </c>
      <c r="AY433">
        <v>2</v>
      </c>
      <c r="AZ433" t="s">
        <v>3897</v>
      </c>
      <c r="BA433">
        <v>10</v>
      </c>
      <c r="BB433" t="s">
        <v>3898</v>
      </c>
      <c r="BC433">
        <v>30</v>
      </c>
      <c r="BD433">
        <v>3</v>
      </c>
      <c r="BE433" t="s">
        <v>3911</v>
      </c>
      <c r="BF433">
        <v>90</v>
      </c>
      <c r="BG433">
        <v>14</v>
      </c>
      <c r="BH433" t="s">
        <v>3947</v>
      </c>
      <c r="BI433" t="s">
        <v>5152</v>
      </c>
      <c r="BJ433">
        <v>1</v>
      </c>
      <c r="BK433" t="s">
        <v>3902</v>
      </c>
    </row>
    <row r="434" spans="1:63" x14ac:dyDescent="0.25">
      <c r="A434">
        <v>4652</v>
      </c>
      <c r="B434" t="str">
        <f>"20200131115017162596"</f>
        <v>20200131115017162596</v>
      </c>
      <c r="C434">
        <v>1</v>
      </c>
      <c r="D434">
        <v>1</v>
      </c>
      <c r="E434" t="s">
        <v>3886</v>
      </c>
      <c r="F434">
        <v>2</v>
      </c>
      <c r="G434">
        <v>0</v>
      </c>
      <c r="H434" t="s">
        <v>66</v>
      </c>
      <c r="I434">
        <v>0</v>
      </c>
      <c r="J434" t="s">
        <v>66</v>
      </c>
      <c r="K434">
        <v>0</v>
      </c>
      <c r="L434" t="s">
        <v>66</v>
      </c>
      <c r="M434" t="s">
        <v>56</v>
      </c>
      <c r="N434">
        <v>0</v>
      </c>
      <c r="O434" t="s">
        <v>66</v>
      </c>
      <c r="P434" t="s">
        <v>56</v>
      </c>
      <c r="Q434">
        <v>0</v>
      </c>
      <c r="R434" t="s">
        <v>66</v>
      </c>
      <c r="S434" t="s">
        <v>56</v>
      </c>
      <c r="T434">
        <v>1</v>
      </c>
      <c r="U434" t="s">
        <v>1627</v>
      </c>
      <c r="V434" t="s">
        <v>56</v>
      </c>
      <c r="W434">
        <v>0</v>
      </c>
      <c r="X434" t="s">
        <v>66</v>
      </c>
      <c r="Y434" t="s">
        <v>56</v>
      </c>
      <c r="Z434">
        <v>0</v>
      </c>
      <c r="AA434" t="s">
        <v>66</v>
      </c>
      <c r="AB434" t="s">
        <v>56</v>
      </c>
      <c r="AC434">
        <v>1</v>
      </c>
      <c r="AD434" t="s">
        <v>1627</v>
      </c>
      <c r="AE434" t="s">
        <v>3887</v>
      </c>
      <c r="AF434">
        <v>0</v>
      </c>
      <c r="AG434" t="s">
        <v>66</v>
      </c>
      <c r="AH434" t="s">
        <v>56</v>
      </c>
      <c r="AI434">
        <v>1</v>
      </c>
      <c r="AJ434" t="s">
        <v>1627</v>
      </c>
      <c r="AK434" t="s">
        <v>56</v>
      </c>
      <c r="AL434" t="s">
        <v>56</v>
      </c>
      <c r="AM434" t="s">
        <v>56</v>
      </c>
      <c r="AN434" t="s">
        <v>56</v>
      </c>
      <c r="AO434" t="s">
        <v>3975</v>
      </c>
      <c r="AP434" t="s">
        <v>3962</v>
      </c>
      <c r="AQ434" t="s">
        <v>3963</v>
      </c>
      <c r="AR434" t="s">
        <v>3941</v>
      </c>
      <c r="AS434" t="s">
        <v>3942</v>
      </c>
      <c r="AT434" t="s">
        <v>3968</v>
      </c>
      <c r="AU434" t="s">
        <v>3944</v>
      </c>
      <c r="AV434" t="s">
        <v>3945</v>
      </c>
      <c r="AW434" t="s">
        <v>3946</v>
      </c>
      <c r="AX434">
        <v>12</v>
      </c>
      <c r="AY434">
        <v>2</v>
      </c>
      <c r="AZ434" t="s">
        <v>3897</v>
      </c>
      <c r="BA434">
        <v>10</v>
      </c>
      <c r="BB434" t="s">
        <v>3898</v>
      </c>
      <c r="BC434">
        <v>90</v>
      </c>
      <c r="BD434">
        <v>3</v>
      </c>
      <c r="BE434" t="s">
        <v>3911</v>
      </c>
      <c r="BF434">
        <v>180</v>
      </c>
      <c r="BG434">
        <v>66</v>
      </c>
      <c r="BH434" t="s">
        <v>3965</v>
      </c>
      <c r="BI434" t="s">
        <v>3969</v>
      </c>
      <c r="BJ434">
        <v>1</v>
      </c>
      <c r="BK434" t="s">
        <v>3902</v>
      </c>
    </row>
    <row r="435" spans="1:63" x14ac:dyDescent="0.25">
      <c r="A435">
        <v>4653</v>
      </c>
      <c r="B435" t="str">
        <f>"20200131115017162609"</f>
        <v>20200131115017162609</v>
      </c>
      <c r="C435">
        <v>1</v>
      </c>
      <c r="D435">
        <v>1</v>
      </c>
      <c r="E435" t="s">
        <v>3886</v>
      </c>
      <c r="F435">
        <v>2</v>
      </c>
      <c r="G435">
        <v>0</v>
      </c>
      <c r="H435" t="s">
        <v>66</v>
      </c>
      <c r="I435">
        <v>0</v>
      </c>
      <c r="J435" t="s">
        <v>66</v>
      </c>
      <c r="K435">
        <v>0</v>
      </c>
      <c r="L435" t="s">
        <v>66</v>
      </c>
      <c r="M435" t="s">
        <v>56</v>
      </c>
      <c r="N435">
        <v>0</v>
      </c>
      <c r="O435" t="s">
        <v>66</v>
      </c>
      <c r="P435" t="s">
        <v>56</v>
      </c>
      <c r="Q435">
        <v>0</v>
      </c>
      <c r="R435" t="s">
        <v>66</v>
      </c>
      <c r="S435" t="s">
        <v>56</v>
      </c>
      <c r="T435">
        <v>1</v>
      </c>
      <c r="U435" t="s">
        <v>1627</v>
      </c>
      <c r="V435" t="s">
        <v>56</v>
      </c>
      <c r="W435">
        <v>0</v>
      </c>
      <c r="X435" t="s">
        <v>66</v>
      </c>
      <c r="Y435" t="s">
        <v>56</v>
      </c>
      <c r="Z435">
        <v>0</v>
      </c>
      <c r="AA435" t="s">
        <v>66</v>
      </c>
      <c r="AB435" t="s">
        <v>56</v>
      </c>
      <c r="AC435">
        <v>1</v>
      </c>
      <c r="AD435" t="s">
        <v>1627</v>
      </c>
      <c r="AE435" t="s">
        <v>3887</v>
      </c>
      <c r="AF435">
        <v>0</v>
      </c>
      <c r="AG435" t="s">
        <v>66</v>
      </c>
      <c r="AH435" t="s">
        <v>56</v>
      </c>
      <c r="AI435">
        <v>1</v>
      </c>
      <c r="AJ435" t="s">
        <v>1627</v>
      </c>
      <c r="AK435" t="s">
        <v>56</v>
      </c>
      <c r="AL435" t="s">
        <v>56</v>
      </c>
      <c r="AM435" t="s">
        <v>56</v>
      </c>
      <c r="AN435" t="s">
        <v>56</v>
      </c>
      <c r="AO435" t="s">
        <v>4046</v>
      </c>
      <c r="AP435" t="s">
        <v>3889</v>
      </c>
      <c r="AQ435" t="s">
        <v>3890</v>
      </c>
      <c r="AR435" t="s">
        <v>3926</v>
      </c>
      <c r="AS435" t="s">
        <v>3927</v>
      </c>
      <c r="AT435" t="s">
        <v>5153</v>
      </c>
      <c r="AU435" t="s">
        <v>3894</v>
      </c>
      <c r="AV435" t="s">
        <v>3895</v>
      </c>
      <c r="AW435" t="s">
        <v>3896</v>
      </c>
      <c r="AX435">
        <v>12</v>
      </c>
      <c r="AY435">
        <v>2</v>
      </c>
      <c r="AZ435" t="s">
        <v>3897</v>
      </c>
      <c r="BA435">
        <v>10</v>
      </c>
      <c r="BB435" t="s">
        <v>3898</v>
      </c>
      <c r="BC435">
        <v>1</v>
      </c>
      <c r="BD435">
        <v>5</v>
      </c>
      <c r="BE435" t="s">
        <v>3899</v>
      </c>
      <c r="BF435">
        <v>1</v>
      </c>
      <c r="BG435">
        <v>13</v>
      </c>
      <c r="BH435" t="s">
        <v>3900</v>
      </c>
      <c r="BI435" t="s">
        <v>5154</v>
      </c>
      <c r="BJ435">
        <v>1</v>
      </c>
      <c r="BK435" t="s">
        <v>3902</v>
      </c>
    </row>
    <row r="436" spans="1:63" x14ac:dyDescent="0.25">
      <c r="A436">
        <v>4654</v>
      </c>
      <c r="B436" t="str">
        <f>"20200131172017163130"</f>
        <v>20200131172017163130</v>
      </c>
      <c r="C436">
        <v>1</v>
      </c>
      <c r="D436">
        <v>1</v>
      </c>
      <c r="E436" t="s">
        <v>3886</v>
      </c>
      <c r="F436">
        <v>2</v>
      </c>
      <c r="G436">
        <v>0</v>
      </c>
      <c r="H436" t="s">
        <v>66</v>
      </c>
      <c r="I436">
        <v>0</v>
      </c>
      <c r="J436" t="s">
        <v>66</v>
      </c>
      <c r="K436">
        <v>0</v>
      </c>
      <c r="L436" t="s">
        <v>66</v>
      </c>
      <c r="M436" t="s">
        <v>56</v>
      </c>
      <c r="N436">
        <v>0</v>
      </c>
      <c r="O436" t="s">
        <v>66</v>
      </c>
      <c r="P436" t="s">
        <v>56</v>
      </c>
      <c r="Q436">
        <v>0</v>
      </c>
      <c r="R436" t="s">
        <v>66</v>
      </c>
      <c r="S436" t="s">
        <v>56</v>
      </c>
      <c r="T436">
        <v>1</v>
      </c>
      <c r="U436" t="s">
        <v>1627</v>
      </c>
      <c r="V436" t="s">
        <v>56</v>
      </c>
      <c r="W436">
        <v>0</v>
      </c>
      <c r="X436" t="s">
        <v>66</v>
      </c>
      <c r="Y436" t="s">
        <v>56</v>
      </c>
      <c r="Z436">
        <v>0</v>
      </c>
      <c r="AA436" t="s">
        <v>66</v>
      </c>
      <c r="AB436" t="s">
        <v>56</v>
      </c>
      <c r="AC436">
        <v>1</v>
      </c>
      <c r="AD436" t="s">
        <v>1627</v>
      </c>
      <c r="AE436" t="s">
        <v>3887</v>
      </c>
      <c r="AF436">
        <v>0</v>
      </c>
      <c r="AG436" t="s">
        <v>66</v>
      </c>
      <c r="AH436" t="s">
        <v>56</v>
      </c>
      <c r="AI436">
        <v>1</v>
      </c>
      <c r="AJ436" t="s">
        <v>1627</v>
      </c>
      <c r="AK436" t="s">
        <v>56</v>
      </c>
      <c r="AL436" t="s">
        <v>56</v>
      </c>
      <c r="AM436" t="s">
        <v>56</v>
      </c>
      <c r="AN436" t="s">
        <v>56</v>
      </c>
      <c r="AO436" t="s">
        <v>4139</v>
      </c>
      <c r="AP436" t="s">
        <v>3889</v>
      </c>
      <c r="AQ436" t="s">
        <v>3890</v>
      </c>
      <c r="AR436" t="s">
        <v>3891</v>
      </c>
      <c r="AS436" t="s">
        <v>3892</v>
      </c>
      <c r="AT436" t="s">
        <v>5155</v>
      </c>
      <c r="AU436" t="s">
        <v>3894</v>
      </c>
      <c r="AV436" t="s">
        <v>3895</v>
      </c>
      <c r="AW436" t="s">
        <v>3896</v>
      </c>
      <c r="AX436">
        <v>12</v>
      </c>
      <c r="AY436">
        <v>2</v>
      </c>
      <c r="AZ436" t="s">
        <v>3897</v>
      </c>
      <c r="BA436">
        <v>10</v>
      </c>
      <c r="BB436" t="s">
        <v>3898</v>
      </c>
      <c r="BC436">
        <v>3</v>
      </c>
      <c r="BD436">
        <v>5</v>
      </c>
      <c r="BE436" t="s">
        <v>3899</v>
      </c>
      <c r="BF436">
        <v>3</v>
      </c>
      <c r="BG436">
        <v>13</v>
      </c>
      <c r="BH436" t="s">
        <v>3900</v>
      </c>
      <c r="BI436" t="s">
        <v>5156</v>
      </c>
      <c r="BJ436">
        <v>1</v>
      </c>
      <c r="BK436" t="s">
        <v>3902</v>
      </c>
    </row>
    <row r="437" spans="1:63" x14ac:dyDescent="0.25">
      <c r="A437">
        <v>4655</v>
      </c>
      <c r="B437" t="str">
        <f>"20200131120017163357"</f>
        <v>20200131120017163357</v>
      </c>
      <c r="C437">
        <v>1</v>
      </c>
      <c r="D437">
        <v>1</v>
      </c>
      <c r="E437" t="s">
        <v>3886</v>
      </c>
      <c r="F437">
        <v>2</v>
      </c>
      <c r="G437">
        <v>0</v>
      </c>
      <c r="H437" t="s">
        <v>66</v>
      </c>
      <c r="I437">
        <v>0</v>
      </c>
      <c r="J437" t="s">
        <v>66</v>
      </c>
      <c r="K437">
        <v>0</v>
      </c>
      <c r="L437" t="s">
        <v>66</v>
      </c>
      <c r="M437" t="s">
        <v>56</v>
      </c>
      <c r="N437">
        <v>0</v>
      </c>
      <c r="O437" t="s">
        <v>66</v>
      </c>
      <c r="P437" t="s">
        <v>56</v>
      </c>
      <c r="Q437">
        <v>0</v>
      </c>
      <c r="R437" t="s">
        <v>66</v>
      </c>
      <c r="S437" t="s">
        <v>56</v>
      </c>
      <c r="T437">
        <v>1</v>
      </c>
      <c r="U437" t="s">
        <v>1627</v>
      </c>
      <c r="V437" t="s">
        <v>56</v>
      </c>
      <c r="W437">
        <v>0</v>
      </c>
      <c r="X437" t="s">
        <v>66</v>
      </c>
      <c r="Y437" t="s">
        <v>56</v>
      </c>
      <c r="Z437">
        <v>0</v>
      </c>
      <c r="AA437" t="s">
        <v>66</v>
      </c>
      <c r="AB437" t="s">
        <v>56</v>
      </c>
      <c r="AC437">
        <v>1</v>
      </c>
      <c r="AD437" t="s">
        <v>1627</v>
      </c>
      <c r="AE437" t="s">
        <v>3887</v>
      </c>
      <c r="AF437">
        <v>0</v>
      </c>
      <c r="AG437" t="s">
        <v>66</v>
      </c>
      <c r="AH437" t="s">
        <v>56</v>
      </c>
      <c r="AI437">
        <v>1</v>
      </c>
      <c r="AJ437" t="s">
        <v>1627</v>
      </c>
      <c r="AK437" t="s">
        <v>56</v>
      </c>
      <c r="AL437" t="s">
        <v>56</v>
      </c>
      <c r="AM437" t="s">
        <v>56</v>
      </c>
      <c r="AN437" t="s">
        <v>56</v>
      </c>
      <c r="AO437" t="s">
        <v>4139</v>
      </c>
      <c r="AP437" t="s">
        <v>3889</v>
      </c>
      <c r="AQ437" t="s">
        <v>3890</v>
      </c>
      <c r="AR437" t="s">
        <v>3891</v>
      </c>
      <c r="AS437" t="s">
        <v>3892</v>
      </c>
      <c r="AT437" t="s">
        <v>5157</v>
      </c>
      <c r="AU437" t="s">
        <v>3894</v>
      </c>
      <c r="AV437" t="s">
        <v>3895</v>
      </c>
      <c r="AW437" t="s">
        <v>3896</v>
      </c>
      <c r="AX437">
        <v>12</v>
      </c>
      <c r="AY437">
        <v>2</v>
      </c>
      <c r="AZ437" t="s">
        <v>3897</v>
      </c>
      <c r="BA437">
        <v>10</v>
      </c>
      <c r="BB437" t="s">
        <v>3898</v>
      </c>
      <c r="BC437">
        <v>3</v>
      </c>
      <c r="BD437">
        <v>5</v>
      </c>
      <c r="BE437" t="s">
        <v>3899</v>
      </c>
      <c r="BF437">
        <v>3</v>
      </c>
      <c r="BG437">
        <v>13</v>
      </c>
      <c r="BH437" t="s">
        <v>3900</v>
      </c>
      <c r="BI437" t="s">
        <v>4668</v>
      </c>
      <c r="BJ437">
        <v>1</v>
      </c>
      <c r="BK437" t="s">
        <v>3902</v>
      </c>
    </row>
    <row r="438" spans="1:63" x14ac:dyDescent="0.25">
      <c r="A438">
        <v>4656</v>
      </c>
      <c r="B438" t="str">
        <f>"20200131122017163568"</f>
        <v>20200131122017163568</v>
      </c>
      <c r="C438">
        <v>1</v>
      </c>
      <c r="D438">
        <v>1</v>
      </c>
      <c r="E438" t="s">
        <v>3886</v>
      </c>
      <c r="F438">
        <v>2</v>
      </c>
      <c r="G438">
        <v>0</v>
      </c>
      <c r="H438" t="s">
        <v>66</v>
      </c>
      <c r="I438">
        <v>0</v>
      </c>
      <c r="J438" t="s">
        <v>66</v>
      </c>
      <c r="K438">
        <v>1</v>
      </c>
      <c r="L438" t="s">
        <v>1627</v>
      </c>
      <c r="M438" t="s">
        <v>4181</v>
      </c>
      <c r="N438">
        <v>1</v>
      </c>
      <c r="O438" t="s">
        <v>1627</v>
      </c>
      <c r="P438" t="s">
        <v>5158</v>
      </c>
      <c r="Q438">
        <v>0</v>
      </c>
      <c r="R438" t="s">
        <v>66</v>
      </c>
      <c r="S438" t="s">
        <v>56</v>
      </c>
      <c r="T438" t="s">
        <v>56</v>
      </c>
      <c r="U438" t="s">
        <v>56</v>
      </c>
      <c r="V438" t="s">
        <v>56</v>
      </c>
      <c r="W438">
        <v>0</v>
      </c>
      <c r="X438" t="s">
        <v>66</v>
      </c>
      <c r="Y438" t="s">
        <v>56</v>
      </c>
      <c r="Z438">
        <v>0</v>
      </c>
      <c r="AA438" t="s">
        <v>66</v>
      </c>
      <c r="AB438" t="s">
        <v>56</v>
      </c>
      <c r="AC438">
        <v>0</v>
      </c>
      <c r="AD438" t="s">
        <v>66</v>
      </c>
      <c r="AE438" t="s">
        <v>56</v>
      </c>
      <c r="AF438">
        <v>0</v>
      </c>
      <c r="AG438" t="s">
        <v>66</v>
      </c>
      <c r="AH438" t="s">
        <v>56</v>
      </c>
      <c r="AI438">
        <v>1</v>
      </c>
      <c r="AJ438" t="s">
        <v>1627</v>
      </c>
      <c r="AK438" t="s">
        <v>56</v>
      </c>
      <c r="AL438" t="s">
        <v>56</v>
      </c>
      <c r="AM438" t="s">
        <v>56</v>
      </c>
      <c r="AN438" t="s">
        <v>56</v>
      </c>
      <c r="AO438" t="s">
        <v>5159</v>
      </c>
      <c r="AP438" t="s">
        <v>3962</v>
      </c>
      <c r="AQ438" t="s">
        <v>3963</v>
      </c>
      <c r="AR438" t="s">
        <v>3941</v>
      </c>
      <c r="AS438" t="s">
        <v>3942</v>
      </c>
      <c r="AT438" t="s">
        <v>5158</v>
      </c>
      <c r="AU438" t="s">
        <v>3944</v>
      </c>
      <c r="AV438" t="s">
        <v>3945</v>
      </c>
      <c r="AW438" t="s">
        <v>3946</v>
      </c>
      <c r="AX438">
        <v>8</v>
      </c>
      <c r="AY438">
        <v>2</v>
      </c>
      <c r="AZ438" t="s">
        <v>3897</v>
      </c>
      <c r="BA438">
        <v>10</v>
      </c>
      <c r="BB438" t="s">
        <v>3898</v>
      </c>
      <c r="BC438">
        <v>60</v>
      </c>
      <c r="BD438">
        <v>3</v>
      </c>
      <c r="BE438" t="s">
        <v>3911</v>
      </c>
      <c r="BF438">
        <v>360</v>
      </c>
      <c r="BG438">
        <v>66</v>
      </c>
      <c r="BH438" t="s">
        <v>3965</v>
      </c>
      <c r="BI438" t="s">
        <v>5160</v>
      </c>
      <c r="BJ438">
        <v>1</v>
      </c>
      <c r="BK438" t="s">
        <v>3902</v>
      </c>
    </row>
    <row r="439" spans="1:63" x14ac:dyDescent="0.25">
      <c r="A439">
        <v>4657</v>
      </c>
      <c r="B439" t="str">
        <f>"20200131122017163568"</f>
        <v>20200131122017163568</v>
      </c>
      <c r="C439">
        <v>2</v>
      </c>
      <c r="D439">
        <v>1</v>
      </c>
      <c r="E439" t="s">
        <v>3886</v>
      </c>
      <c r="F439">
        <v>2</v>
      </c>
      <c r="G439">
        <v>0</v>
      </c>
      <c r="H439" t="s">
        <v>66</v>
      </c>
      <c r="I439">
        <v>0</v>
      </c>
      <c r="J439" t="s">
        <v>66</v>
      </c>
      <c r="K439">
        <v>1</v>
      </c>
      <c r="L439" t="s">
        <v>1627</v>
      </c>
      <c r="M439" t="s">
        <v>4181</v>
      </c>
      <c r="N439">
        <v>1</v>
      </c>
      <c r="O439" t="s">
        <v>1627</v>
      </c>
      <c r="P439" t="s">
        <v>5158</v>
      </c>
      <c r="Q439">
        <v>0</v>
      </c>
      <c r="R439" t="s">
        <v>66</v>
      </c>
      <c r="S439" t="s">
        <v>56</v>
      </c>
      <c r="T439" t="s">
        <v>56</v>
      </c>
      <c r="U439" t="s">
        <v>56</v>
      </c>
      <c r="V439" t="s">
        <v>56</v>
      </c>
      <c r="W439">
        <v>0</v>
      </c>
      <c r="X439" t="s">
        <v>66</v>
      </c>
      <c r="Y439" t="s">
        <v>56</v>
      </c>
      <c r="Z439">
        <v>0</v>
      </c>
      <c r="AA439" t="s">
        <v>66</v>
      </c>
      <c r="AB439" t="s">
        <v>56</v>
      </c>
      <c r="AC439">
        <v>0</v>
      </c>
      <c r="AD439" t="s">
        <v>66</v>
      </c>
      <c r="AE439" t="s">
        <v>56</v>
      </c>
      <c r="AF439">
        <v>0</v>
      </c>
      <c r="AG439" t="s">
        <v>66</v>
      </c>
      <c r="AH439" t="s">
        <v>56</v>
      </c>
      <c r="AI439">
        <v>1</v>
      </c>
      <c r="AJ439" t="s">
        <v>1627</v>
      </c>
      <c r="AK439">
        <v>1</v>
      </c>
      <c r="AL439" t="s">
        <v>1627</v>
      </c>
      <c r="AM439" t="s">
        <v>56</v>
      </c>
      <c r="AN439" t="s">
        <v>56</v>
      </c>
      <c r="AO439" t="s">
        <v>5161</v>
      </c>
      <c r="AP439" t="s">
        <v>3939</v>
      </c>
      <c r="AQ439" t="s">
        <v>3940</v>
      </c>
      <c r="AR439" t="s">
        <v>3941</v>
      </c>
      <c r="AS439" t="s">
        <v>3942</v>
      </c>
      <c r="AT439" t="s">
        <v>5158</v>
      </c>
      <c r="AU439" t="s">
        <v>3944</v>
      </c>
      <c r="AV439" t="s">
        <v>3945</v>
      </c>
      <c r="AW439" t="s">
        <v>3946</v>
      </c>
      <c r="AX439">
        <v>24</v>
      </c>
      <c r="AY439">
        <v>2</v>
      </c>
      <c r="AZ439" t="s">
        <v>3897</v>
      </c>
      <c r="BA439">
        <v>10</v>
      </c>
      <c r="BB439" t="s">
        <v>3898</v>
      </c>
      <c r="BC439">
        <v>60</v>
      </c>
      <c r="BD439">
        <v>3</v>
      </c>
      <c r="BE439" t="s">
        <v>3911</v>
      </c>
      <c r="BF439">
        <v>60</v>
      </c>
      <c r="BG439">
        <v>66</v>
      </c>
      <c r="BH439" t="s">
        <v>3965</v>
      </c>
      <c r="BI439" t="s">
        <v>5162</v>
      </c>
      <c r="BJ439">
        <v>2</v>
      </c>
      <c r="BK439" t="s">
        <v>4776</v>
      </c>
    </row>
    <row r="440" spans="1:63" x14ac:dyDescent="0.25">
      <c r="A440">
        <v>4658</v>
      </c>
      <c r="B440" t="str">
        <f>"20200131122017163568"</f>
        <v>20200131122017163568</v>
      </c>
      <c r="C440">
        <v>3</v>
      </c>
      <c r="D440">
        <v>1</v>
      </c>
      <c r="E440" t="s">
        <v>3886</v>
      </c>
      <c r="F440">
        <v>2</v>
      </c>
      <c r="G440">
        <v>0</v>
      </c>
      <c r="H440" t="s">
        <v>66</v>
      </c>
      <c r="I440">
        <v>0</v>
      </c>
      <c r="J440" t="s">
        <v>66</v>
      </c>
      <c r="K440">
        <v>1</v>
      </c>
      <c r="L440" t="s">
        <v>1627</v>
      </c>
      <c r="M440" t="s">
        <v>4181</v>
      </c>
      <c r="N440">
        <v>1</v>
      </c>
      <c r="O440" t="s">
        <v>1627</v>
      </c>
      <c r="P440" t="s">
        <v>5158</v>
      </c>
      <c r="Q440">
        <v>0</v>
      </c>
      <c r="R440" t="s">
        <v>66</v>
      </c>
      <c r="S440" t="s">
        <v>56</v>
      </c>
      <c r="T440" t="s">
        <v>56</v>
      </c>
      <c r="U440" t="s">
        <v>56</v>
      </c>
      <c r="V440" t="s">
        <v>56</v>
      </c>
      <c r="W440">
        <v>0</v>
      </c>
      <c r="X440" t="s">
        <v>66</v>
      </c>
      <c r="Y440" t="s">
        <v>56</v>
      </c>
      <c r="Z440">
        <v>0</v>
      </c>
      <c r="AA440" t="s">
        <v>66</v>
      </c>
      <c r="AB440" t="s">
        <v>56</v>
      </c>
      <c r="AC440">
        <v>0</v>
      </c>
      <c r="AD440" t="s">
        <v>66</v>
      </c>
      <c r="AE440" t="s">
        <v>56</v>
      </c>
      <c r="AF440">
        <v>0</v>
      </c>
      <c r="AG440" t="s">
        <v>66</v>
      </c>
      <c r="AH440" t="s">
        <v>56</v>
      </c>
      <c r="AI440">
        <v>1</v>
      </c>
      <c r="AJ440" t="s">
        <v>1627</v>
      </c>
      <c r="AK440">
        <v>1</v>
      </c>
      <c r="AL440" t="s">
        <v>1627</v>
      </c>
      <c r="AM440" t="s">
        <v>56</v>
      </c>
      <c r="AN440" t="s">
        <v>56</v>
      </c>
      <c r="AO440" t="s">
        <v>5163</v>
      </c>
      <c r="AP440" t="s">
        <v>3939</v>
      </c>
      <c r="AQ440" t="s">
        <v>3940</v>
      </c>
      <c r="AR440" t="s">
        <v>3941</v>
      </c>
      <c r="AS440" t="s">
        <v>3942</v>
      </c>
      <c r="AT440" t="s">
        <v>5158</v>
      </c>
      <c r="AU440" t="s">
        <v>3944</v>
      </c>
      <c r="AV440" t="s">
        <v>3945</v>
      </c>
      <c r="AW440" t="s">
        <v>3946</v>
      </c>
      <c r="AX440">
        <v>24</v>
      </c>
      <c r="AY440">
        <v>2</v>
      </c>
      <c r="AZ440" t="s">
        <v>3897</v>
      </c>
      <c r="BA440">
        <v>10</v>
      </c>
      <c r="BB440" t="s">
        <v>3898</v>
      </c>
      <c r="BC440">
        <v>60</v>
      </c>
      <c r="BD440">
        <v>3</v>
      </c>
      <c r="BE440" t="s">
        <v>3911</v>
      </c>
      <c r="BF440">
        <v>60</v>
      </c>
      <c r="BG440">
        <v>66</v>
      </c>
      <c r="BH440" t="s">
        <v>3965</v>
      </c>
      <c r="BI440" t="s">
        <v>5162</v>
      </c>
      <c r="BJ440">
        <v>2</v>
      </c>
      <c r="BK440" t="s">
        <v>4776</v>
      </c>
    </row>
    <row r="441" spans="1:63" x14ac:dyDescent="0.25">
      <c r="A441">
        <v>4659</v>
      </c>
      <c r="B441" t="str">
        <f>"20200131124017163625"</f>
        <v>20200131124017163625</v>
      </c>
      <c r="C441">
        <v>1</v>
      </c>
      <c r="D441">
        <v>1</v>
      </c>
      <c r="E441" t="s">
        <v>3886</v>
      </c>
      <c r="F441">
        <v>1</v>
      </c>
      <c r="G441">
        <v>0</v>
      </c>
      <c r="H441" t="s">
        <v>66</v>
      </c>
      <c r="I441">
        <v>0</v>
      </c>
      <c r="J441" t="s">
        <v>66</v>
      </c>
      <c r="K441">
        <v>0</v>
      </c>
      <c r="L441" t="s">
        <v>66</v>
      </c>
      <c r="M441" t="s">
        <v>56</v>
      </c>
      <c r="N441">
        <v>0</v>
      </c>
      <c r="O441" t="s">
        <v>66</v>
      </c>
      <c r="P441" t="s">
        <v>56</v>
      </c>
      <c r="Q441">
        <v>0</v>
      </c>
      <c r="R441" t="s">
        <v>66</v>
      </c>
      <c r="S441" t="s">
        <v>56</v>
      </c>
      <c r="T441">
        <v>1</v>
      </c>
      <c r="U441" t="s">
        <v>1627</v>
      </c>
      <c r="V441" t="s">
        <v>56</v>
      </c>
      <c r="W441">
        <v>0</v>
      </c>
      <c r="X441" t="s">
        <v>66</v>
      </c>
      <c r="Y441" t="s">
        <v>56</v>
      </c>
      <c r="Z441">
        <v>0</v>
      </c>
      <c r="AA441" t="s">
        <v>66</v>
      </c>
      <c r="AB441" t="s">
        <v>56</v>
      </c>
      <c r="AC441">
        <v>1</v>
      </c>
      <c r="AD441" t="s">
        <v>1627</v>
      </c>
      <c r="AE441" t="s">
        <v>3887</v>
      </c>
      <c r="AF441">
        <v>0</v>
      </c>
      <c r="AG441" t="s">
        <v>66</v>
      </c>
      <c r="AH441" t="s">
        <v>56</v>
      </c>
      <c r="AI441">
        <v>1</v>
      </c>
      <c r="AJ441" t="s">
        <v>1627</v>
      </c>
      <c r="AK441" t="s">
        <v>56</v>
      </c>
      <c r="AL441" t="s">
        <v>56</v>
      </c>
      <c r="AM441" t="s">
        <v>56</v>
      </c>
      <c r="AN441" t="s">
        <v>56</v>
      </c>
      <c r="AO441" t="s">
        <v>5164</v>
      </c>
      <c r="AP441" t="s">
        <v>3889</v>
      </c>
      <c r="AQ441" t="s">
        <v>3890</v>
      </c>
      <c r="AR441" t="s">
        <v>3926</v>
      </c>
      <c r="AS441" t="s">
        <v>3927</v>
      </c>
      <c r="AT441" t="s">
        <v>4794</v>
      </c>
      <c r="AU441" t="s">
        <v>3894</v>
      </c>
      <c r="AV441" t="s">
        <v>3895</v>
      </c>
      <c r="AW441" t="s">
        <v>3896</v>
      </c>
      <c r="AX441">
        <v>6</v>
      </c>
      <c r="AY441">
        <v>2</v>
      </c>
      <c r="AZ441" t="s">
        <v>3897</v>
      </c>
      <c r="BA441">
        <v>10</v>
      </c>
      <c r="BB441" t="s">
        <v>3898</v>
      </c>
      <c r="BC441">
        <v>3</v>
      </c>
      <c r="BD441">
        <v>5</v>
      </c>
      <c r="BE441" t="s">
        <v>3899</v>
      </c>
      <c r="BF441">
        <v>3</v>
      </c>
      <c r="BG441">
        <v>13</v>
      </c>
      <c r="BH441" t="s">
        <v>3900</v>
      </c>
      <c r="BI441" t="s">
        <v>4700</v>
      </c>
      <c r="BJ441">
        <v>1</v>
      </c>
      <c r="BK441" t="s">
        <v>3902</v>
      </c>
    </row>
    <row r="442" spans="1:63" x14ac:dyDescent="0.25">
      <c r="A442">
        <v>4660</v>
      </c>
      <c r="B442" t="str">
        <f>"20200131190017163646"</f>
        <v>20200131190017163646</v>
      </c>
      <c r="C442">
        <v>1</v>
      </c>
      <c r="D442">
        <v>1</v>
      </c>
      <c r="E442" t="s">
        <v>3886</v>
      </c>
      <c r="F442">
        <v>2</v>
      </c>
      <c r="G442">
        <v>0</v>
      </c>
      <c r="H442" t="s">
        <v>66</v>
      </c>
      <c r="I442">
        <v>0</v>
      </c>
      <c r="J442" t="s">
        <v>66</v>
      </c>
      <c r="K442">
        <v>0</v>
      </c>
      <c r="L442" t="s">
        <v>66</v>
      </c>
      <c r="M442" t="s">
        <v>56</v>
      </c>
      <c r="N442">
        <v>0</v>
      </c>
      <c r="O442" t="s">
        <v>66</v>
      </c>
      <c r="P442" t="s">
        <v>56</v>
      </c>
      <c r="Q442">
        <v>0</v>
      </c>
      <c r="R442" t="s">
        <v>66</v>
      </c>
      <c r="S442" t="s">
        <v>56</v>
      </c>
      <c r="T442">
        <v>1</v>
      </c>
      <c r="U442" t="s">
        <v>1627</v>
      </c>
      <c r="V442" t="s">
        <v>56</v>
      </c>
      <c r="W442">
        <v>0</v>
      </c>
      <c r="X442" t="s">
        <v>66</v>
      </c>
      <c r="Y442" t="s">
        <v>56</v>
      </c>
      <c r="Z442">
        <v>0</v>
      </c>
      <c r="AA442" t="s">
        <v>66</v>
      </c>
      <c r="AB442" t="s">
        <v>56</v>
      </c>
      <c r="AC442">
        <v>1</v>
      </c>
      <c r="AD442" t="s">
        <v>1627</v>
      </c>
      <c r="AE442" t="s">
        <v>3887</v>
      </c>
      <c r="AF442">
        <v>0</v>
      </c>
      <c r="AG442" t="s">
        <v>66</v>
      </c>
      <c r="AH442" t="s">
        <v>56</v>
      </c>
      <c r="AI442">
        <v>1</v>
      </c>
      <c r="AJ442" t="s">
        <v>1627</v>
      </c>
      <c r="AK442" t="s">
        <v>56</v>
      </c>
      <c r="AL442" t="s">
        <v>56</v>
      </c>
      <c r="AM442" t="s">
        <v>56</v>
      </c>
      <c r="AN442" t="s">
        <v>56</v>
      </c>
      <c r="AO442" t="s">
        <v>3949</v>
      </c>
      <c r="AP442" t="s">
        <v>3889</v>
      </c>
      <c r="AQ442" t="s">
        <v>3890</v>
      </c>
      <c r="AR442" t="s">
        <v>3891</v>
      </c>
      <c r="AS442" t="s">
        <v>3892</v>
      </c>
      <c r="AT442" t="s">
        <v>5165</v>
      </c>
      <c r="AU442" t="s">
        <v>3894</v>
      </c>
      <c r="AV442" t="s">
        <v>3895</v>
      </c>
      <c r="AW442" t="s">
        <v>3896</v>
      </c>
      <c r="AX442">
        <v>6</v>
      </c>
      <c r="AY442">
        <v>2</v>
      </c>
      <c r="AZ442" t="s">
        <v>3897</v>
      </c>
      <c r="BA442">
        <v>10</v>
      </c>
      <c r="BB442" t="s">
        <v>3898</v>
      </c>
      <c r="BC442">
        <v>3</v>
      </c>
      <c r="BD442">
        <v>5</v>
      </c>
      <c r="BE442" t="s">
        <v>3899</v>
      </c>
      <c r="BF442">
        <v>3</v>
      </c>
      <c r="BG442">
        <v>13</v>
      </c>
      <c r="BH442" t="s">
        <v>3900</v>
      </c>
      <c r="BI442" t="s">
        <v>4668</v>
      </c>
      <c r="BJ442">
        <v>1</v>
      </c>
      <c r="BK442" t="s">
        <v>3902</v>
      </c>
    </row>
    <row r="443" spans="1:63" x14ac:dyDescent="0.25">
      <c r="A443">
        <v>4661</v>
      </c>
      <c r="B443" t="str">
        <f>"20200131121017163746"</f>
        <v>20200131121017163746</v>
      </c>
      <c r="C443">
        <v>1</v>
      </c>
      <c r="D443">
        <v>1</v>
      </c>
      <c r="E443" t="s">
        <v>3886</v>
      </c>
      <c r="F443">
        <v>2</v>
      </c>
      <c r="G443">
        <v>0</v>
      </c>
      <c r="H443" t="s">
        <v>66</v>
      </c>
      <c r="I443">
        <v>0</v>
      </c>
      <c r="J443" t="s">
        <v>66</v>
      </c>
      <c r="K443">
        <v>1</v>
      </c>
      <c r="L443" t="s">
        <v>1627</v>
      </c>
      <c r="M443" t="s">
        <v>3976</v>
      </c>
      <c r="N443">
        <v>1</v>
      </c>
      <c r="O443" t="s">
        <v>1627</v>
      </c>
      <c r="P443" t="s">
        <v>5166</v>
      </c>
      <c r="Q443">
        <v>0</v>
      </c>
      <c r="R443" t="s">
        <v>66</v>
      </c>
      <c r="S443" t="s">
        <v>56</v>
      </c>
      <c r="T443" t="s">
        <v>56</v>
      </c>
      <c r="U443" t="s">
        <v>56</v>
      </c>
      <c r="V443" t="s">
        <v>56</v>
      </c>
      <c r="W443">
        <v>0</v>
      </c>
      <c r="X443" t="s">
        <v>66</v>
      </c>
      <c r="Y443" t="s">
        <v>56</v>
      </c>
      <c r="Z443">
        <v>0</v>
      </c>
      <c r="AA443" t="s">
        <v>66</v>
      </c>
      <c r="AB443" t="s">
        <v>56</v>
      </c>
      <c r="AC443">
        <v>0</v>
      </c>
      <c r="AD443" t="s">
        <v>66</v>
      </c>
      <c r="AE443" t="s">
        <v>56</v>
      </c>
      <c r="AF443">
        <v>0</v>
      </c>
      <c r="AG443" t="s">
        <v>66</v>
      </c>
      <c r="AH443" t="s">
        <v>56</v>
      </c>
      <c r="AI443">
        <v>1</v>
      </c>
      <c r="AJ443" t="s">
        <v>1627</v>
      </c>
      <c r="AK443" t="s">
        <v>56</v>
      </c>
      <c r="AL443" t="s">
        <v>56</v>
      </c>
      <c r="AM443" t="s">
        <v>56</v>
      </c>
      <c r="AN443" t="s">
        <v>56</v>
      </c>
      <c r="AO443" t="s">
        <v>4937</v>
      </c>
      <c r="AP443" t="s">
        <v>3962</v>
      </c>
      <c r="AQ443" t="s">
        <v>3963</v>
      </c>
      <c r="AR443" t="s">
        <v>3941</v>
      </c>
      <c r="AS443" t="s">
        <v>3942</v>
      </c>
      <c r="AT443" t="s">
        <v>5167</v>
      </c>
      <c r="AU443" t="s">
        <v>4026</v>
      </c>
      <c r="AV443" t="s">
        <v>4027</v>
      </c>
      <c r="AW443" t="s">
        <v>4028</v>
      </c>
      <c r="AX443">
        <v>12</v>
      </c>
      <c r="AY443">
        <v>2</v>
      </c>
      <c r="AZ443" t="s">
        <v>3897</v>
      </c>
      <c r="BA443">
        <v>10</v>
      </c>
      <c r="BB443" t="s">
        <v>3898</v>
      </c>
      <c r="BC443">
        <v>3</v>
      </c>
      <c r="BD443">
        <v>5</v>
      </c>
      <c r="BE443" t="s">
        <v>3899</v>
      </c>
      <c r="BF443">
        <v>180</v>
      </c>
      <c r="BG443">
        <v>66</v>
      </c>
      <c r="BH443" t="s">
        <v>3965</v>
      </c>
      <c r="BI443" t="s">
        <v>5168</v>
      </c>
      <c r="BJ443">
        <v>1</v>
      </c>
      <c r="BK443" t="s">
        <v>3902</v>
      </c>
    </row>
    <row r="444" spans="1:63" x14ac:dyDescent="0.25">
      <c r="A444">
        <v>4662</v>
      </c>
      <c r="B444" t="str">
        <f>"20200131114017163754"</f>
        <v>20200131114017163754</v>
      </c>
      <c r="C444">
        <v>1</v>
      </c>
      <c r="D444">
        <v>1</v>
      </c>
      <c r="E444" t="s">
        <v>3886</v>
      </c>
      <c r="F444">
        <v>2</v>
      </c>
      <c r="G444">
        <v>0</v>
      </c>
      <c r="H444" t="s">
        <v>66</v>
      </c>
      <c r="I444">
        <v>0</v>
      </c>
      <c r="J444" t="s">
        <v>66</v>
      </c>
      <c r="K444">
        <v>0</v>
      </c>
      <c r="L444" t="s">
        <v>66</v>
      </c>
      <c r="M444" t="s">
        <v>56</v>
      </c>
      <c r="N444">
        <v>0</v>
      </c>
      <c r="O444" t="s">
        <v>66</v>
      </c>
      <c r="P444" t="s">
        <v>56</v>
      </c>
      <c r="Q444">
        <v>0</v>
      </c>
      <c r="R444" t="s">
        <v>66</v>
      </c>
      <c r="S444" t="s">
        <v>56</v>
      </c>
      <c r="T444">
        <v>1</v>
      </c>
      <c r="U444" t="s">
        <v>1627</v>
      </c>
      <c r="V444" t="s">
        <v>56</v>
      </c>
      <c r="W444">
        <v>0</v>
      </c>
      <c r="X444" t="s">
        <v>66</v>
      </c>
      <c r="Y444" t="s">
        <v>56</v>
      </c>
      <c r="Z444">
        <v>0</v>
      </c>
      <c r="AA444" t="s">
        <v>66</v>
      </c>
      <c r="AB444" t="s">
        <v>56</v>
      </c>
      <c r="AC444">
        <v>1</v>
      </c>
      <c r="AD444" t="s">
        <v>1627</v>
      </c>
      <c r="AE444" t="s">
        <v>3887</v>
      </c>
      <c r="AF444">
        <v>0</v>
      </c>
      <c r="AG444" t="s">
        <v>66</v>
      </c>
      <c r="AH444" t="s">
        <v>56</v>
      </c>
      <c r="AI444">
        <v>1</v>
      </c>
      <c r="AJ444" t="s">
        <v>1627</v>
      </c>
      <c r="AK444" t="s">
        <v>56</v>
      </c>
      <c r="AL444" t="s">
        <v>56</v>
      </c>
      <c r="AM444" t="s">
        <v>56</v>
      </c>
      <c r="AN444" t="s">
        <v>56</v>
      </c>
      <c r="AO444" t="s">
        <v>4355</v>
      </c>
      <c r="AP444" t="s">
        <v>3918</v>
      </c>
      <c r="AQ444" t="s">
        <v>3919</v>
      </c>
      <c r="AR444" t="s">
        <v>3920</v>
      </c>
      <c r="AS444" t="s">
        <v>3921</v>
      </c>
      <c r="AT444" t="s">
        <v>5169</v>
      </c>
      <c r="AU444">
        <v>9000</v>
      </c>
      <c r="AV444" t="s">
        <v>3956</v>
      </c>
      <c r="AW444" t="s">
        <v>3956</v>
      </c>
      <c r="AX444">
        <v>12</v>
      </c>
      <c r="AY444">
        <v>2</v>
      </c>
      <c r="AZ444" t="s">
        <v>3897</v>
      </c>
      <c r="BA444">
        <v>10</v>
      </c>
      <c r="BB444" t="s">
        <v>3898</v>
      </c>
      <c r="BC444">
        <v>6</v>
      </c>
      <c r="BD444">
        <v>5</v>
      </c>
      <c r="BE444" t="s">
        <v>3899</v>
      </c>
      <c r="BF444">
        <v>6</v>
      </c>
      <c r="BG444">
        <v>37</v>
      </c>
      <c r="BH444" t="s">
        <v>4007</v>
      </c>
      <c r="BI444" t="s">
        <v>4827</v>
      </c>
      <c r="BJ444">
        <v>1</v>
      </c>
      <c r="BK444" t="s">
        <v>3902</v>
      </c>
    </row>
    <row r="445" spans="1:63" x14ac:dyDescent="0.25">
      <c r="A445">
        <v>4663</v>
      </c>
      <c r="B445" t="str">
        <f>"20200131114017163754"</f>
        <v>20200131114017163754</v>
      </c>
      <c r="C445">
        <v>2</v>
      </c>
      <c r="D445">
        <v>1</v>
      </c>
      <c r="E445" t="s">
        <v>3886</v>
      </c>
      <c r="F445">
        <v>2</v>
      </c>
      <c r="G445">
        <v>0</v>
      </c>
      <c r="H445" t="s">
        <v>66</v>
      </c>
      <c r="I445">
        <v>0</v>
      </c>
      <c r="J445" t="s">
        <v>66</v>
      </c>
      <c r="K445">
        <v>0</v>
      </c>
      <c r="L445" t="s">
        <v>66</v>
      </c>
      <c r="M445" t="s">
        <v>56</v>
      </c>
      <c r="N445">
        <v>0</v>
      </c>
      <c r="O445" t="s">
        <v>66</v>
      </c>
      <c r="P445" t="s">
        <v>56</v>
      </c>
      <c r="Q445">
        <v>0</v>
      </c>
      <c r="R445" t="s">
        <v>66</v>
      </c>
      <c r="S445" t="s">
        <v>56</v>
      </c>
      <c r="T445">
        <v>1</v>
      </c>
      <c r="U445" t="s">
        <v>1627</v>
      </c>
      <c r="V445" t="s">
        <v>56</v>
      </c>
      <c r="W445">
        <v>0</v>
      </c>
      <c r="X445" t="s">
        <v>66</v>
      </c>
      <c r="Y445" t="s">
        <v>56</v>
      </c>
      <c r="Z445">
        <v>0</v>
      </c>
      <c r="AA445" t="s">
        <v>66</v>
      </c>
      <c r="AB445" t="s">
        <v>56</v>
      </c>
      <c r="AC445">
        <v>1</v>
      </c>
      <c r="AD445" t="s">
        <v>1627</v>
      </c>
      <c r="AE445" t="s">
        <v>3887</v>
      </c>
      <c r="AF445">
        <v>0</v>
      </c>
      <c r="AG445" t="s">
        <v>66</v>
      </c>
      <c r="AH445" t="s">
        <v>56</v>
      </c>
      <c r="AI445">
        <v>1</v>
      </c>
      <c r="AJ445" t="s">
        <v>1627</v>
      </c>
      <c r="AK445" t="s">
        <v>56</v>
      </c>
      <c r="AL445" t="s">
        <v>56</v>
      </c>
      <c r="AM445" t="s">
        <v>56</v>
      </c>
      <c r="AN445" t="s">
        <v>56</v>
      </c>
      <c r="AO445" t="s">
        <v>4349</v>
      </c>
      <c r="AP445" t="s">
        <v>3962</v>
      </c>
      <c r="AQ445" t="s">
        <v>3963</v>
      </c>
      <c r="AR445" t="s">
        <v>3941</v>
      </c>
      <c r="AS445" t="s">
        <v>3942</v>
      </c>
      <c r="AT445" t="s">
        <v>5170</v>
      </c>
      <c r="AU445">
        <v>9000</v>
      </c>
      <c r="AV445" t="s">
        <v>3956</v>
      </c>
      <c r="AW445" t="s">
        <v>3956</v>
      </c>
      <c r="AX445">
        <v>24</v>
      </c>
      <c r="AY445">
        <v>2</v>
      </c>
      <c r="AZ445" t="s">
        <v>3897</v>
      </c>
      <c r="BA445">
        <v>10</v>
      </c>
      <c r="BB445" t="s">
        <v>3898</v>
      </c>
      <c r="BC445">
        <v>6</v>
      </c>
      <c r="BD445">
        <v>5</v>
      </c>
      <c r="BE445" t="s">
        <v>3899</v>
      </c>
      <c r="BF445">
        <v>180</v>
      </c>
      <c r="BG445">
        <v>66</v>
      </c>
      <c r="BH445" t="s">
        <v>3965</v>
      </c>
      <c r="BI445" t="s">
        <v>5171</v>
      </c>
      <c r="BJ445">
        <v>1</v>
      </c>
      <c r="BK445" t="s">
        <v>3902</v>
      </c>
    </row>
    <row r="446" spans="1:63" x14ac:dyDescent="0.25">
      <c r="A446">
        <v>4664</v>
      </c>
      <c r="B446" t="str">
        <f>"20200131114017163754"</f>
        <v>20200131114017163754</v>
      </c>
      <c r="C446">
        <v>3</v>
      </c>
      <c r="D446">
        <v>1</v>
      </c>
      <c r="E446" t="s">
        <v>3886</v>
      </c>
      <c r="F446">
        <v>2</v>
      </c>
      <c r="G446">
        <v>0</v>
      </c>
      <c r="H446" t="s">
        <v>66</v>
      </c>
      <c r="I446">
        <v>0</v>
      </c>
      <c r="J446" t="s">
        <v>66</v>
      </c>
      <c r="K446">
        <v>0</v>
      </c>
      <c r="L446" t="s">
        <v>66</v>
      </c>
      <c r="M446" t="s">
        <v>56</v>
      </c>
      <c r="N446">
        <v>0</v>
      </c>
      <c r="O446" t="s">
        <v>66</v>
      </c>
      <c r="P446" t="s">
        <v>56</v>
      </c>
      <c r="Q446">
        <v>0</v>
      </c>
      <c r="R446" t="s">
        <v>66</v>
      </c>
      <c r="S446" t="s">
        <v>56</v>
      </c>
      <c r="T446">
        <v>1</v>
      </c>
      <c r="U446" t="s">
        <v>1627</v>
      </c>
      <c r="V446" t="s">
        <v>56</v>
      </c>
      <c r="W446">
        <v>0</v>
      </c>
      <c r="X446" t="s">
        <v>66</v>
      </c>
      <c r="Y446" t="s">
        <v>56</v>
      </c>
      <c r="Z446">
        <v>0</v>
      </c>
      <c r="AA446" t="s">
        <v>66</v>
      </c>
      <c r="AB446" t="s">
        <v>56</v>
      </c>
      <c r="AC446">
        <v>1</v>
      </c>
      <c r="AD446" t="s">
        <v>1627</v>
      </c>
      <c r="AE446" t="s">
        <v>3887</v>
      </c>
      <c r="AF446">
        <v>0</v>
      </c>
      <c r="AG446" t="s">
        <v>66</v>
      </c>
      <c r="AH446" t="s">
        <v>56</v>
      </c>
      <c r="AI446">
        <v>1</v>
      </c>
      <c r="AJ446" t="s">
        <v>1627</v>
      </c>
      <c r="AK446" t="s">
        <v>56</v>
      </c>
      <c r="AL446" t="s">
        <v>56</v>
      </c>
      <c r="AM446" t="s">
        <v>56</v>
      </c>
      <c r="AN446" t="s">
        <v>56</v>
      </c>
      <c r="AO446" t="s">
        <v>4860</v>
      </c>
      <c r="AP446" t="s">
        <v>3934</v>
      </c>
      <c r="AQ446" t="s">
        <v>3935</v>
      </c>
      <c r="AR446">
        <v>502</v>
      </c>
      <c r="AS446" t="s">
        <v>4688</v>
      </c>
      <c r="AT446" t="s">
        <v>5170</v>
      </c>
      <c r="AU446">
        <v>9000</v>
      </c>
      <c r="AV446" t="s">
        <v>3956</v>
      </c>
      <c r="AW446" t="s">
        <v>3956</v>
      </c>
      <c r="AX446">
        <v>24</v>
      </c>
      <c r="AY446">
        <v>2</v>
      </c>
      <c r="AZ446" t="s">
        <v>3897</v>
      </c>
      <c r="BA446">
        <v>10</v>
      </c>
      <c r="BB446" t="s">
        <v>3898</v>
      </c>
      <c r="BC446">
        <v>6</v>
      </c>
      <c r="BD446">
        <v>5</v>
      </c>
      <c r="BE446" t="s">
        <v>3899</v>
      </c>
      <c r="BF446">
        <v>6</v>
      </c>
      <c r="BG446">
        <v>37</v>
      </c>
      <c r="BH446" t="s">
        <v>4007</v>
      </c>
      <c r="BI446" t="s">
        <v>5172</v>
      </c>
      <c r="BJ446">
        <v>1</v>
      </c>
      <c r="BK446" t="s">
        <v>3902</v>
      </c>
    </row>
    <row r="447" spans="1:63" x14ac:dyDescent="0.25">
      <c r="A447">
        <v>4665</v>
      </c>
      <c r="B447" t="str">
        <f>"20200131157017163919"</f>
        <v>20200131157017163919</v>
      </c>
      <c r="C447">
        <v>1</v>
      </c>
      <c r="D447">
        <v>1</v>
      </c>
      <c r="E447" t="s">
        <v>3886</v>
      </c>
      <c r="F447">
        <v>2</v>
      </c>
      <c r="G447">
        <v>0</v>
      </c>
      <c r="H447" t="s">
        <v>66</v>
      </c>
      <c r="I447">
        <v>0</v>
      </c>
      <c r="J447" t="s">
        <v>66</v>
      </c>
      <c r="K447">
        <v>1</v>
      </c>
      <c r="L447" t="s">
        <v>1627</v>
      </c>
      <c r="M447" t="s">
        <v>4223</v>
      </c>
      <c r="N447">
        <v>1</v>
      </c>
      <c r="O447" t="s">
        <v>1627</v>
      </c>
      <c r="P447" t="s">
        <v>5173</v>
      </c>
      <c r="Q447">
        <v>0</v>
      </c>
      <c r="R447" t="s">
        <v>66</v>
      </c>
      <c r="S447" t="s">
        <v>56</v>
      </c>
      <c r="T447" t="s">
        <v>56</v>
      </c>
      <c r="U447" t="s">
        <v>56</v>
      </c>
      <c r="V447" t="s">
        <v>56</v>
      </c>
      <c r="W447">
        <v>0</v>
      </c>
      <c r="X447" t="s">
        <v>66</v>
      </c>
      <c r="Y447" t="s">
        <v>56</v>
      </c>
      <c r="Z447">
        <v>0</v>
      </c>
      <c r="AA447" t="s">
        <v>66</v>
      </c>
      <c r="AB447" t="s">
        <v>56</v>
      </c>
      <c r="AC447">
        <v>0</v>
      </c>
      <c r="AD447" t="s">
        <v>66</v>
      </c>
      <c r="AE447" t="s">
        <v>56</v>
      </c>
      <c r="AF447">
        <v>0</v>
      </c>
      <c r="AG447" t="s">
        <v>66</v>
      </c>
      <c r="AH447" t="s">
        <v>56</v>
      </c>
      <c r="AI447">
        <v>1</v>
      </c>
      <c r="AJ447" t="s">
        <v>1627</v>
      </c>
      <c r="AK447" t="s">
        <v>56</v>
      </c>
      <c r="AL447" t="s">
        <v>56</v>
      </c>
      <c r="AM447" t="s">
        <v>56</v>
      </c>
      <c r="AN447" t="s">
        <v>56</v>
      </c>
      <c r="AO447" t="s">
        <v>4468</v>
      </c>
      <c r="AP447" t="s">
        <v>4077</v>
      </c>
      <c r="AQ447" t="s">
        <v>4078</v>
      </c>
      <c r="AR447" t="s">
        <v>3941</v>
      </c>
      <c r="AS447" t="s">
        <v>3942</v>
      </c>
      <c r="AT447" t="s">
        <v>5174</v>
      </c>
      <c r="AU447" t="s">
        <v>3944</v>
      </c>
      <c r="AV447" t="s">
        <v>3945</v>
      </c>
      <c r="AW447" t="s">
        <v>3946</v>
      </c>
      <c r="AX447">
        <v>24</v>
      </c>
      <c r="AY447">
        <v>2</v>
      </c>
      <c r="AZ447" t="s">
        <v>3897</v>
      </c>
      <c r="BA447">
        <v>10</v>
      </c>
      <c r="BB447" t="s">
        <v>3898</v>
      </c>
      <c r="BC447">
        <v>4</v>
      </c>
      <c r="BD447">
        <v>5</v>
      </c>
      <c r="BE447" t="s">
        <v>3899</v>
      </c>
      <c r="BF447">
        <v>120</v>
      </c>
      <c r="BG447">
        <v>66</v>
      </c>
      <c r="BH447" t="s">
        <v>3965</v>
      </c>
      <c r="BI447" t="s">
        <v>5175</v>
      </c>
      <c r="BJ447">
        <v>1</v>
      </c>
      <c r="BK447" t="s">
        <v>3902</v>
      </c>
    </row>
    <row r="448" spans="1:63" x14ac:dyDescent="0.25">
      <c r="A448">
        <v>4666</v>
      </c>
      <c r="B448" t="str">
        <f>"20200131176017163921"</f>
        <v>20200131176017163921</v>
      </c>
      <c r="C448">
        <v>1</v>
      </c>
      <c r="D448">
        <v>1</v>
      </c>
      <c r="E448" t="s">
        <v>3886</v>
      </c>
      <c r="F448">
        <v>2</v>
      </c>
      <c r="G448">
        <v>0</v>
      </c>
      <c r="H448" t="s">
        <v>66</v>
      </c>
      <c r="I448">
        <v>0</v>
      </c>
      <c r="J448" t="s">
        <v>66</v>
      </c>
      <c r="K448">
        <v>1</v>
      </c>
      <c r="L448" t="s">
        <v>1627</v>
      </c>
      <c r="M448" t="s">
        <v>4771</v>
      </c>
      <c r="N448">
        <v>1</v>
      </c>
      <c r="O448" t="s">
        <v>1627</v>
      </c>
      <c r="P448" t="s">
        <v>5176</v>
      </c>
      <c r="Q448">
        <v>0</v>
      </c>
      <c r="R448" t="s">
        <v>66</v>
      </c>
      <c r="S448" t="s">
        <v>56</v>
      </c>
      <c r="T448" t="s">
        <v>56</v>
      </c>
      <c r="U448" t="s">
        <v>56</v>
      </c>
      <c r="V448" t="s">
        <v>56</v>
      </c>
      <c r="W448">
        <v>0</v>
      </c>
      <c r="X448" t="s">
        <v>66</v>
      </c>
      <c r="Y448" t="s">
        <v>56</v>
      </c>
      <c r="Z448">
        <v>0</v>
      </c>
      <c r="AA448" t="s">
        <v>66</v>
      </c>
      <c r="AB448" t="s">
        <v>56</v>
      </c>
      <c r="AC448">
        <v>0</v>
      </c>
      <c r="AD448" t="s">
        <v>66</v>
      </c>
      <c r="AE448" t="s">
        <v>56</v>
      </c>
      <c r="AF448">
        <v>0</v>
      </c>
      <c r="AG448" t="s">
        <v>66</v>
      </c>
      <c r="AH448" t="s">
        <v>56</v>
      </c>
      <c r="AI448">
        <v>1</v>
      </c>
      <c r="AJ448" t="s">
        <v>1627</v>
      </c>
      <c r="AK448" t="s">
        <v>56</v>
      </c>
      <c r="AL448" t="s">
        <v>56</v>
      </c>
      <c r="AM448" t="s">
        <v>56</v>
      </c>
      <c r="AN448" t="s">
        <v>56</v>
      </c>
      <c r="AO448" t="s">
        <v>4101</v>
      </c>
      <c r="AP448" t="s">
        <v>4077</v>
      </c>
      <c r="AQ448" t="s">
        <v>4078</v>
      </c>
      <c r="AR448" t="s">
        <v>3941</v>
      </c>
      <c r="AS448" t="s">
        <v>3942</v>
      </c>
      <c r="AT448" t="s">
        <v>5177</v>
      </c>
      <c r="AU448" t="s">
        <v>3944</v>
      </c>
      <c r="AV448" t="s">
        <v>3945</v>
      </c>
      <c r="AW448" t="s">
        <v>3946</v>
      </c>
      <c r="AX448">
        <v>24</v>
      </c>
      <c r="AY448">
        <v>2</v>
      </c>
      <c r="AZ448" t="s">
        <v>3897</v>
      </c>
      <c r="BA448">
        <v>10</v>
      </c>
      <c r="BB448" t="s">
        <v>3898</v>
      </c>
      <c r="BC448">
        <v>3</v>
      </c>
      <c r="BD448">
        <v>5</v>
      </c>
      <c r="BE448" t="s">
        <v>3899</v>
      </c>
      <c r="BF448">
        <v>90</v>
      </c>
      <c r="BG448">
        <v>66</v>
      </c>
      <c r="BH448" t="s">
        <v>3965</v>
      </c>
      <c r="BI448" t="s">
        <v>5178</v>
      </c>
      <c r="BJ448">
        <v>1</v>
      </c>
      <c r="BK448" t="s">
        <v>3902</v>
      </c>
    </row>
    <row r="449" spans="1:63" x14ac:dyDescent="0.25">
      <c r="A449">
        <v>4667</v>
      </c>
      <c r="B449" t="str">
        <f>"20200131169017164060"</f>
        <v>20200131169017164060</v>
      </c>
      <c r="C449">
        <v>1</v>
      </c>
      <c r="D449">
        <v>1</v>
      </c>
      <c r="E449" t="s">
        <v>3886</v>
      </c>
      <c r="F449">
        <v>1</v>
      </c>
      <c r="G449">
        <v>0</v>
      </c>
      <c r="H449" t="s">
        <v>66</v>
      </c>
      <c r="I449">
        <v>0</v>
      </c>
      <c r="J449" t="s">
        <v>66</v>
      </c>
      <c r="K449">
        <v>0</v>
      </c>
      <c r="L449" t="s">
        <v>66</v>
      </c>
      <c r="M449" t="s">
        <v>56</v>
      </c>
      <c r="N449">
        <v>0</v>
      </c>
      <c r="O449" t="s">
        <v>66</v>
      </c>
      <c r="P449" t="s">
        <v>56</v>
      </c>
      <c r="Q449">
        <v>0</v>
      </c>
      <c r="R449" t="s">
        <v>66</v>
      </c>
      <c r="S449" t="s">
        <v>56</v>
      </c>
      <c r="T449">
        <v>1</v>
      </c>
      <c r="U449" t="s">
        <v>1627</v>
      </c>
      <c r="V449" t="s">
        <v>56</v>
      </c>
      <c r="W449">
        <v>0</v>
      </c>
      <c r="X449" t="s">
        <v>66</v>
      </c>
      <c r="Y449" t="s">
        <v>56</v>
      </c>
      <c r="Z449">
        <v>0</v>
      </c>
      <c r="AA449" t="s">
        <v>66</v>
      </c>
      <c r="AB449" t="s">
        <v>56</v>
      </c>
      <c r="AC449">
        <v>1</v>
      </c>
      <c r="AD449" t="s">
        <v>1627</v>
      </c>
      <c r="AE449" t="s">
        <v>3887</v>
      </c>
      <c r="AF449">
        <v>0</v>
      </c>
      <c r="AG449" t="s">
        <v>66</v>
      </c>
      <c r="AH449" t="s">
        <v>56</v>
      </c>
      <c r="AI449">
        <v>1</v>
      </c>
      <c r="AJ449" t="s">
        <v>1627</v>
      </c>
      <c r="AK449" t="s">
        <v>56</v>
      </c>
      <c r="AL449" t="s">
        <v>56</v>
      </c>
      <c r="AM449" t="s">
        <v>56</v>
      </c>
      <c r="AN449" t="s">
        <v>56</v>
      </c>
      <c r="AO449" t="s">
        <v>3938</v>
      </c>
      <c r="AP449" t="s">
        <v>3962</v>
      </c>
      <c r="AQ449" t="s">
        <v>3963</v>
      </c>
      <c r="AR449" t="s">
        <v>3941</v>
      </c>
      <c r="AS449" t="s">
        <v>3942</v>
      </c>
      <c r="AT449" t="s">
        <v>5179</v>
      </c>
      <c r="AU449" t="s">
        <v>3944</v>
      </c>
      <c r="AV449" t="s">
        <v>3945</v>
      </c>
      <c r="AW449" t="s">
        <v>3946</v>
      </c>
      <c r="AX449">
        <v>12</v>
      </c>
      <c r="AY449">
        <v>2</v>
      </c>
      <c r="AZ449" t="s">
        <v>3897</v>
      </c>
      <c r="BA449">
        <v>10</v>
      </c>
      <c r="BB449" t="s">
        <v>3898</v>
      </c>
      <c r="BC449">
        <v>90</v>
      </c>
      <c r="BD449">
        <v>3</v>
      </c>
      <c r="BE449" t="s">
        <v>3911</v>
      </c>
      <c r="BF449">
        <v>180</v>
      </c>
      <c r="BG449">
        <v>66</v>
      </c>
      <c r="BH449" t="s">
        <v>3965</v>
      </c>
      <c r="BI449" t="s">
        <v>3969</v>
      </c>
      <c r="BJ449">
        <v>1</v>
      </c>
      <c r="BK449" t="s">
        <v>3902</v>
      </c>
    </row>
    <row r="450" spans="1:63" x14ac:dyDescent="0.25">
      <c r="A450">
        <v>4668</v>
      </c>
      <c r="B450" t="str">
        <f>"20200131103017164301"</f>
        <v>20200131103017164301</v>
      </c>
      <c r="C450">
        <v>1</v>
      </c>
      <c r="D450">
        <v>1</v>
      </c>
      <c r="E450" t="s">
        <v>3886</v>
      </c>
      <c r="F450">
        <v>1</v>
      </c>
      <c r="G450">
        <v>0</v>
      </c>
      <c r="H450" t="s">
        <v>66</v>
      </c>
      <c r="I450">
        <v>0</v>
      </c>
      <c r="J450" t="s">
        <v>66</v>
      </c>
      <c r="K450">
        <v>0</v>
      </c>
      <c r="L450" t="s">
        <v>66</v>
      </c>
      <c r="M450" t="s">
        <v>56</v>
      </c>
      <c r="N450">
        <v>0</v>
      </c>
      <c r="O450" t="s">
        <v>66</v>
      </c>
      <c r="P450" t="s">
        <v>56</v>
      </c>
      <c r="Q450">
        <v>0</v>
      </c>
      <c r="R450" t="s">
        <v>66</v>
      </c>
      <c r="S450" t="s">
        <v>56</v>
      </c>
      <c r="T450">
        <v>1</v>
      </c>
      <c r="U450" t="s">
        <v>1627</v>
      </c>
      <c r="V450" t="s">
        <v>56</v>
      </c>
      <c r="W450">
        <v>0</v>
      </c>
      <c r="X450" t="s">
        <v>66</v>
      </c>
      <c r="Y450" t="s">
        <v>56</v>
      </c>
      <c r="Z450">
        <v>0</v>
      </c>
      <c r="AA450" t="s">
        <v>66</v>
      </c>
      <c r="AB450" t="s">
        <v>56</v>
      </c>
      <c r="AC450">
        <v>1</v>
      </c>
      <c r="AD450" t="s">
        <v>1627</v>
      </c>
      <c r="AE450" t="s">
        <v>3887</v>
      </c>
      <c r="AF450">
        <v>0</v>
      </c>
      <c r="AG450" t="s">
        <v>66</v>
      </c>
      <c r="AH450" t="s">
        <v>56</v>
      </c>
      <c r="AI450">
        <v>1</v>
      </c>
      <c r="AJ450" t="s">
        <v>1627</v>
      </c>
      <c r="AK450" t="s">
        <v>56</v>
      </c>
      <c r="AL450" t="s">
        <v>56</v>
      </c>
      <c r="AM450" t="s">
        <v>56</v>
      </c>
      <c r="AN450" t="s">
        <v>56</v>
      </c>
      <c r="AO450" t="s">
        <v>3949</v>
      </c>
      <c r="AP450" t="s">
        <v>3889</v>
      </c>
      <c r="AQ450" t="s">
        <v>3890</v>
      </c>
      <c r="AR450" t="s">
        <v>3891</v>
      </c>
      <c r="AS450" t="s">
        <v>3892</v>
      </c>
      <c r="AT450" t="s">
        <v>4794</v>
      </c>
      <c r="AU450" t="s">
        <v>3894</v>
      </c>
      <c r="AV450" t="s">
        <v>3895</v>
      </c>
      <c r="AW450" t="s">
        <v>3896</v>
      </c>
      <c r="AX450">
        <v>12</v>
      </c>
      <c r="AY450">
        <v>2</v>
      </c>
      <c r="AZ450" t="s">
        <v>3897</v>
      </c>
      <c r="BA450">
        <v>10</v>
      </c>
      <c r="BB450" t="s">
        <v>3898</v>
      </c>
      <c r="BC450">
        <v>3</v>
      </c>
      <c r="BD450">
        <v>5</v>
      </c>
      <c r="BE450" t="s">
        <v>3899</v>
      </c>
      <c r="BF450">
        <v>3</v>
      </c>
      <c r="BG450">
        <v>13</v>
      </c>
      <c r="BH450" t="s">
        <v>3900</v>
      </c>
      <c r="BI450" t="s">
        <v>4570</v>
      </c>
      <c r="BJ450">
        <v>1</v>
      </c>
      <c r="BK450" t="s">
        <v>3902</v>
      </c>
    </row>
    <row r="451" spans="1:63" x14ac:dyDescent="0.25">
      <c r="A451">
        <v>4669</v>
      </c>
      <c r="B451" t="str">
        <f>"20200131103017164301"</f>
        <v>20200131103017164301</v>
      </c>
      <c r="C451">
        <v>2</v>
      </c>
      <c r="D451">
        <v>1</v>
      </c>
      <c r="E451" t="s">
        <v>3886</v>
      </c>
      <c r="F451">
        <v>1</v>
      </c>
      <c r="G451">
        <v>0</v>
      </c>
      <c r="H451" t="s">
        <v>66</v>
      </c>
      <c r="I451">
        <v>0</v>
      </c>
      <c r="J451" t="s">
        <v>66</v>
      </c>
      <c r="K451">
        <v>0</v>
      </c>
      <c r="L451" t="s">
        <v>66</v>
      </c>
      <c r="M451" t="s">
        <v>56</v>
      </c>
      <c r="N451">
        <v>0</v>
      </c>
      <c r="O451" t="s">
        <v>66</v>
      </c>
      <c r="P451" t="s">
        <v>56</v>
      </c>
      <c r="Q451">
        <v>0</v>
      </c>
      <c r="R451" t="s">
        <v>66</v>
      </c>
      <c r="S451" t="s">
        <v>56</v>
      </c>
      <c r="T451">
        <v>1</v>
      </c>
      <c r="U451" t="s">
        <v>1627</v>
      </c>
      <c r="V451" t="s">
        <v>56</v>
      </c>
      <c r="W451">
        <v>0</v>
      </c>
      <c r="X451" t="s">
        <v>66</v>
      </c>
      <c r="Y451" t="s">
        <v>56</v>
      </c>
      <c r="Z451">
        <v>0</v>
      </c>
      <c r="AA451" t="s">
        <v>66</v>
      </c>
      <c r="AB451" t="s">
        <v>56</v>
      </c>
      <c r="AC451">
        <v>1</v>
      </c>
      <c r="AD451" t="s">
        <v>1627</v>
      </c>
      <c r="AE451" t="s">
        <v>3887</v>
      </c>
      <c r="AF451">
        <v>0</v>
      </c>
      <c r="AG451" t="s">
        <v>66</v>
      </c>
      <c r="AH451" t="s">
        <v>56</v>
      </c>
      <c r="AI451">
        <v>1</v>
      </c>
      <c r="AJ451" t="s">
        <v>1627</v>
      </c>
      <c r="AK451" t="s">
        <v>56</v>
      </c>
      <c r="AL451" t="s">
        <v>56</v>
      </c>
      <c r="AM451" t="s">
        <v>56</v>
      </c>
      <c r="AN451" t="s">
        <v>56</v>
      </c>
      <c r="AO451" t="s">
        <v>3992</v>
      </c>
      <c r="AP451" t="s">
        <v>3889</v>
      </c>
      <c r="AQ451" t="s">
        <v>3890</v>
      </c>
      <c r="AR451" t="s">
        <v>3926</v>
      </c>
      <c r="AS451" t="s">
        <v>3927</v>
      </c>
      <c r="AT451" t="s">
        <v>5180</v>
      </c>
      <c r="AU451" t="s">
        <v>3894</v>
      </c>
      <c r="AV451" t="s">
        <v>3895</v>
      </c>
      <c r="AW451" t="s">
        <v>3896</v>
      </c>
      <c r="AX451">
        <v>6</v>
      </c>
      <c r="AY451">
        <v>2</v>
      </c>
      <c r="AZ451" t="s">
        <v>3897</v>
      </c>
      <c r="BA451">
        <v>10</v>
      </c>
      <c r="BB451" t="s">
        <v>3898</v>
      </c>
      <c r="BC451">
        <v>3</v>
      </c>
      <c r="BD451">
        <v>5</v>
      </c>
      <c r="BE451" t="s">
        <v>3899</v>
      </c>
      <c r="BF451">
        <v>3</v>
      </c>
      <c r="BG451">
        <v>13</v>
      </c>
      <c r="BH451" t="s">
        <v>3900</v>
      </c>
      <c r="BI451" t="s">
        <v>4700</v>
      </c>
      <c r="BJ451">
        <v>1</v>
      </c>
      <c r="BK451" t="s">
        <v>3902</v>
      </c>
    </row>
    <row r="452" spans="1:63" x14ac:dyDescent="0.25">
      <c r="A452">
        <v>4670</v>
      </c>
      <c r="B452" t="str">
        <f>"20200131143017164727"</f>
        <v>20200131143017164727</v>
      </c>
      <c r="C452">
        <v>1</v>
      </c>
      <c r="D452">
        <v>1</v>
      </c>
      <c r="E452" t="s">
        <v>3886</v>
      </c>
      <c r="F452">
        <v>2</v>
      </c>
      <c r="G452">
        <v>0</v>
      </c>
      <c r="H452" t="s">
        <v>66</v>
      </c>
      <c r="I452">
        <v>0</v>
      </c>
      <c r="J452" t="s">
        <v>66</v>
      </c>
      <c r="K452">
        <v>1</v>
      </c>
      <c r="L452" t="s">
        <v>1627</v>
      </c>
      <c r="M452" t="s">
        <v>4112</v>
      </c>
      <c r="N452">
        <v>1</v>
      </c>
      <c r="O452" t="s">
        <v>1627</v>
      </c>
      <c r="P452" t="s">
        <v>5181</v>
      </c>
      <c r="Q452">
        <v>0</v>
      </c>
      <c r="R452" t="s">
        <v>66</v>
      </c>
      <c r="S452" t="s">
        <v>56</v>
      </c>
      <c r="T452" t="s">
        <v>56</v>
      </c>
      <c r="U452" t="s">
        <v>56</v>
      </c>
      <c r="V452" t="s">
        <v>56</v>
      </c>
      <c r="W452">
        <v>0</v>
      </c>
      <c r="X452" t="s">
        <v>66</v>
      </c>
      <c r="Y452" t="s">
        <v>56</v>
      </c>
      <c r="Z452">
        <v>0</v>
      </c>
      <c r="AA452" t="s">
        <v>66</v>
      </c>
      <c r="AB452" t="s">
        <v>56</v>
      </c>
      <c r="AC452">
        <v>0</v>
      </c>
      <c r="AD452" t="s">
        <v>66</v>
      </c>
      <c r="AE452" t="s">
        <v>56</v>
      </c>
      <c r="AF452">
        <v>0</v>
      </c>
      <c r="AG452" t="s">
        <v>66</v>
      </c>
      <c r="AH452" t="s">
        <v>56</v>
      </c>
      <c r="AI452">
        <v>1</v>
      </c>
      <c r="AJ452" t="s">
        <v>1627</v>
      </c>
      <c r="AK452" t="s">
        <v>56</v>
      </c>
      <c r="AL452" t="s">
        <v>56</v>
      </c>
      <c r="AM452" t="s">
        <v>56</v>
      </c>
      <c r="AN452" t="s">
        <v>56</v>
      </c>
      <c r="AO452" t="s">
        <v>5182</v>
      </c>
      <c r="AP452" t="s">
        <v>3939</v>
      </c>
      <c r="AQ452" t="s">
        <v>3940</v>
      </c>
      <c r="AR452" t="s">
        <v>3941</v>
      </c>
      <c r="AS452" t="s">
        <v>3942</v>
      </c>
      <c r="AT452" t="s">
        <v>5183</v>
      </c>
      <c r="AU452">
        <v>9000</v>
      </c>
      <c r="AV452" t="s">
        <v>3956</v>
      </c>
      <c r="AW452" t="s">
        <v>3956</v>
      </c>
      <c r="AX452">
        <v>24</v>
      </c>
      <c r="AY452">
        <v>2</v>
      </c>
      <c r="AZ452" t="s">
        <v>3897</v>
      </c>
      <c r="BA452">
        <v>10</v>
      </c>
      <c r="BB452" t="s">
        <v>3898</v>
      </c>
      <c r="BC452">
        <v>180</v>
      </c>
      <c r="BD452">
        <v>3</v>
      </c>
      <c r="BE452" t="s">
        <v>3911</v>
      </c>
      <c r="BF452">
        <v>180</v>
      </c>
      <c r="BG452">
        <v>66</v>
      </c>
      <c r="BH452" t="s">
        <v>3965</v>
      </c>
      <c r="BI452" t="s">
        <v>5184</v>
      </c>
      <c r="BJ452">
        <v>1</v>
      </c>
      <c r="BK452" t="s">
        <v>3902</v>
      </c>
    </row>
    <row r="453" spans="1:63" x14ac:dyDescent="0.25">
      <c r="A453">
        <v>4671</v>
      </c>
      <c r="B453" t="str">
        <f>"20200131190017165171"</f>
        <v>20200131190017165171</v>
      </c>
      <c r="C453">
        <v>1</v>
      </c>
      <c r="D453">
        <v>1</v>
      </c>
      <c r="E453" t="s">
        <v>3886</v>
      </c>
      <c r="F453">
        <v>2</v>
      </c>
      <c r="G453">
        <v>0</v>
      </c>
      <c r="H453" t="s">
        <v>66</v>
      </c>
      <c r="I453">
        <v>0</v>
      </c>
      <c r="J453" t="s">
        <v>66</v>
      </c>
      <c r="K453">
        <v>0</v>
      </c>
      <c r="L453" t="s">
        <v>66</v>
      </c>
      <c r="M453" t="s">
        <v>56</v>
      </c>
      <c r="N453">
        <v>0</v>
      </c>
      <c r="O453" t="s">
        <v>66</v>
      </c>
      <c r="P453" t="s">
        <v>56</v>
      </c>
      <c r="Q453">
        <v>0</v>
      </c>
      <c r="R453" t="s">
        <v>66</v>
      </c>
      <c r="S453" t="s">
        <v>56</v>
      </c>
      <c r="T453">
        <v>1</v>
      </c>
      <c r="U453" t="s">
        <v>1627</v>
      </c>
      <c r="V453" t="s">
        <v>56</v>
      </c>
      <c r="W453">
        <v>0</v>
      </c>
      <c r="X453" t="s">
        <v>66</v>
      </c>
      <c r="Y453" t="s">
        <v>56</v>
      </c>
      <c r="Z453">
        <v>0</v>
      </c>
      <c r="AA453" t="s">
        <v>66</v>
      </c>
      <c r="AB453" t="s">
        <v>56</v>
      </c>
      <c r="AC453">
        <v>1</v>
      </c>
      <c r="AD453" t="s">
        <v>1627</v>
      </c>
      <c r="AE453" t="s">
        <v>3887</v>
      </c>
      <c r="AF453">
        <v>0</v>
      </c>
      <c r="AG453" t="s">
        <v>66</v>
      </c>
      <c r="AH453" t="s">
        <v>56</v>
      </c>
      <c r="AI453">
        <v>1</v>
      </c>
      <c r="AJ453" t="s">
        <v>1627</v>
      </c>
      <c r="AK453" t="s">
        <v>56</v>
      </c>
      <c r="AL453" t="s">
        <v>56</v>
      </c>
      <c r="AM453" t="s">
        <v>56</v>
      </c>
      <c r="AN453" t="s">
        <v>56</v>
      </c>
      <c r="AO453" t="s">
        <v>4460</v>
      </c>
      <c r="AP453" t="s">
        <v>3939</v>
      </c>
      <c r="AQ453" t="s">
        <v>3940</v>
      </c>
      <c r="AR453" t="s">
        <v>3920</v>
      </c>
      <c r="AS453" t="s">
        <v>3921</v>
      </c>
      <c r="AT453" t="s">
        <v>5185</v>
      </c>
      <c r="AU453">
        <v>9000</v>
      </c>
      <c r="AV453" t="s">
        <v>3956</v>
      </c>
      <c r="AW453" t="s">
        <v>3956</v>
      </c>
      <c r="AX453">
        <v>24</v>
      </c>
      <c r="AY453">
        <v>2</v>
      </c>
      <c r="AZ453" t="s">
        <v>3897</v>
      </c>
      <c r="BA453">
        <v>10</v>
      </c>
      <c r="BB453" t="s">
        <v>3898</v>
      </c>
      <c r="BC453">
        <v>6</v>
      </c>
      <c r="BD453">
        <v>5</v>
      </c>
      <c r="BE453" t="s">
        <v>3899</v>
      </c>
      <c r="BF453">
        <v>180</v>
      </c>
      <c r="BG453">
        <v>14</v>
      </c>
      <c r="BH453" t="s">
        <v>3947</v>
      </c>
      <c r="BI453" t="s">
        <v>4873</v>
      </c>
      <c r="BJ453">
        <v>1</v>
      </c>
      <c r="BK453" t="s">
        <v>3902</v>
      </c>
    </row>
    <row r="454" spans="1:63" x14ac:dyDescent="0.25">
      <c r="A454">
        <v>4672</v>
      </c>
      <c r="B454" t="str">
        <f>"20200131190017165171"</f>
        <v>20200131190017165171</v>
      </c>
      <c r="C454">
        <v>2</v>
      </c>
      <c r="D454">
        <v>1</v>
      </c>
      <c r="E454" t="s">
        <v>3886</v>
      </c>
      <c r="F454">
        <v>2</v>
      </c>
      <c r="G454">
        <v>0</v>
      </c>
      <c r="H454" t="s">
        <v>66</v>
      </c>
      <c r="I454">
        <v>0</v>
      </c>
      <c r="J454" t="s">
        <v>66</v>
      </c>
      <c r="K454">
        <v>0</v>
      </c>
      <c r="L454" t="s">
        <v>66</v>
      </c>
      <c r="M454" t="s">
        <v>56</v>
      </c>
      <c r="N454">
        <v>0</v>
      </c>
      <c r="O454" t="s">
        <v>66</v>
      </c>
      <c r="P454" t="s">
        <v>56</v>
      </c>
      <c r="Q454">
        <v>0</v>
      </c>
      <c r="R454" t="s">
        <v>66</v>
      </c>
      <c r="S454" t="s">
        <v>56</v>
      </c>
      <c r="T454">
        <v>1</v>
      </c>
      <c r="U454" t="s">
        <v>1627</v>
      </c>
      <c r="V454" t="s">
        <v>56</v>
      </c>
      <c r="W454">
        <v>0</v>
      </c>
      <c r="X454" t="s">
        <v>66</v>
      </c>
      <c r="Y454" t="s">
        <v>56</v>
      </c>
      <c r="Z454">
        <v>0</v>
      </c>
      <c r="AA454" t="s">
        <v>66</v>
      </c>
      <c r="AB454" t="s">
        <v>56</v>
      </c>
      <c r="AC454">
        <v>1</v>
      </c>
      <c r="AD454" t="s">
        <v>1627</v>
      </c>
      <c r="AE454" t="s">
        <v>3887</v>
      </c>
      <c r="AF454">
        <v>0</v>
      </c>
      <c r="AG454" t="s">
        <v>66</v>
      </c>
      <c r="AH454" t="s">
        <v>56</v>
      </c>
      <c r="AI454">
        <v>1</v>
      </c>
      <c r="AJ454" t="s">
        <v>1627</v>
      </c>
      <c r="AK454" t="s">
        <v>56</v>
      </c>
      <c r="AL454" t="s">
        <v>56</v>
      </c>
      <c r="AM454" t="s">
        <v>56</v>
      </c>
      <c r="AN454" t="s">
        <v>56</v>
      </c>
      <c r="AO454" t="s">
        <v>4984</v>
      </c>
      <c r="AP454" t="s">
        <v>3939</v>
      </c>
      <c r="AQ454" t="s">
        <v>3940</v>
      </c>
      <c r="AR454" t="s">
        <v>3920</v>
      </c>
      <c r="AS454" t="s">
        <v>3921</v>
      </c>
      <c r="AT454" t="s">
        <v>5186</v>
      </c>
      <c r="AU454">
        <v>9000</v>
      </c>
      <c r="AV454" t="s">
        <v>3956</v>
      </c>
      <c r="AW454" t="s">
        <v>3956</v>
      </c>
      <c r="AX454">
        <v>12</v>
      </c>
      <c r="AY454">
        <v>2</v>
      </c>
      <c r="AZ454" t="s">
        <v>3897</v>
      </c>
      <c r="BA454">
        <v>10</v>
      </c>
      <c r="BB454" t="s">
        <v>3898</v>
      </c>
      <c r="BC454">
        <v>6</v>
      </c>
      <c r="BD454">
        <v>5</v>
      </c>
      <c r="BE454" t="s">
        <v>3899</v>
      </c>
      <c r="BF454">
        <v>360</v>
      </c>
      <c r="BG454">
        <v>14</v>
      </c>
      <c r="BH454" t="s">
        <v>3947</v>
      </c>
      <c r="BI454" t="s">
        <v>4827</v>
      </c>
      <c r="BJ454">
        <v>1</v>
      </c>
      <c r="BK454" t="s">
        <v>3902</v>
      </c>
    </row>
    <row r="455" spans="1:63" x14ac:dyDescent="0.25">
      <c r="A455">
        <v>4673</v>
      </c>
      <c r="B455" t="str">
        <f>"20200131127017165490"</f>
        <v>20200131127017165490</v>
      </c>
      <c r="C455">
        <v>1</v>
      </c>
      <c r="D455">
        <v>1</v>
      </c>
      <c r="E455" t="s">
        <v>3886</v>
      </c>
      <c r="F455">
        <v>2</v>
      </c>
      <c r="G455">
        <v>0</v>
      </c>
      <c r="H455" t="s">
        <v>66</v>
      </c>
      <c r="I455">
        <v>0</v>
      </c>
      <c r="J455" t="s">
        <v>66</v>
      </c>
      <c r="K455">
        <v>0</v>
      </c>
      <c r="L455" t="s">
        <v>66</v>
      </c>
      <c r="M455" t="s">
        <v>56</v>
      </c>
      <c r="N455">
        <v>0</v>
      </c>
      <c r="O455" t="s">
        <v>66</v>
      </c>
      <c r="P455" t="s">
        <v>56</v>
      </c>
      <c r="Q455">
        <v>0</v>
      </c>
      <c r="R455" t="s">
        <v>66</v>
      </c>
      <c r="S455" t="s">
        <v>56</v>
      </c>
      <c r="T455">
        <v>1</v>
      </c>
      <c r="U455" t="s">
        <v>1627</v>
      </c>
      <c r="V455" t="s">
        <v>56</v>
      </c>
      <c r="W455">
        <v>0</v>
      </c>
      <c r="X455" t="s">
        <v>66</v>
      </c>
      <c r="Y455" t="s">
        <v>56</v>
      </c>
      <c r="Z455">
        <v>0</v>
      </c>
      <c r="AA455" t="s">
        <v>66</v>
      </c>
      <c r="AB455" t="s">
        <v>56</v>
      </c>
      <c r="AC455">
        <v>1</v>
      </c>
      <c r="AD455" t="s">
        <v>1627</v>
      </c>
      <c r="AE455" t="s">
        <v>3887</v>
      </c>
      <c r="AF455">
        <v>0</v>
      </c>
      <c r="AG455" t="s">
        <v>66</v>
      </c>
      <c r="AH455" t="s">
        <v>56</v>
      </c>
      <c r="AI455">
        <v>1</v>
      </c>
      <c r="AJ455" t="s">
        <v>1627</v>
      </c>
      <c r="AK455">
        <v>0</v>
      </c>
      <c r="AL455" t="s">
        <v>66</v>
      </c>
      <c r="AM455" t="s">
        <v>56</v>
      </c>
      <c r="AN455" t="s">
        <v>56</v>
      </c>
      <c r="AO455" t="s">
        <v>4442</v>
      </c>
      <c r="AP455" t="s">
        <v>3962</v>
      </c>
      <c r="AQ455" t="s">
        <v>3963</v>
      </c>
      <c r="AR455" t="s">
        <v>3941</v>
      </c>
      <c r="AS455" t="s">
        <v>3942</v>
      </c>
      <c r="AT455" t="s">
        <v>5187</v>
      </c>
      <c r="AU455" t="s">
        <v>3944</v>
      </c>
      <c r="AV455" t="s">
        <v>3945</v>
      </c>
      <c r="AW455" t="s">
        <v>3946</v>
      </c>
      <c r="AX455">
        <v>1</v>
      </c>
      <c r="AY455">
        <v>3</v>
      </c>
      <c r="AZ455" t="s">
        <v>3911</v>
      </c>
      <c r="BA455">
        <v>1</v>
      </c>
      <c r="BB455" t="s">
        <v>4149</v>
      </c>
      <c r="BC455">
        <v>2</v>
      </c>
      <c r="BD455">
        <v>5</v>
      </c>
      <c r="BE455" t="s">
        <v>3899</v>
      </c>
      <c r="BF455">
        <v>60</v>
      </c>
      <c r="BG455">
        <v>66</v>
      </c>
      <c r="BH455" t="s">
        <v>3965</v>
      </c>
      <c r="BI455" t="s">
        <v>5188</v>
      </c>
      <c r="BJ455">
        <v>1</v>
      </c>
      <c r="BK455" t="s">
        <v>3902</v>
      </c>
    </row>
    <row r="456" spans="1:63" x14ac:dyDescent="0.25">
      <c r="A456">
        <v>4674</v>
      </c>
      <c r="B456" t="str">
        <f>"20200131189017166327"</f>
        <v>20200131189017166327</v>
      </c>
      <c r="C456">
        <v>1</v>
      </c>
      <c r="D456">
        <v>1</v>
      </c>
      <c r="E456" t="s">
        <v>3886</v>
      </c>
      <c r="F456">
        <v>2</v>
      </c>
      <c r="G456">
        <v>0</v>
      </c>
      <c r="H456" t="s">
        <v>66</v>
      </c>
      <c r="I456">
        <v>0</v>
      </c>
      <c r="J456" t="s">
        <v>66</v>
      </c>
      <c r="K456">
        <v>0</v>
      </c>
      <c r="L456" t="s">
        <v>66</v>
      </c>
      <c r="M456" t="s">
        <v>56</v>
      </c>
      <c r="N456">
        <v>0</v>
      </c>
      <c r="O456" t="s">
        <v>66</v>
      </c>
      <c r="P456" t="s">
        <v>56</v>
      </c>
      <c r="Q456">
        <v>0</v>
      </c>
      <c r="R456" t="s">
        <v>66</v>
      </c>
      <c r="S456" t="s">
        <v>56</v>
      </c>
      <c r="T456">
        <v>1</v>
      </c>
      <c r="U456" t="s">
        <v>1627</v>
      </c>
      <c r="V456" t="s">
        <v>56</v>
      </c>
      <c r="W456">
        <v>0</v>
      </c>
      <c r="X456" t="s">
        <v>66</v>
      </c>
      <c r="Y456" t="s">
        <v>56</v>
      </c>
      <c r="Z456">
        <v>0</v>
      </c>
      <c r="AA456" t="s">
        <v>66</v>
      </c>
      <c r="AB456" t="s">
        <v>56</v>
      </c>
      <c r="AC456">
        <v>1</v>
      </c>
      <c r="AD456" t="s">
        <v>1627</v>
      </c>
      <c r="AE456" t="s">
        <v>3887</v>
      </c>
      <c r="AF456">
        <v>0</v>
      </c>
      <c r="AG456" t="s">
        <v>66</v>
      </c>
      <c r="AH456" t="s">
        <v>56</v>
      </c>
      <c r="AI456">
        <v>1</v>
      </c>
      <c r="AJ456" t="s">
        <v>1627</v>
      </c>
      <c r="AK456" t="s">
        <v>56</v>
      </c>
      <c r="AL456" t="s">
        <v>56</v>
      </c>
      <c r="AM456" t="s">
        <v>56</v>
      </c>
      <c r="AN456" t="s">
        <v>56</v>
      </c>
      <c r="AO456" t="s">
        <v>3888</v>
      </c>
      <c r="AP456" t="s">
        <v>3889</v>
      </c>
      <c r="AQ456" t="s">
        <v>3890</v>
      </c>
      <c r="AR456" t="s">
        <v>3891</v>
      </c>
      <c r="AS456" t="s">
        <v>3892</v>
      </c>
      <c r="AT456" t="s">
        <v>3893</v>
      </c>
      <c r="AU456" t="s">
        <v>3894</v>
      </c>
      <c r="AV456" t="s">
        <v>3895</v>
      </c>
      <c r="AW456" t="s">
        <v>3896</v>
      </c>
      <c r="AX456">
        <v>6</v>
      </c>
      <c r="AY456">
        <v>2</v>
      </c>
      <c r="AZ456" t="s">
        <v>3897</v>
      </c>
      <c r="BA456">
        <v>10</v>
      </c>
      <c r="BB456" t="s">
        <v>3898</v>
      </c>
      <c r="BC456">
        <v>4</v>
      </c>
      <c r="BD456">
        <v>5</v>
      </c>
      <c r="BE456" t="s">
        <v>3899</v>
      </c>
      <c r="BF456">
        <v>4</v>
      </c>
      <c r="BG456">
        <v>13</v>
      </c>
      <c r="BH456" t="s">
        <v>3900</v>
      </c>
      <c r="BI456" t="s">
        <v>5189</v>
      </c>
      <c r="BJ456">
        <v>1</v>
      </c>
      <c r="BK456" t="s">
        <v>3902</v>
      </c>
    </row>
    <row r="457" spans="1:63" x14ac:dyDescent="0.25">
      <c r="A457">
        <v>4675</v>
      </c>
      <c r="B457" t="str">
        <f>"20200131165017166548"</f>
        <v>20200131165017166548</v>
      </c>
      <c r="C457">
        <v>1</v>
      </c>
      <c r="D457">
        <v>1</v>
      </c>
      <c r="E457" t="s">
        <v>3886</v>
      </c>
      <c r="F457">
        <v>2</v>
      </c>
      <c r="G457">
        <v>0</v>
      </c>
      <c r="H457" t="s">
        <v>66</v>
      </c>
      <c r="I457">
        <v>0</v>
      </c>
      <c r="J457" t="s">
        <v>66</v>
      </c>
      <c r="K457">
        <v>1</v>
      </c>
      <c r="L457" t="s">
        <v>1627</v>
      </c>
      <c r="M457" t="s">
        <v>4123</v>
      </c>
      <c r="N457">
        <v>0</v>
      </c>
      <c r="O457" t="s">
        <v>66</v>
      </c>
      <c r="P457" t="s">
        <v>56</v>
      </c>
      <c r="Q457">
        <v>1</v>
      </c>
      <c r="R457" t="s">
        <v>1627</v>
      </c>
      <c r="S457" t="s">
        <v>5190</v>
      </c>
      <c r="T457" t="s">
        <v>56</v>
      </c>
      <c r="U457" t="s">
        <v>56</v>
      </c>
      <c r="V457" t="s">
        <v>56</v>
      </c>
      <c r="W457">
        <v>0</v>
      </c>
      <c r="X457" t="s">
        <v>66</v>
      </c>
      <c r="Y457" t="s">
        <v>56</v>
      </c>
      <c r="Z457">
        <v>0</v>
      </c>
      <c r="AA457" t="s">
        <v>66</v>
      </c>
      <c r="AB457" t="s">
        <v>56</v>
      </c>
      <c r="AC457">
        <v>0</v>
      </c>
      <c r="AD457" t="s">
        <v>66</v>
      </c>
      <c r="AE457" t="s">
        <v>56</v>
      </c>
      <c r="AF457">
        <v>0</v>
      </c>
      <c r="AG457" t="s">
        <v>66</v>
      </c>
      <c r="AH457" t="s">
        <v>56</v>
      </c>
      <c r="AI457">
        <v>1</v>
      </c>
      <c r="AJ457" t="s">
        <v>1627</v>
      </c>
      <c r="AK457">
        <v>0</v>
      </c>
      <c r="AL457" t="s">
        <v>66</v>
      </c>
      <c r="AM457" t="s">
        <v>56</v>
      </c>
      <c r="AN457" t="s">
        <v>56</v>
      </c>
      <c r="AO457" t="s">
        <v>4125</v>
      </c>
      <c r="AP457" t="s">
        <v>3962</v>
      </c>
      <c r="AQ457" t="s">
        <v>3963</v>
      </c>
      <c r="AR457" t="s">
        <v>3941</v>
      </c>
      <c r="AS457" t="s">
        <v>3942</v>
      </c>
      <c r="AT457" t="s">
        <v>5191</v>
      </c>
      <c r="AU457" t="s">
        <v>3944</v>
      </c>
      <c r="AV457" t="s">
        <v>3945</v>
      </c>
      <c r="AW457" t="s">
        <v>3946</v>
      </c>
      <c r="AX457">
        <v>12</v>
      </c>
      <c r="AY457">
        <v>2</v>
      </c>
      <c r="AZ457" t="s">
        <v>3897</v>
      </c>
      <c r="BA457">
        <v>10</v>
      </c>
      <c r="BB457" t="s">
        <v>3898</v>
      </c>
      <c r="BC457">
        <v>60</v>
      </c>
      <c r="BD457">
        <v>3</v>
      </c>
      <c r="BE457" t="s">
        <v>3911</v>
      </c>
      <c r="BF457">
        <v>120</v>
      </c>
      <c r="BG457">
        <v>66</v>
      </c>
      <c r="BH457" t="s">
        <v>3965</v>
      </c>
      <c r="BI457" t="s">
        <v>5192</v>
      </c>
      <c r="BJ457">
        <v>1</v>
      </c>
      <c r="BK457" t="s">
        <v>3902</v>
      </c>
    </row>
    <row r="458" spans="1:63" x14ac:dyDescent="0.25">
      <c r="A458">
        <v>4676</v>
      </c>
      <c r="B458" t="str">
        <f>"20200131123017166551"</f>
        <v>20200131123017166551</v>
      </c>
      <c r="C458">
        <v>1</v>
      </c>
      <c r="D458">
        <v>1</v>
      </c>
      <c r="E458" t="s">
        <v>3886</v>
      </c>
      <c r="F458">
        <v>2</v>
      </c>
      <c r="G458">
        <v>0</v>
      </c>
      <c r="H458" t="s">
        <v>66</v>
      </c>
      <c r="I458">
        <v>0</v>
      </c>
      <c r="J458" t="s">
        <v>66</v>
      </c>
      <c r="K458">
        <v>1</v>
      </c>
      <c r="L458" t="s">
        <v>1627</v>
      </c>
      <c r="M458" t="s">
        <v>3976</v>
      </c>
      <c r="N458">
        <v>1</v>
      </c>
      <c r="O458" t="s">
        <v>1627</v>
      </c>
      <c r="P458" t="s">
        <v>5193</v>
      </c>
      <c r="Q458">
        <v>0</v>
      </c>
      <c r="R458" t="s">
        <v>66</v>
      </c>
      <c r="S458" t="s">
        <v>56</v>
      </c>
      <c r="T458" t="s">
        <v>56</v>
      </c>
      <c r="U458" t="s">
        <v>56</v>
      </c>
      <c r="V458" t="s">
        <v>56</v>
      </c>
      <c r="W458">
        <v>0</v>
      </c>
      <c r="X458" t="s">
        <v>66</v>
      </c>
      <c r="Y458" t="s">
        <v>56</v>
      </c>
      <c r="Z458">
        <v>0</v>
      </c>
      <c r="AA458" t="s">
        <v>66</v>
      </c>
      <c r="AB458" t="s">
        <v>56</v>
      </c>
      <c r="AC458">
        <v>0</v>
      </c>
      <c r="AD458" t="s">
        <v>66</v>
      </c>
      <c r="AE458" t="s">
        <v>56</v>
      </c>
      <c r="AF458">
        <v>0</v>
      </c>
      <c r="AG458" t="s">
        <v>66</v>
      </c>
      <c r="AH458" t="s">
        <v>56</v>
      </c>
      <c r="AI458">
        <v>1</v>
      </c>
      <c r="AJ458" t="s">
        <v>1627</v>
      </c>
      <c r="AK458" t="s">
        <v>56</v>
      </c>
      <c r="AL458" t="s">
        <v>56</v>
      </c>
      <c r="AM458" t="s">
        <v>56</v>
      </c>
      <c r="AN458" t="s">
        <v>56</v>
      </c>
      <c r="AO458" t="s">
        <v>3978</v>
      </c>
      <c r="AP458" t="s">
        <v>3962</v>
      </c>
      <c r="AQ458" t="s">
        <v>3963</v>
      </c>
      <c r="AR458" t="s">
        <v>3941</v>
      </c>
      <c r="AS458" t="s">
        <v>3942</v>
      </c>
      <c r="AT458" t="s">
        <v>5194</v>
      </c>
      <c r="AU458" t="s">
        <v>3944</v>
      </c>
      <c r="AV458" t="s">
        <v>3945</v>
      </c>
      <c r="AW458" t="s">
        <v>3946</v>
      </c>
      <c r="AX458">
        <v>12</v>
      </c>
      <c r="AY458">
        <v>2</v>
      </c>
      <c r="AZ458" t="s">
        <v>3897</v>
      </c>
      <c r="BA458">
        <v>10</v>
      </c>
      <c r="BB458" t="s">
        <v>3898</v>
      </c>
      <c r="BC458">
        <v>12</v>
      </c>
      <c r="BD458">
        <v>2</v>
      </c>
      <c r="BE458" t="s">
        <v>3897</v>
      </c>
      <c r="BF458">
        <v>730</v>
      </c>
      <c r="BG458">
        <v>14</v>
      </c>
      <c r="BH458" t="s">
        <v>3947</v>
      </c>
      <c r="BI458" t="s">
        <v>5195</v>
      </c>
      <c r="BJ458">
        <v>1</v>
      </c>
      <c r="BK458" t="s">
        <v>3902</v>
      </c>
    </row>
    <row r="459" spans="1:63" x14ac:dyDescent="0.25">
      <c r="A459">
        <v>4677</v>
      </c>
      <c r="B459" t="str">
        <f>"20200131157017167304"</f>
        <v>20200131157017167304</v>
      </c>
      <c r="C459">
        <v>1</v>
      </c>
      <c r="D459">
        <v>1</v>
      </c>
      <c r="E459" t="s">
        <v>3886</v>
      </c>
      <c r="F459">
        <v>2</v>
      </c>
      <c r="G459">
        <v>0</v>
      </c>
      <c r="H459" t="s">
        <v>66</v>
      </c>
      <c r="I459">
        <v>0</v>
      </c>
      <c r="J459" t="s">
        <v>66</v>
      </c>
      <c r="K459">
        <v>0</v>
      </c>
      <c r="L459" t="s">
        <v>66</v>
      </c>
      <c r="M459" t="s">
        <v>56</v>
      </c>
      <c r="N459">
        <v>0</v>
      </c>
      <c r="O459" t="s">
        <v>66</v>
      </c>
      <c r="P459" t="s">
        <v>56</v>
      </c>
      <c r="Q459">
        <v>0</v>
      </c>
      <c r="R459" t="s">
        <v>66</v>
      </c>
      <c r="S459" t="s">
        <v>56</v>
      </c>
      <c r="T459">
        <v>1</v>
      </c>
      <c r="U459" t="s">
        <v>1627</v>
      </c>
      <c r="V459" t="s">
        <v>56</v>
      </c>
      <c r="W459">
        <v>0</v>
      </c>
      <c r="X459" t="s">
        <v>66</v>
      </c>
      <c r="Y459" t="s">
        <v>56</v>
      </c>
      <c r="Z459">
        <v>0</v>
      </c>
      <c r="AA459" t="s">
        <v>66</v>
      </c>
      <c r="AB459" t="s">
        <v>56</v>
      </c>
      <c r="AC459">
        <v>1</v>
      </c>
      <c r="AD459" t="s">
        <v>1627</v>
      </c>
      <c r="AE459" t="s">
        <v>3887</v>
      </c>
      <c r="AF459">
        <v>0</v>
      </c>
      <c r="AG459" t="s">
        <v>66</v>
      </c>
      <c r="AH459" t="s">
        <v>56</v>
      </c>
      <c r="AI459">
        <v>1</v>
      </c>
      <c r="AJ459" t="s">
        <v>1627</v>
      </c>
      <c r="AK459" t="s">
        <v>56</v>
      </c>
      <c r="AL459" t="s">
        <v>56</v>
      </c>
      <c r="AM459" t="s">
        <v>56</v>
      </c>
      <c r="AN459" t="s">
        <v>56</v>
      </c>
      <c r="AO459" t="s">
        <v>5134</v>
      </c>
      <c r="AP459" t="s">
        <v>3971</v>
      </c>
      <c r="AQ459" t="s">
        <v>3972</v>
      </c>
      <c r="AR459" t="s">
        <v>2324</v>
      </c>
      <c r="AS459" t="s">
        <v>4266</v>
      </c>
      <c r="AT459" t="s">
        <v>5196</v>
      </c>
      <c r="AU459" t="s">
        <v>3944</v>
      </c>
      <c r="AV459" t="s">
        <v>3945</v>
      </c>
      <c r="AW459" t="s">
        <v>3946</v>
      </c>
      <c r="AX459">
        <v>24</v>
      </c>
      <c r="AY459">
        <v>2</v>
      </c>
      <c r="AZ459" t="s">
        <v>3897</v>
      </c>
      <c r="BA459">
        <v>10</v>
      </c>
      <c r="BB459" t="s">
        <v>3898</v>
      </c>
      <c r="BC459">
        <v>4</v>
      </c>
      <c r="BD459">
        <v>5</v>
      </c>
      <c r="BE459" t="s">
        <v>3899</v>
      </c>
      <c r="BF459">
        <v>12</v>
      </c>
      <c r="BG459">
        <v>16</v>
      </c>
      <c r="BH459" t="s">
        <v>5136</v>
      </c>
      <c r="BI459" t="s">
        <v>5197</v>
      </c>
      <c r="BJ459">
        <v>1</v>
      </c>
      <c r="BK459" t="s">
        <v>3902</v>
      </c>
    </row>
    <row r="460" spans="1:63" x14ac:dyDescent="0.25">
      <c r="A460">
        <v>4678</v>
      </c>
      <c r="B460" t="str">
        <f>"20200131143017167307"</f>
        <v>20200131143017167307</v>
      </c>
      <c r="C460">
        <v>1</v>
      </c>
      <c r="D460">
        <v>1</v>
      </c>
      <c r="E460" t="s">
        <v>3886</v>
      </c>
      <c r="F460">
        <v>1</v>
      </c>
      <c r="G460">
        <v>0</v>
      </c>
      <c r="H460" t="s">
        <v>66</v>
      </c>
      <c r="I460">
        <v>0</v>
      </c>
      <c r="J460" t="s">
        <v>66</v>
      </c>
      <c r="K460">
        <v>0</v>
      </c>
      <c r="L460" t="s">
        <v>66</v>
      </c>
      <c r="M460" t="s">
        <v>56</v>
      </c>
      <c r="N460">
        <v>0</v>
      </c>
      <c r="O460" t="s">
        <v>66</v>
      </c>
      <c r="P460" t="s">
        <v>56</v>
      </c>
      <c r="Q460">
        <v>0</v>
      </c>
      <c r="R460" t="s">
        <v>66</v>
      </c>
      <c r="S460" t="s">
        <v>56</v>
      </c>
      <c r="T460">
        <v>1</v>
      </c>
      <c r="U460" t="s">
        <v>1627</v>
      </c>
      <c r="V460" t="s">
        <v>56</v>
      </c>
      <c r="W460">
        <v>0</v>
      </c>
      <c r="X460" t="s">
        <v>66</v>
      </c>
      <c r="Y460" t="s">
        <v>56</v>
      </c>
      <c r="Z460">
        <v>0</v>
      </c>
      <c r="AA460" t="s">
        <v>66</v>
      </c>
      <c r="AB460" t="s">
        <v>56</v>
      </c>
      <c r="AC460">
        <v>1</v>
      </c>
      <c r="AD460" t="s">
        <v>1627</v>
      </c>
      <c r="AE460" t="s">
        <v>3887</v>
      </c>
      <c r="AF460">
        <v>0</v>
      </c>
      <c r="AG460" t="s">
        <v>66</v>
      </c>
      <c r="AH460" t="s">
        <v>56</v>
      </c>
      <c r="AI460">
        <v>1</v>
      </c>
      <c r="AJ460" t="s">
        <v>1627</v>
      </c>
      <c r="AK460" t="s">
        <v>56</v>
      </c>
      <c r="AL460" t="s">
        <v>56</v>
      </c>
      <c r="AM460" t="s">
        <v>56</v>
      </c>
      <c r="AN460" t="s">
        <v>56</v>
      </c>
      <c r="AO460" t="s">
        <v>3949</v>
      </c>
      <c r="AP460" t="s">
        <v>3889</v>
      </c>
      <c r="AQ460" t="s">
        <v>3890</v>
      </c>
      <c r="AR460" t="s">
        <v>3891</v>
      </c>
      <c r="AS460" t="s">
        <v>3892</v>
      </c>
      <c r="AT460" t="s">
        <v>4794</v>
      </c>
      <c r="AU460" t="s">
        <v>3894</v>
      </c>
      <c r="AV460" t="s">
        <v>3895</v>
      </c>
      <c r="AW460" t="s">
        <v>3896</v>
      </c>
      <c r="AX460">
        <v>60</v>
      </c>
      <c r="AY460">
        <v>1</v>
      </c>
      <c r="AZ460" t="s">
        <v>4099</v>
      </c>
      <c r="BA460">
        <v>10</v>
      </c>
      <c r="BB460" t="s">
        <v>3898</v>
      </c>
      <c r="BC460">
        <v>3</v>
      </c>
      <c r="BD460">
        <v>5</v>
      </c>
      <c r="BE460" t="s">
        <v>3899</v>
      </c>
      <c r="BF460">
        <v>3</v>
      </c>
      <c r="BG460">
        <v>13</v>
      </c>
      <c r="BH460" t="s">
        <v>3900</v>
      </c>
      <c r="BI460" t="s">
        <v>5198</v>
      </c>
      <c r="BJ460">
        <v>1</v>
      </c>
      <c r="BK460" t="s">
        <v>3902</v>
      </c>
    </row>
    <row r="461" spans="1:63" x14ac:dyDescent="0.25">
      <c r="A461">
        <v>4679</v>
      </c>
      <c r="B461" t="str">
        <f>"20200131188017167362"</f>
        <v>20200131188017167362</v>
      </c>
      <c r="C461">
        <v>1</v>
      </c>
      <c r="D461">
        <v>1</v>
      </c>
      <c r="E461" t="s">
        <v>3886</v>
      </c>
      <c r="F461">
        <v>2</v>
      </c>
      <c r="G461">
        <v>0</v>
      </c>
      <c r="H461" t="s">
        <v>66</v>
      </c>
      <c r="I461">
        <v>0</v>
      </c>
      <c r="J461" t="s">
        <v>66</v>
      </c>
      <c r="K461">
        <v>1</v>
      </c>
      <c r="L461" t="s">
        <v>1627</v>
      </c>
      <c r="M461" t="s">
        <v>4123</v>
      </c>
      <c r="N461">
        <v>1</v>
      </c>
      <c r="O461" t="s">
        <v>1627</v>
      </c>
      <c r="P461" t="s">
        <v>5199</v>
      </c>
      <c r="Q461">
        <v>0</v>
      </c>
      <c r="R461" t="s">
        <v>66</v>
      </c>
      <c r="S461" t="s">
        <v>56</v>
      </c>
      <c r="T461" t="s">
        <v>56</v>
      </c>
      <c r="U461" t="s">
        <v>56</v>
      </c>
      <c r="V461" t="s">
        <v>56</v>
      </c>
      <c r="W461">
        <v>0</v>
      </c>
      <c r="X461" t="s">
        <v>66</v>
      </c>
      <c r="Y461" t="s">
        <v>56</v>
      </c>
      <c r="Z461">
        <v>0</v>
      </c>
      <c r="AA461" t="s">
        <v>66</v>
      </c>
      <c r="AB461" t="s">
        <v>56</v>
      </c>
      <c r="AC461">
        <v>0</v>
      </c>
      <c r="AD461" t="s">
        <v>66</v>
      </c>
      <c r="AE461" t="s">
        <v>56</v>
      </c>
      <c r="AF461">
        <v>0</v>
      </c>
      <c r="AG461" t="s">
        <v>66</v>
      </c>
      <c r="AH461" t="s">
        <v>56</v>
      </c>
      <c r="AI461">
        <v>1</v>
      </c>
      <c r="AJ461" t="s">
        <v>1627</v>
      </c>
      <c r="AK461">
        <v>0</v>
      </c>
      <c r="AL461" t="s">
        <v>66</v>
      </c>
      <c r="AM461" t="s">
        <v>56</v>
      </c>
      <c r="AN461" t="s">
        <v>56</v>
      </c>
      <c r="AO461" t="s">
        <v>5200</v>
      </c>
      <c r="AP461" t="s">
        <v>3962</v>
      </c>
      <c r="AQ461" t="s">
        <v>3963</v>
      </c>
      <c r="AR461" t="s">
        <v>3941</v>
      </c>
      <c r="AS461" t="s">
        <v>3942</v>
      </c>
      <c r="AT461" t="s">
        <v>5201</v>
      </c>
      <c r="AU461">
        <v>9000</v>
      </c>
      <c r="AV461" t="s">
        <v>3956</v>
      </c>
      <c r="AW461" t="s">
        <v>3956</v>
      </c>
      <c r="AX461">
        <v>12</v>
      </c>
      <c r="AY461">
        <v>2</v>
      </c>
      <c r="AZ461" t="s">
        <v>3897</v>
      </c>
      <c r="BA461">
        <v>10</v>
      </c>
      <c r="BB461" t="s">
        <v>3898</v>
      </c>
      <c r="BC461">
        <v>120</v>
      </c>
      <c r="BD461">
        <v>3</v>
      </c>
      <c r="BE461" t="s">
        <v>3911</v>
      </c>
      <c r="BF461">
        <v>240</v>
      </c>
      <c r="BG461">
        <v>66</v>
      </c>
      <c r="BH461" t="s">
        <v>3965</v>
      </c>
      <c r="BI461" t="s">
        <v>5202</v>
      </c>
      <c r="BJ461">
        <v>1</v>
      </c>
      <c r="BK461" t="s">
        <v>3902</v>
      </c>
    </row>
    <row r="462" spans="1:63" x14ac:dyDescent="0.25">
      <c r="A462">
        <v>4680</v>
      </c>
      <c r="B462" t="str">
        <f>"20200131190017167914"</f>
        <v>20200131190017167914</v>
      </c>
      <c r="C462">
        <v>1</v>
      </c>
      <c r="D462">
        <v>1</v>
      </c>
      <c r="E462" t="s">
        <v>3886</v>
      </c>
      <c r="F462">
        <v>2</v>
      </c>
      <c r="G462">
        <v>0</v>
      </c>
      <c r="H462" t="s">
        <v>66</v>
      </c>
      <c r="I462">
        <v>0</v>
      </c>
      <c r="J462" t="s">
        <v>66</v>
      </c>
      <c r="K462">
        <v>1</v>
      </c>
      <c r="L462" t="s">
        <v>1627</v>
      </c>
      <c r="M462" t="s">
        <v>4128</v>
      </c>
      <c r="N462">
        <v>1</v>
      </c>
      <c r="O462" t="s">
        <v>1627</v>
      </c>
      <c r="P462" t="s">
        <v>4129</v>
      </c>
      <c r="Q462">
        <v>0</v>
      </c>
      <c r="R462" t="s">
        <v>66</v>
      </c>
      <c r="S462" t="s">
        <v>56</v>
      </c>
      <c r="T462" t="s">
        <v>56</v>
      </c>
      <c r="U462" t="s">
        <v>56</v>
      </c>
      <c r="V462" t="s">
        <v>56</v>
      </c>
      <c r="W462">
        <v>0</v>
      </c>
      <c r="X462" t="s">
        <v>66</v>
      </c>
      <c r="Y462" t="s">
        <v>56</v>
      </c>
      <c r="Z462">
        <v>0</v>
      </c>
      <c r="AA462" t="s">
        <v>66</v>
      </c>
      <c r="AB462" t="s">
        <v>56</v>
      </c>
      <c r="AC462">
        <v>0</v>
      </c>
      <c r="AD462" t="s">
        <v>66</v>
      </c>
      <c r="AE462" t="s">
        <v>56</v>
      </c>
      <c r="AF462">
        <v>0</v>
      </c>
      <c r="AG462" t="s">
        <v>66</v>
      </c>
      <c r="AH462" t="s">
        <v>56</v>
      </c>
      <c r="AI462">
        <v>1</v>
      </c>
      <c r="AJ462" t="s">
        <v>1627</v>
      </c>
      <c r="AK462">
        <v>0</v>
      </c>
      <c r="AL462" t="s">
        <v>66</v>
      </c>
      <c r="AM462" t="s">
        <v>56</v>
      </c>
      <c r="AN462" t="s">
        <v>56</v>
      </c>
      <c r="AO462" t="s">
        <v>5203</v>
      </c>
      <c r="AP462" t="s">
        <v>3962</v>
      </c>
      <c r="AQ462" t="s">
        <v>3963</v>
      </c>
      <c r="AR462" t="s">
        <v>3941</v>
      </c>
      <c r="AS462" t="s">
        <v>3942</v>
      </c>
      <c r="AT462" t="s">
        <v>5204</v>
      </c>
      <c r="AU462">
        <v>9000</v>
      </c>
      <c r="AV462" t="s">
        <v>3956</v>
      </c>
      <c r="AW462" t="s">
        <v>3956</v>
      </c>
      <c r="AX462">
        <v>24</v>
      </c>
      <c r="AY462">
        <v>2</v>
      </c>
      <c r="AZ462" t="s">
        <v>3897</v>
      </c>
      <c r="BA462">
        <v>10</v>
      </c>
      <c r="BB462" t="s">
        <v>3898</v>
      </c>
      <c r="BC462">
        <v>60</v>
      </c>
      <c r="BD462">
        <v>3</v>
      </c>
      <c r="BE462" t="s">
        <v>3911</v>
      </c>
      <c r="BF462">
        <v>60</v>
      </c>
      <c r="BG462">
        <v>66</v>
      </c>
      <c r="BH462" t="s">
        <v>3965</v>
      </c>
      <c r="BI462" t="s">
        <v>5205</v>
      </c>
      <c r="BJ462">
        <v>1</v>
      </c>
      <c r="BK462" t="s">
        <v>3902</v>
      </c>
    </row>
    <row r="463" spans="1:63" x14ac:dyDescent="0.25">
      <c r="A463">
        <v>4681</v>
      </c>
      <c r="B463" t="str">
        <f>"20200131140017168064"</f>
        <v>20200131140017168064</v>
      </c>
      <c r="C463">
        <v>1</v>
      </c>
      <c r="D463">
        <v>1</v>
      </c>
      <c r="E463" t="s">
        <v>3886</v>
      </c>
      <c r="F463">
        <v>2</v>
      </c>
      <c r="G463">
        <v>0</v>
      </c>
      <c r="H463" t="s">
        <v>66</v>
      </c>
      <c r="I463">
        <v>0</v>
      </c>
      <c r="J463" t="s">
        <v>66</v>
      </c>
      <c r="K463">
        <v>0</v>
      </c>
      <c r="L463" t="s">
        <v>66</v>
      </c>
      <c r="M463" t="s">
        <v>56</v>
      </c>
      <c r="N463">
        <v>0</v>
      </c>
      <c r="O463" t="s">
        <v>66</v>
      </c>
      <c r="P463" t="s">
        <v>56</v>
      </c>
      <c r="Q463">
        <v>0</v>
      </c>
      <c r="R463" t="s">
        <v>66</v>
      </c>
      <c r="S463" t="s">
        <v>56</v>
      </c>
      <c r="T463">
        <v>1</v>
      </c>
      <c r="U463" t="s">
        <v>1627</v>
      </c>
      <c r="V463" t="s">
        <v>56</v>
      </c>
      <c r="W463">
        <v>0</v>
      </c>
      <c r="X463" t="s">
        <v>66</v>
      </c>
      <c r="Y463" t="s">
        <v>56</v>
      </c>
      <c r="Z463">
        <v>0</v>
      </c>
      <c r="AA463" t="s">
        <v>66</v>
      </c>
      <c r="AB463" t="s">
        <v>56</v>
      </c>
      <c r="AC463">
        <v>1</v>
      </c>
      <c r="AD463" t="s">
        <v>1627</v>
      </c>
      <c r="AE463" t="s">
        <v>3887</v>
      </c>
      <c r="AF463">
        <v>0</v>
      </c>
      <c r="AG463" t="s">
        <v>66</v>
      </c>
      <c r="AH463" t="s">
        <v>56</v>
      </c>
      <c r="AI463">
        <v>1</v>
      </c>
      <c r="AJ463" t="s">
        <v>1627</v>
      </c>
      <c r="AK463" t="s">
        <v>56</v>
      </c>
      <c r="AL463" t="s">
        <v>56</v>
      </c>
      <c r="AM463" t="s">
        <v>56</v>
      </c>
      <c r="AN463" t="s">
        <v>56</v>
      </c>
      <c r="AO463" t="s">
        <v>4050</v>
      </c>
      <c r="AP463" t="s">
        <v>3962</v>
      </c>
      <c r="AQ463" t="s">
        <v>3963</v>
      </c>
      <c r="AR463" t="s">
        <v>3941</v>
      </c>
      <c r="AS463" t="s">
        <v>3942</v>
      </c>
      <c r="AT463" t="s">
        <v>5206</v>
      </c>
      <c r="AU463" t="s">
        <v>4026</v>
      </c>
      <c r="AV463" t="s">
        <v>4027</v>
      </c>
      <c r="AW463" t="s">
        <v>4028</v>
      </c>
      <c r="AX463">
        <v>8</v>
      </c>
      <c r="AY463">
        <v>2</v>
      </c>
      <c r="AZ463" t="s">
        <v>3897</v>
      </c>
      <c r="BA463">
        <v>10</v>
      </c>
      <c r="BB463" t="s">
        <v>3898</v>
      </c>
      <c r="BC463">
        <v>30</v>
      </c>
      <c r="BD463">
        <v>3</v>
      </c>
      <c r="BE463" t="s">
        <v>3911</v>
      </c>
      <c r="BF463">
        <v>90</v>
      </c>
      <c r="BG463">
        <v>66</v>
      </c>
      <c r="BH463" t="s">
        <v>3965</v>
      </c>
      <c r="BI463" t="s">
        <v>5207</v>
      </c>
      <c r="BJ463">
        <v>1</v>
      </c>
      <c r="BK463" t="s">
        <v>3902</v>
      </c>
    </row>
    <row r="464" spans="1:63" x14ac:dyDescent="0.25">
      <c r="A464">
        <v>4682</v>
      </c>
      <c r="B464" t="str">
        <f>"20200131163017168357"</f>
        <v>20200131163017168357</v>
      </c>
      <c r="C464">
        <v>1</v>
      </c>
      <c r="D464">
        <v>1</v>
      </c>
      <c r="E464" t="s">
        <v>3886</v>
      </c>
      <c r="F464">
        <v>1</v>
      </c>
      <c r="G464">
        <v>0</v>
      </c>
      <c r="H464" t="s">
        <v>66</v>
      </c>
      <c r="I464">
        <v>0</v>
      </c>
      <c r="J464" t="s">
        <v>66</v>
      </c>
      <c r="K464">
        <v>0</v>
      </c>
      <c r="L464" t="s">
        <v>66</v>
      </c>
      <c r="M464" t="s">
        <v>56</v>
      </c>
      <c r="N464">
        <v>0</v>
      </c>
      <c r="O464" t="s">
        <v>66</v>
      </c>
      <c r="P464" t="s">
        <v>56</v>
      </c>
      <c r="Q464">
        <v>0</v>
      </c>
      <c r="R464" t="s">
        <v>66</v>
      </c>
      <c r="S464" t="s">
        <v>56</v>
      </c>
      <c r="T464">
        <v>1</v>
      </c>
      <c r="U464" t="s">
        <v>1627</v>
      </c>
      <c r="V464" t="s">
        <v>56</v>
      </c>
      <c r="W464">
        <v>0</v>
      </c>
      <c r="X464" t="s">
        <v>66</v>
      </c>
      <c r="Y464" t="s">
        <v>56</v>
      </c>
      <c r="Z464">
        <v>0</v>
      </c>
      <c r="AA464" t="s">
        <v>66</v>
      </c>
      <c r="AB464" t="s">
        <v>56</v>
      </c>
      <c r="AC464">
        <v>1</v>
      </c>
      <c r="AD464" t="s">
        <v>1627</v>
      </c>
      <c r="AE464" t="s">
        <v>3887</v>
      </c>
      <c r="AF464">
        <v>0</v>
      </c>
      <c r="AG464" t="s">
        <v>66</v>
      </c>
      <c r="AH464" t="s">
        <v>56</v>
      </c>
      <c r="AI464">
        <v>1</v>
      </c>
      <c r="AJ464" t="s">
        <v>1627</v>
      </c>
      <c r="AK464" t="s">
        <v>56</v>
      </c>
      <c r="AL464" t="s">
        <v>56</v>
      </c>
      <c r="AM464" t="s">
        <v>56</v>
      </c>
      <c r="AN464" t="s">
        <v>56</v>
      </c>
      <c r="AO464" t="s">
        <v>3975</v>
      </c>
      <c r="AP464" t="s">
        <v>3962</v>
      </c>
      <c r="AQ464" t="s">
        <v>3963</v>
      </c>
      <c r="AR464" t="s">
        <v>3941</v>
      </c>
      <c r="AS464" t="s">
        <v>3942</v>
      </c>
      <c r="AT464" t="s">
        <v>3968</v>
      </c>
      <c r="AU464" t="s">
        <v>3944</v>
      </c>
      <c r="AV464" t="s">
        <v>3945</v>
      </c>
      <c r="AW464" t="s">
        <v>3946</v>
      </c>
      <c r="AX464">
        <v>12</v>
      </c>
      <c r="AY464">
        <v>2</v>
      </c>
      <c r="AZ464" t="s">
        <v>3897</v>
      </c>
      <c r="BA464">
        <v>10</v>
      </c>
      <c r="BB464" t="s">
        <v>3898</v>
      </c>
      <c r="BC464">
        <v>90</v>
      </c>
      <c r="BD464">
        <v>3</v>
      </c>
      <c r="BE464" t="s">
        <v>3911</v>
      </c>
      <c r="BF464">
        <v>180</v>
      </c>
      <c r="BG464">
        <v>66</v>
      </c>
      <c r="BH464" t="s">
        <v>3965</v>
      </c>
      <c r="BI464" t="s">
        <v>3969</v>
      </c>
      <c r="BJ464">
        <v>1</v>
      </c>
      <c r="BK464" t="s">
        <v>3902</v>
      </c>
    </row>
    <row r="465" spans="1:63" x14ac:dyDescent="0.25">
      <c r="A465">
        <v>4683</v>
      </c>
      <c r="B465" t="str">
        <f>"20200131165017168562"</f>
        <v>20200131165017168562</v>
      </c>
      <c r="C465">
        <v>1</v>
      </c>
      <c r="D465">
        <v>1</v>
      </c>
      <c r="E465" t="s">
        <v>3886</v>
      </c>
      <c r="F465">
        <v>2</v>
      </c>
      <c r="G465">
        <v>0</v>
      </c>
      <c r="H465" t="s">
        <v>66</v>
      </c>
      <c r="I465">
        <v>0</v>
      </c>
      <c r="J465" t="s">
        <v>66</v>
      </c>
      <c r="K465">
        <v>0</v>
      </c>
      <c r="L465" t="s">
        <v>66</v>
      </c>
      <c r="M465" t="s">
        <v>56</v>
      </c>
      <c r="N465">
        <v>0</v>
      </c>
      <c r="O465" t="s">
        <v>66</v>
      </c>
      <c r="P465" t="s">
        <v>56</v>
      </c>
      <c r="Q465">
        <v>0</v>
      </c>
      <c r="R465" t="s">
        <v>66</v>
      </c>
      <c r="S465" t="s">
        <v>56</v>
      </c>
      <c r="T465">
        <v>1</v>
      </c>
      <c r="U465" t="s">
        <v>1627</v>
      </c>
      <c r="V465" t="s">
        <v>56</v>
      </c>
      <c r="W465">
        <v>0</v>
      </c>
      <c r="X465" t="s">
        <v>66</v>
      </c>
      <c r="Y465" t="s">
        <v>56</v>
      </c>
      <c r="Z465">
        <v>0</v>
      </c>
      <c r="AA465" t="s">
        <v>66</v>
      </c>
      <c r="AB465" t="s">
        <v>56</v>
      </c>
      <c r="AC465">
        <v>1</v>
      </c>
      <c r="AD465" t="s">
        <v>1627</v>
      </c>
      <c r="AE465" t="s">
        <v>3887</v>
      </c>
      <c r="AF465">
        <v>0</v>
      </c>
      <c r="AG465" t="s">
        <v>66</v>
      </c>
      <c r="AH465" t="s">
        <v>56</v>
      </c>
      <c r="AI465">
        <v>1</v>
      </c>
      <c r="AJ465" t="s">
        <v>1627</v>
      </c>
      <c r="AK465" t="s">
        <v>56</v>
      </c>
      <c r="AL465" t="s">
        <v>56</v>
      </c>
      <c r="AM465" t="s">
        <v>56</v>
      </c>
      <c r="AN465" t="s">
        <v>56</v>
      </c>
      <c r="AO465" t="s">
        <v>5208</v>
      </c>
      <c r="AP465" t="s">
        <v>3939</v>
      </c>
      <c r="AQ465" t="s">
        <v>3940</v>
      </c>
      <c r="AR465" t="s">
        <v>3941</v>
      </c>
      <c r="AS465" t="s">
        <v>3942</v>
      </c>
      <c r="AT465" t="s">
        <v>5209</v>
      </c>
      <c r="AU465">
        <v>9000</v>
      </c>
      <c r="AV465" t="s">
        <v>3956</v>
      </c>
      <c r="AW465" t="s">
        <v>3956</v>
      </c>
      <c r="AX465">
        <v>12</v>
      </c>
      <c r="AY465">
        <v>2</v>
      </c>
      <c r="AZ465" t="s">
        <v>3897</v>
      </c>
      <c r="BA465">
        <v>10</v>
      </c>
      <c r="BB465" t="s">
        <v>3898</v>
      </c>
      <c r="BC465">
        <v>60</v>
      </c>
      <c r="BD465">
        <v>3</v>
      </c>
      <c r="BE465" t="s">
        <v>3911</v>
      </c>
      <c r="BF465">
        <v>120</v>
      </c>
      <c r="BG465">
        <v>66</v>
      </c>
      <c r="BH465" t="s">
        <v>3965</v>
      </c>
      <c r="BI465" t="s">
        <v>5210</v>
      </c>
      <c r="BJ465">
        <v>1</v>
      </c>
      <c r="BK465" t="s">
        <v>3902</v>
      </c>
    </row>
    <row r="466" spans="1:63" x14ac:dyDescent="0.25">
      <c r="A466">
        <v>4375</v>
      </c>
      <c r="B466" t="str">
        <f>"20200129130017106180"</f>
        <v>20200129130017106180</v>
      </c>
      <c r="C466">
        <v>1</v>
      </c>
      <c r="D466">
        <v>1</v>
      </c>
      <c r="E466" t="s">
        <v>3886</v>
      </c>
      <c r="F466">
        <v>1</v>
      </c>
      <c r="G466">
        <v>0</v>
      </c>
      <c r="H466" t="s">
        <v>66</v>
      </c>
      <c r="I466">
        <v>0</v>
      </c>
      <c r="J466" t="s">
        <v>66</v>
      </c>
      <c r="K466">
        <v>1</v>
      </c>
      <c r="L466" t="s">
        <v>1627</v>
      </c>
      <c r="M466" t="s">
        <v>5075</v>
      </c>
      <c r="N466">
        <v>1</v>
      </c>
      <c r="O466" t="s">
        <v>1627</v>
      </c>
      <c r="P466" t="s">
        <v>4747</v>
      </c>
      <c r="Q466">
        <v>0</v>
      </c>
      <c r="R466" t="s">
        <v>66</v>
      </c>
      <c r="S466" t="s">
        <v>56</v>
      </c>
      <c r="T466" t="s">
        <v>56</v>
      </c>
      <c r="U466" t="s">
        <v>56</v>
      </c>
      <c r="V466" t="s">
        <v>56</v>
      </c>
      <c r="W466">
        <v>0</v>
      </c>
      <c r="X466" t="s">
        <v>66</v>
      </c>
      <c r="Y466" t="s">
        <v>56</v>
      </c>
      <c r="Z466">
        <v>0</v>
      </c>
      <c r="AA466" t="s">
        <v>66</v>
      </c>
      <c r="AB466" t="s">
        <v>56</v>
      </c>
      <c r="AC466">
        <v>0</v>
      </c>
      <c r="AD466" t="s">
        <v>66</v>
      </c>
      <c r="AE466" t="s">
        <v>56</v>
      </c>
      <c r="AF466">
        <v>0</v>
      </c>
      <c r="AG466" t="s">
        <v>66</v>
      </c>
      <c r="AH466" t="s">
        <v>56</v>
      </c>
      <c r="AI466">
        <v>1</v>
      </c>
      <c r="AJ466" t="s">
        <v>1627</v>
      </c>
      <c r="AK466" t="s">
        <v>56</v>
      </c>
      <c r="AL466" t="s">
        <v>56</v>
      </c>
      <c r="AM466" t="s">
        <v>56</v>
      </c>
      <c r="AN466" t="s">
        <v>56</v>
      </c>
      <c r="AO466" t="s">
        <v>5076</v>
      </c>
      <c r="AP466" t="s">
        <v>3962</v>
      </c>
      <c r="AQ466" t="s">
        <v>3963</v>
      </c>
      <c r="AR466" t="s">
        <v>3941</v>
      </c>
      <c r="AS466" t="s">
        <v>3942</v>
      </c>
      <c r="AT466" t="s">
        <v>5211</v>
      </c>
      <c r="AU466" t="s">
        <v>3944</v>
      </c>
      <c r="AV466" t="s">
        <v>3945</v>
      </c>
      <c r="AW466" t="s">
        <v>3946</v>
      </c>
      <c r="AX466">
        <v>12</v>
      </c>
      <c r="AY466">
        <v>2</v>
      </c>
      <c r="AZ466" t="s">
        <v>3897</v>
      </c>
      <c r="BA466">
        <v>10</v>
      </c>
      <c r="BB466" t="s">
        <v>3898</v>
      </c>
      <c r="BC466">
        <v>90</v>
      </c>
      <c r="BD466">
        <v>3</v>
      </c>
      <c r="BE466" t="s">
        <v>3911</v>
      </c>
      <c r="BF466">
        <v>180</v>
      </c>
      <c r="BG466">
        <v>66</v>
      </c>
      <c r="BH466" t="s">
        <v>3965</v>
      </c>
      <c r="BI466" t="s">
        <v>5212</v>
      </c>
      <c r="BJ466">
        <v>1</v>
      </c>
      <c r="BK466" t="s">
        <v>3902</v>
      </c>
    </row>
    <row r="467" spans="1:63" x14ac:dyDescent="0.25">
      <c r="A467">
        <v>4376</v>
      </c>
      <c r="B467" t="str">
        <f>"20200129197017106319"</f>
        <v>20200129197017106319</v>
      </c>
      <c r="C467">
        <v>1</v>
      </c>
      <c r="D467">
        <v>1</v>
      </c>
      <c r="E467" t="s">
        <v>3886</v>
      </c>
      <c r="F467">
        <v>2</v>
      </c>
      <c r="G467">
        <v>0</v>
      </c>
      <c r="H467" t="s">
        <v>66</v>
      </c>
      <c r="I467">
        <v>0</v>
      </c>
      <c r="J467" t="s">
        <v>66</v>
      </c>
      <c r="K467">
        <v>1</v>
      </c>
      <c r="L467" t="s">
        <v>1627</v>
      </c>
      <c r="M467" t="s">
        <v>3976</v>
      </c>
      <c r="N467">
        <v>1</v>
      </c>
      <c r="O467" t="s">
        <v>1627</v>
      </c>
      <c r="P467" t="s">
        <v>5213</v>
      </c>
      <c r="Q467">
        <v>0</v>
      </c>
      <c r="R467" t="s">
        <v>66</v>
      </c>
      <c r="S467" t="s">
        <v>56</v>
      </c>
      <c r="T467" t="s">
        <v>56</v>
      </c>
      <c r="U467" t="s">
        <v>56</v>
      </c>
      <c r="V467" t="s">
        <v>56</v>
      </c>
      <c r="W467">
        <v>0</v>
      </c>
      <c r="X467" t="s">
        <v>66</v>
      </c>
      <c r="Y467" t="s">
        <v>56</v>
      </c>
      <c r="Z467">
        <v>0</v>
      </c>
      <c r="AA467" t="s">
        <v>66</v>
      </c>
      <c r="AB467" t="s">
        <v>56</v>
      </c>
      <c r="AC467">
        <v>0</v>
      </c>
      <c r="AD467" t="s">
        <v>66</v>
      </c>
      <c r="AE467" t="s">
        <v>56</v>
      </c>
      <c r="AF467">
        <v>0</v>
      </c>
      <c r="AG467" t="s">
        <v>66</v>
      </c>
      <c r="AH467" t="s">
        <v>56</v>
      </c>
      <c r="AI467">
        <v>1</v>
      </c>
      <c r="AJ467" t="s">
        <v>1627</v>
      </c>
      <c r="AK467" t="s">
        <v>56</v>
      </c>
      <c r="AL467" t="s">
        <v>56</v>
      </c>
      <c r="AM467" t="s">
        <v>56</v>
      </c>
      <c r="AN467" t="s">
        <v>56</v>
      </c>
      <c r="AO467" t="s">
        <v>4076</v>
      </c>
      <c r="AP467" t="s">
        <v>3962</v>
      </c>
      <c r="AQ467" t="s">
        <v>3963</v>
      </c>
      <c r="AR467" t="s">
        <v>3941</v>
      </c>
      <c r="AS467" t="s">
        <v>3942</v>
      </c>
      <c r="AT467" t="s">
        <v>5214</v>
      </c>
      <c r="AU467">
        <v>9000</v>
      </c>
      <c r="AV467" t="s">
        <v>3956</v>
      </c>
      <c r="AW467" t="s">
        <v>3956</v>
      </c>
      <c r="AX467">
        <v>12</v>
      </c>
      <c r="AY467">
        <v>2</v>
      </c>
      <c r="AZ467" t="s">
        <v>3897</v>
      </c>
      <c r="BA467">
        <v>10</v>
      </c>
      <c r="BB467" t="s">
        <v>3898</v>
      </c>
      <c r="BC467">
        <v>3</v>
      </c>
      <c r="BD467">
        <v>5</v>
      </c>
      <c r="BE467" t="s">
        <v>3899</v>
      </c>
      <c r="BF467">
        <v>180</v>
      </c>
      <c r="BG467">
        <v>66</v>
      </c>
      <c r="BH467" t="s">
        <v>3965</v>
      </c>
      <c r="BI467" t="s">
        <v>5215</v>
      </c>
      <c r="BJ467">
        <v>1</v>
      </c>
      <c r="BK467" t="s">
        <v>3902</v>
      </c>
    </row>
    <row r="468" spans="1:63" x14ac:dyDescent="0.25">
      <c r="A468">
        <v>4377</v>
      </c>
      <c r="B468" t="str">
        <f>"20200129119017106379"</f>
        <v>20200129119017106379</v>
      </c>
      <c r="C468">
        <v>1</v>
      </c>
      <c r="D468">
        <v>1</v>
      </c>
      <c r="E468" t="s">
        <v>3886</v>
      </c>
      <c r="F468">
        <v>1</v>
      </c>
      <c r="G468">
        <v>0</v>
      </c>
      <c r="H468" t="s">
        <v>66</v>
      </c>
      <c r="I468">
        <v>0</v>
      </c>
      <c r="J468" t="s">
        <v>66</v>
      </c>
      <c r="K468">
        <v>0</v>
      </c>
      <c r="L468" t="s">
        <v>66</v>
      </c>
      <c r="M468" t="s">
        <v>56</v>
      </c>
      <c r="N468">
        <v>0</v>
      </c>
      <c r="O468" t="s">
        <v>66</v>
      </c>
      <c r="P468" t="s">
        <v>56</v>
      </c>
      <c r="Q468">
        <v>0</v>
      </c>
      <c r="R468" t="s">
        <v>66</v>
      </c>
      <c r="S468" t="s">
        <v>56</v>
      </c>
      <c r="T468">
        <v>1</v>
      </c>
      <c r="U468" t="s">
        <v>1627</v>
      </c>
      <c r="V468" t="s">
        <v>56</v>
      </c>
      <c r="W468">
        <v>0</v>
      </c>
      <c r="X468" t="s">
        <v>66</v>
      </c>
      <c r="Y468" t="s">
        <v>56</v>
      </c>
      <c r="Z468">
        <v>0</v>
      </c>
      <c r="AA468" t="s">
        <v>66</v>
      </c>
      <c r="AB468" t="s">
        <v>56</v>
      </c>
      <c r="AC468">
        <v>1</v>
      </c>
      <c r="AD468" t="s">
        <v>1627</v>
      </c>
      <c r="AE468" t="s">
        <v>3887</v>
      </c>
      <c r="AF468">
        <v>0</v>
      </c>
      <c r="AG468" t="s">
        <v>66</v>
      </c>
      <c r="AH468" t="s">
        <v>56</v>
      </c>
      <c r="AI468">
        <v>1</v>
      </c>
      <c r="AJ468" t="s">
        <v>1627</v>
      </c>
      <c r="AK468" t="s">
        <v>56</v>
      </c>
      <c r="AL468" t="s">
        <v>56</v>
      </c>
      <c r="AM468" t="s">
        <v>56</v>
      </c>
      <c r="AN468" t="s">
        <v>56</v>
      </c>
      <c r="AO468" t="s">
        <v>4567</v>
      </c>
      <c r="AP468" t="s">
        <v>3939</v>
      </c>
      <c r="AQ468" t="s">
        <v>3940</v>
      </c>
      <c r="AR468" t="s">
        <v>3941</v>
      </c>
      <c r="AS468" t="s">
        <v>3942</v>
      </c>
      <c r="AT468" t="s">
        <v>5216</v>
      </c>
      <c r="AU468" t="s">
        <v>3944</v>
      </c>
      <c r="AV468" t="s">
        <v>3945</v>
      </c>
      <c r="AW468" t="s">
        <v>3946</v>
      </c>
      <c r="AX468">
        <v>12</v>
      </c>
      <c r="AY468">
        <v>2</v>
      </c>
      <c r="AZ468" t="s">
        <v>3897</v>
      </c>
      <c r="BA468">
        <v>1</v>
      </c>
      <c r="BB468" t="s">
        <v>4149</v>
      </c>
      <c r="BC468">
        <v>90</v>
      </c>
      <c r="BD468">
        <v>3</v>
      </c>
      <c r="BE468" t="s">
        <v>3911</v>
      </c>
      <c r="BF468">
        <v>180</v>
      </c>
      <c r="BG468">
        <v>66</v>
      </c>
      <c r="BH468" t="s">
        <v>3965</v>
      </c>
      <c r="BI468" t="s">
        <v>5217</v>
      </c>
      <c r="BJ468">
        <v>1</v>
      </c>
      <c r="BK468" t="s">
        <v>3902</v>
      </c>
    </row>
    <row r="469" spans="1:63" x14ac:dyDescent="0.25">
      <c r="A469">
        <v>4378</v>
      </c>
      <c r="B469" t="str">
        <f>"20200129131017106390"</f>
        <v>20200129131017106390</v>
      </c>
      <c r="C469">
        <v>1</v>
      </c>
      <c r="D469">
        <v>1</v>
      </c>
      <c r="E469" t="s">
        <v>3886</v>
      </c>
      <c r="F469">
        <v>2</v>
      </c>
      <c r="G469">
        <v>0</v>
      </c>
      <c r="H469" t="s">
        <v>66</v>
      </c>
      <c r="I469">
        <v>0</v>
      </c>
      <c r="J469" t="s">
        <v>66</v>
      </c>
      <c r="K469">
        <v>1</v>
      </c>
      <c r="L469" t="s">
        <v>1627</v>
      </c>
      <c r="M469" t="s">
        <v>4708</v>
      </c>
      <c r="N469">
        <v>1</v>
      </c>
      <c r="O469" t="s">
        <v>1627</v>
      </c>
      <c r="P469" t="s">
        <v>5218</v>
      </c>
      <c r="Q469">
        <v>0</v>
      </c>
      <c r="R469" t="s">
        <v>66</v>
      </c>
      <c r="S469" t="s">
        <v>56</v>
      </c>
      <c r="T469" t="s">
        <v>56</v>
      </c>
      <c r="U469" t="s">
        <v>56</v>
      </c>
      <c r="V469" t="s">
        <v>56</v>
      </c>
      <c r="W469">
        <v>0</v>
      </c>
      <c r="X469" t="s">
        <v>66</v>
      </c>
      <c r="Y469" t="s">
        <v>56</v>
      </c>
      <c r="Z469">
        <v>0</v>
      </c>
      <c r="AA469" t="s">
        <v>66</v>
      </c>
      <c r="AB469" t="s">
        <v>56</v>
      </c>
      <c r="AC469">
        <v>0</v>
      </c>
      <c r="AD469" t="s">
        <v>66</v>
      </c>
      <c r="AE469" t="s">
        <v>56</v>
      </c>
      <c r="AF469">
        <v>0</v>
      </c>
      <c r="AG469" t="s">
        <v>66</v>
      </c>
      <c r="AH469" t="s">
        <v>56</v>
      </c>
      <c r="AI469">
        <v>1</v>
      </c>
      <c r="AJ469" t="s">
        <v>1627</v>
      </c>
      <c r="AK469" t="s">
        <v>56</v>
      </c>
      <c r="AL469" t="s">
        <v>56</v>
      </c>
      <c r="AM469" t="s">
        <v>56</v>
      </c>
      <c r="AN469" t="s">
        <v>56</v>
      </c>
      <c r="AO469" t="s">
        <v>4710</v>
      </c>
      <c r="AP469" t="s">
        <v>4077</v>
      </c>
      <c r="AQ469" t="s">
        <v>4078</v>
      </c>
      <c r="AR469" t="s">
        <v>3941</v>
      </c>
      <c r="AS469" t="s">
        <v>3942</v>
      </c>
      <c r="AT469" t="s">
        <v>5219</v>
      </c>
      <c r="AU469">
        <v>9000</v>
      </c>
      <c r="AV469" t="s">
        <v>3956</v>
      </c>
      <c r="AW469" t="s">
        <v>3956</v>
      </c>
      <c r="AX469">
        <v>1</v>
      </c>
      <c r="AY469">
        <v>3</v>
      </c>
      <c r="AZ469" t="s">
        <v>3911</v>
      </c>
      <c r="BA469">
        <v>10</v>
      </c>
      <c r="BB469" t="s">
        <v>3898</v>
      </c>
      <c r="BC469">
        <v>100</v>
      </c>
      <c r="BD469">
        <v>3</v>
      </c>
      <c r="BE469" t="s">
        <v>3911</v>
      </c>
      <c r="BF469">
        <v>100</v>
      </c>
      <c r="BG469">
        <v>66</v>
      </c>
      <c r="BH469" t="s">
        <v>3965</v>
      </c>
      <c r="BI469" t="s">
        <v>5220</v>
      </c>
      <c r="BJ469">
        <v>1</v>
      </c>
      <c r="BK469" t="s">
        <v>3902</v>
      </c>
    </row>
    <row r="470" spans="1:63" x14ac:dyDescent="0.25">
      <c r="A470">
        <v>4379</v>
      </c>
      <c r="B470" t="str">
        <f>"20200129169017106411"</f>
        <v>20200129169017106411</v>
      </c>
      <c r="C470">
        <v>1</v>
      </c>
      <c r="D470">
        <v>1</v>
      </c>
      <c r="E470" t="s">
        <v>3886</v>
      </c>
      <c r="F470">
        <v>2</v>
      </c>
      <c r="G470">
        <v>0</v>
      </c>
      <c r="H470" t="s">
        <v>66</v>
      </c>
      <c r="I470">
        <v>0</v>
      </c>
      <c r="J470" t="s">
        <v>66</v>
      </c>
      <c r="K470">
        <v>1</v>
      </c>
      <c r="L470" t="s">
        <v>1627</v>
      </c>
      <c r="M470" t="s">
        <v>4517</v>
      </c>
      <c r="N470">
        <v>1</v>
      </c>
      <c r="O470" t="s">
        <v>1627</v>
      </c>
      <c r="P470" t="s">
        <v>5221</v>
      </c>
      <c r="Q470">
        <v>0</v>
      </c>
      <c r="R470" t="s">
        <v>66</v>
      </c>
      <c r="S470" t="s">
        <v>56</v>
      </c>
      <c r="T470" t="s">
        <v>56</v>
      </c>
      <c r="U470" t="s">
        <v>56</v>
      </c>
      <c r="V470" t="s">
        <v>56</v>
      </c>
      <c r="W470">
        <v>0</v>
      </c>
      <c r="X470" t="s">
        <v>66</v>
      </c>
      <c r="Y470" t="s">
        <v>56</v>
      </c>
      <c r="Z470">
        <v>0</v>
      </c>
      <c r="AA470" t="s">
        <v>66</v>
      </c>
      <c r="AB470" t="s">
        <v>56</v>
      </c>
      <c r="AC470">
        <v>0</v>
      </c>
      <c r="AD470" t="s">
        <v>66</v>
      </c>
      <c r="AE470" t="s">
        <v>56</v>
      </c>
      <c r="AF470">
        <v>0</v>
      </c>
      <c r="AG470" t="s">
        <v>66</v>
      </c>
      <c r="AH470" t="s">
        <v>56</v>
      </c>
      <c r="AI470">
        <v>1</v>
      </c>
      <c r="AJ470" t="s">
        <v>1627</v>
      </c>
      <c r="AK470" t="s">
        <v>56</v>
      </c>
      <c r="AL470" t="s">
        <v>56</v>
      </c>
      <c r="AM470" t="s">
        <v>56</v>
      </c>
      <c r="AN470" t="s">
        <v>56</v>
      </c>
      <c r="AO470" t="s">
        <v>4339</v>
      </c>
      <c r="AP470" t="s">
        <v>3962</v>
      </c>
      <c r="AQ470" t="s">
        <v>3963</v>
      </c>
      <c r="AR470" t="s">
        <v>3941</v>
      </c>
      <c r="AS470" t="s">
        <v>3942</v>
      </c>
      <c r="AT470" t="s">
        <v>5222</v>
      </c>
      <c r="AU470" t="s">
        <v>3944</v>
      </c>
      <c r="AV470" t="s">
        <v>3945</v>
      </c>
      <c r="AW470" t="s">
        <v>3946</v>
      </c>
      <c r="AX470">
        <v>24</v>
      </c>
      <c r="AY470">
        <v>2</v>
      </c>
      <c r="AZ470" t="s">
        <v>3897</v>
      </c>
      <c r="BA470">
        <v>10</v>
      </c>
      <c r="BB470" t="s">
        <v>3898</v>
      </c>
      <c r="BC470">
        <v>90</v>
      </c>
      <c r="BD470">
        <v>3</v>
      </c>
      <c r="BE470" t="s">
        <v>3911</v>
      </c>
      <c r="BF470">
        <v>90</v>
      </c>
      <c r="BG470">
        <v>66</v>
      </c>
      <c r="BH470" t="s">
        <v>3965</v>
      </c>
      <c r="BI470" t="s">
        <v>5223</v>
      </c>
      <c r="BJ470">
        <v>1</v>
      </c>
      <c r="BK470" t="s">
        <v>3902</v>
      </c>
    </row>
    <row r="471" spans="1:63" x14ac:dyDescent="0.25">
      <c r="A471">
        <v>4380</v>
      </c>
      <c r="B471" t="str">
        <f>"20200129111017106850"</f>
        <v>20200129111017106850</v>
      </c>
      <c r="C471">
        <v>1</v>
      </c>
      <c r="D471">
        <v>1</v>
      </c>
      <c r="E471" t="s">
        <v>3886</v>
      </c>
      <c r="F471">
        <v>2</v>
      </c>
      <c r="G471">
        <v>0</v>
      </c>
      <c r="H471" t="s">
        <v>66</v>
      </c>
      <c r="I471">
        <v>0</v>
      </c>
      <c r="J471" t="s">
        <v>66</v>
      </c>
      <c r="K471">
        <v>1</v>
      </c>
      <c r="L471" t="s">
        <v>1627</v>
      </c>
      <c r="M471" t="s">
        <v>4708</v>
      </c>
      <c r="N471">
        <v>1</v>
      </c>
      <c r="O471" t="s">
        <v>1627</v>
      </c>
      <c r="P471" t="s">
        <v>4709</v>
      </c>
      <c r="Q471">
        <v>0</v>
      </c>
      <c r="R471" t="s">
        <v>66</v>
      </c>
      <c r="S471" t="s">
        <v>56</v>
      </c>
      <c r="T471" t="s">
        <v>56</v>
      </c>
      <c r="U471" t="s">
        <v>56</v>
      </c>
      <c r="V471" t="s">
        <v>56</v>
      </c>
      <c r="W471">
        <v>0</v>
      </c>
      <c r="X471" t="s">
        <v>66</v>
      </c>
      <c r="Y471" t="s">
        <v>56</v>
      </c>
      <c r="Z471">
        <v>0</v>
      </c>
      <c r="AA471" t="s">
        <v>66</v>
      </c>
      <c r="AB471" t="s">
        <v>56</v>
      </c>
      <c r="AC471">
        <v>0</v>
      </c>
      <c r="AD471" t="s">
        <v>66</v>
      </c>
      <c r="AE471" t="s">
        <v>56</v>
      </c>
      <c r="AF471">
        <v>0</v>
      </c>
      <c r="AG471" t="s">
        <v>66</v>
      </c>
      <c r="AH471" t="s">
        <v>56</v>
      </c>
      <c r="AI471">
        <v>1</v>
      </c>
      <c r="AJ471" t="s">
        <v>1627</v>
      </c>
      <c r="AK471" t="s">
        <v>56</v>
      </c>
      <c r="AL471" t="s">
        <v>56</v>
      </c>
      <c r="AM471" t="s">
        <v>56</v>
      </c>
      <c r="AN471" t="s">
        <v>56</v>
      </c>
      <c r="AO471" t="s">
        <v>4710</v>
      </c>
      <c r="AP471" t="s">
        <v>4077</v>
      </c>
      <c r="AQ471" t="s">
        <v>4078</v>
      </c>
      <c r="AR471" t="s">
        <v>3941</v>
      </c>
      <c r="AS471" t="s">
        <v>3942</v>
      </c>
      <c r="AT471" t="s">
        <v>5219</v>
      </c>
      <c r="AU471">
        <v>9000</v>
      </c>
      <c r="AV471" t="s">
        <v>3956</v>
      </c>
      <c r="AW471" t="s">
        <v>3956</v>
      </c>
      <c r="AX471">
        <v>1</v>
      </c>
      <c r="AY471">
        <v>3</v>
      </c>
      <c r="AZ471" t="s">
        <v>3911</v>
      </c>
      <c r="BA471">
        <v>10</v>
      </c>
      <c r="BB471" t="s">
        <v>3898</v>
      </c>
      <c r="BC471">
        <v>100</v>
      </c>
      <c r="BD471">
        <v>3</v>
      </c>
      <c r="BE471" t="s">
        <v>3911</v>
      </c>
      <c r="BF471">
        <v>100</v>
      </c>
      <c r="BG471">
        <v>66</v>
      </c>
      <c r="BH471" t="s">
        <v>3965</v>
      </c>
      <c r="BI471" t="s">
        <v>4712</v>
      </c>
      <c r="BJ471">
        <v>1</v>
      </c>
      <c r="BK471" t="s">
        <v>3902</v>
      </c>
    </row>
    <row r="472" spans="1:63" x14ac:dyDescent="0.25">
      <c r="A472">
        <v>4381</v>
      </c>
      <c r="B472" t="str">
        <f>"20200129121017107130"</f>
        <v>20200129121017107130</v>
      </c>
      <c r="C472">
        <v>1</v>
      </c>
      <c r="D472">
        <v>1</v>
      </c>
      <c r="E472" t="s">
        <v>3886</v>
      </c>
      <c r="F472">
        <v>2</v>
      </c>
      <c r="G472">
        <v>0</v>
      </c>
      <c r="H472" t="s">
        <v>66</v>
      </c>
      <c r="I472">
        <v>0</v>
      </c>
      <c r="J472" t="s">
        <v>66</v>
      </c>
      <c r="K472">
        <v>1</v>
      </c>
      <c r="L472" t="s">
        <v>1627</v>
      </c>
      <c r="M472" t="s">
        <v>3976</v>
      </c>
      <c r="N472">
        <v>1</v>
      </c>
      <c r="O472" t="s">
        <v>1627</v>
      </c>
      <c r="P472" t="s">
        <v>5224</v>
      </c>
      <c r="Q472">
        <v>0</v>
      </c>
      <c r="R472" t="s">
        <v>66</v>
      </c>
      <c r="S472" t="s">
        <v>56</v>
      </c>
      <c r="T472" t="s">
        <v>56</v>
      </c>
      <c r="U472" t="s">
        <v>56</v>
      </c>
      <c r="V472" t="s">
        <v>56</v>
      </c>
      <c r="W472">
        <v>0</v>
      </c>
      <c r="X472" t="s">
        <v>66</v>
      </c>
      <c r="Y472" t="s">
        <v>56</v>
      </c>
      <c r="Z472">
        <v>0</v>
      </c>
      <c r="AA472" t="s">
        <v>66</v>
      </c>
      <c r="AB472" t="s">
        <v>56</v>
      </c>
      <c r="AC472">
        <v>0</v>
      </c>
      <c r="AD472" t="s">
        <v>66</v>
      </c>
      <c r="AE472" t="s">
        <v>56</v>
      </c>
      <c r="AF472">
        <v>0</v>
      </c>
      <c r="AG472" t="s">
        <v>66</v>
      </c>
      <c r="AH472" t="s">
        <v>56</v>
      </c>
      <c r="AI472">
        <v>1</v>
      </c>
      <c r="AJ472" t="s">
        <v>1627</v>
      </c>
      <c r="AK472" t="s">
        <v>56</v>
      </c>
      <c r="AL472" t="s">
        <v>56</v>
      </c>
      <c r="AM472" t="s">
        <v>56</v>
      </c>
      <c r="AN472" t="s">
        <v>56</v>
      </c>
      <c r="AO472" t="s">
        <v>5225</v>
      </c>
      <c r="AP472" t="s">
        <v>3962</v>
      </c>
      <c r="AQ472" t="s">
        <v>3963</v>
      </c>
      <c r="AR472" t="s">
        <v>3941</v>
      </c>
      <c r="AS472" t="s">
        <v>3942</v>
      </c>
      <c r="AT472" t="s">
        <v>5226</v>
      </c>
      <c r="AU472">
        <v>9000</v>
      </c>
      <c r="AV472" t="s">
        <v>3956</v>
      </c>
      <c r="AW472" t="s">
        <v>3956</v>
      </c>
      <c r="AX472">
        <v>24</v>
      </c>
      <c r="AY472">
        <v>2</v>
      </c>
      <c r="AZ472" t="s">
        <v>3897</v>
      </c>
      <c r="BA472">
        <v>10</v>
      </c>
      <c r="BB472" t="s">
        <v>3898</v>
      </c>
      <c r="BC472">
        <v>3</v>
      </c>
      <c r="BD472">
        <v>5</v>
      </c>
      <c r="BE472" t="s">
        <v>3899</v>
      </c>
      <c r="BF472">
        <v>90</v>
      </c>
      <c r="BG472">
        <v>66</v>
      </c>
      <c r="BH472" t="s">
        <v>3965</v>
      </c>
      <c r="BI472" t="s">
        <v>5227</v>
      </c>
      <c r="BJ472">
        <v>1</v>
      </c>
      <c r="BK472" t="s">
        <v>3902</v>
      </c>
    </row>
    <row r="473" spans="1:63" x14ac:dyDescent="0.25">
      <c r="A473">
        <v>4382</v>
      </c>
      <c r="B473" t="str">
        <f>"20200129152017107298"</f>
        <v>20200129152017107298</v>
      </c>
      <c r="C473">
        <v>1</v>
      </c>
      <c r="D473">
        <v>1</v>
      </c>
      <c r="E473" t="s">
        <v>3886</v>
      </c>
      <c r="F473">
        <v>2</v>
      </c>
      <c r="G473">
        <v>0</v>
      </c>
      <c r="H473" t="s">
        <v>66</v>
      </c>
      <c r="I473">
        <v>0</v>
      </c>
      <c r="J473" t="s">
        <v>66</v>
      </c>
      <c r="K473">
        <v>1</v>
      </c>
      <c r="L473" t="s">
        <v>1627</v>
      </c>
      <c r="M473" t="s">
        <v>4241</v>
      </c>
      <c r="N473">
        <v>1</v>
      </c>
      <c r="O473" t="s">
        <v>1627</v>
      </c>
      <c r="P473" t="s">
        <v>5228</v>
      </c>
      <c r="Q473">
        <v>0</v>
      </c>
      <c r="R473" t="s">
        <v>66</v>
      </c>
      <c r="S473" t="s">
        <v>56</v>
      </c>
      <c r="T473" t="s">
        <v>56</v>
      </c>
      <c r="U473" t="s">
        <v>56</v>
      </c>
      <c r="V473" t="s">
        <v>56</v>
      </c>
      <c r="W473">
        <v>0</v>
      </c>
      <c r="X473" t="s">
        <v>66</v>
      </c>
      <c r="Y473" t="s">
        <v>56</v>
      </c>
      <c r="Z473">
        <v>0</v>
      </c>
      <c r="AA473" t="s">
        <v>66</v>
      </c>
      <c r="AB473" t="s">
        <v>56</v>
      </c>
      <c r="AC473">
        <v>0</v>
      </c>
      <c r="AD473" t="s">
        <v>66</v>
      </c>
      <c r="AE473" t="s">
        <v>56</v>
      </c>
      <c r="AF473">
        <v>0</v>
      </c>
      <c r="AG473" t="s">
        <v>66</v>
      </c>
      <c r="AH473" t="s">
        <v>56</v>
      </c>
      <c r="AI473">
        <v>1</v>
      </c>
      <c r="AJ473" t="s">
        <v>1627</v>
      </c>
      <c r="AK473" t="s">
        <v>56</v>
      </c>
      <c r="AL473" t="s">
        <v>56</v>
      </c>
      <c r="AM473" t="s">
        <v>56</v>
      </c>
      <c r="AN473" t="s">
        <v>56</v>
      </c>
      <c r="AO473" t="s">
        <v>5229</v>
      </c>
      <c r="AP473" t="s">
        <v>4058</v>
      </c>
      <c r="AQ473" t="s">
        <v>4059</v>
      </c>
      <c r="AR473" t="s">
        <v>3920</v>
      </c>
      <c r="AS473" t="s">
        <v>3921</v>
      </c>
      <c r="AT473" t="s">
        <v>5230</v>
      </c>
      <c r="AU473" t="s">
        <v>3907</v>
      </c>
      <c r="AV473" t="s">
        <v>3908</v>
      </c>
      <c r="AW473" t="s">
        <v>3909</v>
      </c>
      <c r="AX473">
        <v>24</v>
      </c>
      <c r="AY473">
        <v>2</v>
      </c>
      <c r="AZ473" t="s">
        <v>3897</v>
      </c>
      <c r="BA473">
        <v>10</v>
      </c>
      <c r="BB473" t="s">
        <v>3898</v>
      </c>
      <c r="BC473">
        <v>3</v>
      </c>
      <c r="BD473">
        <v>5</v>
      </c>
      <c r="BE473" t="s">
        <v>3899</v>
      </c>
      <c r="BF473">
        <v>9</v>
      </c>
      <c r="BG473">
        <v>37</v>
      </c>
      <c r="BH473" t="s">
        <v>4007</v>
      </c>
      <c r="BI473" t="s">
        <v>5231</v>
      </c>
      <c r="BJ473">
        <v>1</v>
      </c>
      <c r="BK473" t="s">
        <v>3902</v>
      </c>
    </row>
    <row r="474" spans="1:63" x14ac:dyDescent="0.25">
      <c r="A474">
        <v>4383</v>
      </c>
      <c r="B474" t="str">
        <f>"20200129152017107298"</f>
        <v>20200129152017107298</v>
      </c>
      <c r="C474">
        <v>2</v>
      </c>
      <c r="D474">
        <v>1</v>
      </c>
      <c r="E474" t="s">
        <v>3886</v>
      </c>
      <c r="F474">
        <v>2</v>
      </c>
      <c r="G474">
        <v>0</v>
      </c>
      <c r="H474" t="s">
        <v>66</v>
      </c>
      <c r="I474">
        <v>0</v>
      </c>
      <c r="J474" t="s">
        <v>66</v>
      </c>
      <c r="K474">
        <v>1</v>
      </c>
      <c r="L474" t="s">
        <v>1627</v>
      </c>
      <c r="M474" t="s">
        <v>5232</v>
      </c>
      <c r="N474">
        <v>1</v>
      </c>
      <c r="O474" t="s">
        <v>1627</v>
      </c>
      <c r="P474" t="s">
        <v>5233</v>
      </c>
      <c r="Q474">
        <v>0</v>
      </c>
      <c r="R474" t="s">
        <v>66</v>
      </c>
      <c r="S474" t="s">
        <v>56</v>
      </c>
      <c r="T474" t="s">
        <v>56</v>
      </c>
      <c r="U474" t="s">
        <v>56</v>
      </c>
      <c r="V474" t="s">
        <v>56</v>
      </c>
      <c r="W474">
        <v>0</v>
      </c>
      <c r="X474" t="s">
        <v>66</v>
      </c>
      <c r="Y474" t="s">
        <v>56</v>
      </c>
      <c r="Z474">
        <v>0</v>
      </c>
      <c r="AA474" t="s">
        <v>66</v>
      </c>
      <c r="AB474" t="s">
        <v>56</v>
      </c>
      <c r="AC474">
        <v>0</v>
      </c>
      <c r="AD474" t="s">
        <v>66</v>
      </c>
      <c r="AE474" t="s">
        <v>56</v>
      </c>
      <c r="AF474">
        <v>0</v>
      </c>
      <c r="AG474" t="s">
        <v>66</v>
      </c>
      <c r="AH474" t="s">
        <v>56</v>
      </c>
      <c r="AI474">
        <v>1</v>
      </c>
      <c r="AJ474" t="s">
        <v>1627</v>
      </c>
      <c r="AK474" t="s">
        <v>56</v>
      </c>
      <c r="AL474" t="s">
        <v>56</v>
      </c>
      <c r="AM474" t="s">
        <v>56</v>
      </c>
      <c r="AN474" t="s">
        <v>56</v>
      </c>
      <c r="AO474" t="s">
        <v>5072</v>
      </c>
      <c r="AP474" t="s">
        <v>3962</v>
      </c>
      <c r="AQ474" t="s">
        <v>3963</v>
      </c>
      <c r="AR474" t="s">
        <v>3941</v>
      </c>
      <c r="AS474" t="s">
        <v>3942</v>
      </c>
      <c r="AT474" t="s">
        <v>5234</v>
      </c>
      <c r="AU474" t="s">
        <v>3944</v>
      </c>
      <c r="AV474" t="s">
        <v>3945</v>
      </c>
      <c r="AW474" t="s">
        <v>3946</v>
      </c>
      <c r="AX474">
        <v>24</v>
      </c>
      <c r="AY474">
        <v>2</v>
      </c>
      <c r="AZ474" t="s">
        <v>3897</v>
      </c>
      <c r="BA474">
        <v>10</v>
      </c>
      <c r="BB474" t="s">
        <v>3898</v>
      </c>
      <c r="BC474">
        <v>3</v>
      </c>
      <c r="BD474">
        <v>5</v>
      </c>
      <c r="BE474" t="s">
        <v>3899</v>
      </c>
      <c r="BF474">
        <v>90</v>
      </c>
      <c r="BG474">
        <v>66</v>
      </c>
      <c r="BH474" t="s">
        <v>3965</v>
      </c>
      <c r="BI474" t="s">
        <v>5231</v>
      </c>
      <c r="BJ474">
        <v>1</v>
      </c>
      <c r="BK474" t="s">
        <v>3902</v>
      </c>
    </row>
    <row r="475" spans="1:63" x14ac:dyDescent="0.25">
      <c r="A475">
        <v>4384</v>
      </c>
      <c r="B475" t="str">
        <f>"20200129195017107443"</f>
        <v>20200129195017107443</v>
      </c>
      <c r="C475">
        <v>1</v>
      </c>
      <c r="D475">
        <v>1</v>
      </c>
      <c r="E475" t="s">
        <v>3886</v>
      </c>
      <c r="F475">
        <v>2</v>
      </c>
      <c r="G475">
        <v>0</v>
      </c>
      <c r="H475" t="s">
        <v>66</v>
      </c>
      <c r="I475">
        <v>0</v>
      </c>
      <c r="J475" t="s">
        <v>66</v>
      </c>
      <c r="K475">
        <v>1</v>
      </c>
      <c r="L475" t="s">
        <v>1627</v>
      </c>
      <c r="M475" t="s">
        <v>4708</v>
      </c>
      <c r="N475">
        <v>1</v>
      </c>
      <c r="O475" t="s">
        <v>1627</v>
      </c>
      <c r="P475" t="s">
        <v>4709</v>
      </c>
      <c r="Q475">
        <v>0</v>
      </c>
      <c r="R475" t="s">
        <v>66</v>
      </c>
      <c r="S475" t="s">
        <v>56</v>
      </c>
      <c r="T475" t="s">
        <v>56</v>
      </c>
      <c r="U475" t="s">
        <v>56</v>
      </c>
      <c r="V475" t="s">
        <v>56</v>
      </c>
      <c r="W475">
        <v>0</v>
      </c>
      <c r="X475" t="s">
        <v>66</v>
      </c>
      <c r="Y475" t="s">
        <v>56</v>
      </c>
      <c r="Z475">
        <v>0</v>
      </c>
      <c r="AA475" t="s">
        <v>66</v>
      </c>
      <c r="AB475" t="s">
        <v>56</v>
      </c>
      <c r="AC475">
        <v>0</v>
      </c>
      <c r="AD475" t="s">
        <v>66</v>
      </c>
      <c r="AE475" t="s">
        <v>56</v>
      </c>
      <c r="AF475">
        <v>0</v>
      </c>
      <c r="AG475" t="s">
        <v>66</v>
      </c>
      <c r="AH475" t="s">
        <v>56</v>
      </c>
      <c r="AI475">
        <v>1</v>
      </c>
      <c r="AJ475" t="s">
        <v>1627</v>
      </c>
      <c r="AK475" t="s">
        <v>56</v>
      </c>
      <c r="AL475" t="s">
        <v>56</v>
      </c>
      <c r="AM475" t="s">
        <v>56</v>
      </c>
      <c r="AN475" t="s">
        <v>56</v>
      </c>
      <c r="AO475" t="s">
        <v>4710</v>
      </c>
      <c r="AP475" t="s">
        <v>4077</v>
      </c>
      <c r="AQ475" t="s">
        <v>4078</v>
      </c>
      <c r="AR475" t="s">
        <v>3941</v>
      </c>
      <c r="AS475" t="s">
        <v>3942</v>
      </c>
      <c r="AT475" t="s">
        <v>5219</v>
      </c>
      <c r="AU475">
        <v>9000</v>
      </c>
      <c r="AV475" t="s">
        <v>3956</v>
      </c>
      <c r="AW475" t="s">
        <v>3956</v>
      </c>
      <c r="AX475">
        <v>1</v>
      </c>
      <c r="AY475">
        <v>3</v>
      </c>
      <c r="AZ475" t="s">
        <v>3911</v>
      </c>
      <c r="BA475">
        <v>10</v>
      </c>
      <c r="BB475" t="s">
        <v>3898</v>
      </c>
      <c r="BC475">
        <v>100</v>
      </c>
      <c r="BD475">
        <v>3</v>
      </c>
      <c r="BE475" t="s">
        <v>3911</v>
      </c>
      <c r="BF475">
        <v>100</v>
      </c>
      <c r="BG475">
        <v>66</v>
      </c>
      <c r="BH475" t="s">
        <v>3965</v>
      </c>
      <c r="BI475" t="s">
        <v>4712</v>
      </c>
      <c r="BJ475">
        <v>1</v>
      </c>
      <c r="BK475" t="s">
        <v>3902</v>
      </c>
    </row>
    <row r="476" spans="1:63" x14ac:dyDescent="0.25">
      <c r="A476">
        <v>4385</v>
      </c>
      <c r="B476" t="str">
        <f>"20200129150017107705"</f>
        <v>20200129150017107705</v>
      </c>
      <c r="C476">
        <v>1</v>
      </c>
      <c r="D476">
        <v>1</v>
      </c>
      <c r="E476" t="s">
        <v>3886</v>
      </c>
      <c r="F476">
        <v>2</v>
      </c>
      <c r="G476">
        <v>0</v>
      </c>
      <c r="H476" t="s">
        <v>66</v>
      </c>
      <c r="I476">
        <v>0</v>
      </c>
      <c r="J476" t="s">
        <v>66</v>
      </c>
      <c r="K476">
        <v>0</v>
      </c>
      <c r="L476" t="s">
        <v>66</v>
      </c>
      <c r="M476" t="s">
        <v>56</v>
      </c>
      <c r="N476">
        <v>0</v>
      </c>
      <c r="O476" t="s">
        <v>66</v>
      </c>
      <c r="P476" t="s">
        <v>56</v>
      </c>
      <c r="Q476">
        <v>0</v>
      </c>
      <c r="R476" t="s">
        <v>66</v>
      </c>
      <c r="S476" t="s">
        <v>56</v>
      </c>
      <c r="T476">
        <v>1</v>
      </c>
      <c r="U476" t="s">
        <v>1627</v>
      </c>
      <c r="V476" t="s">
        <v>56</v>
      </c>
      <c r="W476">
        <v>0</v>
      </c>
      <c r="X476" t="s">
        <v>66</v>
      </c>
      <c r="Y476" t="s">
        <v>56</v>
      </c>
      <c r="Z476">
        <v>0</v>
      </c>
      <c r="AA476" t="s">
        <v>66</v>
      </c>
      <c r="AB476" t="s">
        <v>56</v>
      </c>
      <c r="AC476">
        <v>1</v>
      </c>
      <c r="AD476" t="s">
        <v>1627</v>
      </c>
      <c r="AE476" t="s">
        <v>3887</v>
      </c>
      <c r="AF476">
        <v>0</v>
      </c>
      <c r="AG476" t="s">
        <v>66</v>
      </c>
      <c r="AH476" t="s">
        <v>56</v>
      </c>
      <c r="AI476">
        <v>1</v>
      </c>
      <c r="AJ476" t="s">
        <v>1627</v>
      </c>
      <c r="AK476" t="s">
        <v>56</v>
      </c>
      <c r="AL476" t="s">
        <v>56</v>
      </c>
      <c r="AM476" t="s">
        <v>56</v>
      </c>
      <c r="AN476" t="s">
        <v>56</v>
      </c>
      <c r="AO476" t="s">
        <v>4076</v>
      </c>
      <c r="AP476" t="s">
        <v>3962</v>
      </c>
      <c r="AQ476" t="s">
        <v>3963</v>
      </c>
      <c r="AR476" t="s">
        <v>3941</v>
      </c>
      <c r="AS476" t="s">
        <v>3942</v>
      </c>
      <c r="AT476" t="s">
        <v>5235</v>
      </c>
      <c r="AU476" t="s">
        <v>3944</v>
      </c>
      <c r="AV476" t="s">
        <v>3945</v>
      </c>
      <c r="AW476" t="s">
        <v>3946</v>
      </c>
      <c r="AX476">
        <v>12</v>
      </c>
      <c r="AY476">
        <v>2</v>
      </c>
      <c r="AZ476" t="s">
        <v>3897</v>
      </c>
      <c r="BA476">
        <v>10</v>
      </c>
      <c r="BB476" t="s">
        <v>3898</v>
      </c>
      <c r="BC476">
        <v>90</v>
      </c>
      <c r="BD476">
        <v>3</v>
      </c>
      <c r="BE476" t="s">
        <v>3911</v>
      </c>
      <c r="BF476">
        <v>180</v>
      </c>
      <c r="BG476">
        <v>66</v>
      </c>
      <c r="BH476" t="s">
        <v>3965</v>
      </c>
      <c r="BI476" t="s">
        <v>5236</v>
      </c>
      <c r="BJ476">
        <v>1</v>
      </c>
      <c r="BK476" t="s">
        <v>3902</v>
      </c>
    </row>
    <row r="477" spans="1:63" x14ac:dyDescent="0.25">
      <c r="A477">
        <v>4386</v>
      </c>
      <c r="B477" t="str">
        <f>"20200129154017107792"</f>
        <v>20200129154017107792</v>
      </c>
      <c r="C477">
        <v>1</v>
      </c>
      <c r="D477">
        <v>1</v>
      </c>
      <c r="E477" t="s">
        <v>3886</v>
      </c>
      <c r="F477">
        <v>2</v>
      </c>
      <c r="G477">
        <v>0</v>
      </c>
      <c r="H477" t="s">
        <v>66</v>
      </c>
      <c r="I477">
        <v>0</v>
      </c>
      <c r="J477" t="s">
        <v>66</v>
      </c>
      <c r="K477">
        <v>0</v>
      </c>
      <c r="L477" t="s">
        <v>66</v>
      </c>
      <c r="M477" t="s">
        <v>56</v>
      </c>
      <c r="N477">
        <v>0</v>
      </c>
      <c r="O477" t="s">
        <v>66</v>
      </c>
      <c r="P477" t="s">
        <v>56</v>
      </c>
      <c r="Q477">
        <v>0</v>
      </c>
      <c r="R477" t="s">
        <v>66</v>
      </c>
      <c r="S477" t="s">
        <v>56</v>
      </c>
      <c r="T477">
        <v>1</v>
      </c>
      <c r="U477" t="s">
        <v>1627</v>
      </c>
      <c r="V477" t="s">
        <v>56</v>
      </c>
      <c r="W477">
        <v>0</v>
      </c>
      <c r="X477" t="s">
        <v>66</v>
      </c>
      <c r="Y477" t="s">
        <v>56</v>
      </c>
      <c r="Z477">
        <v>0</v>
      </c>
      <c r="AA477" t="s">
        <v>66</v>
      </c>
      <c r="AB477" t="s">
        <v>56</v>
      </c>
      <c r="AC477">
        <v>1</v>
      </c>
      <c r="AD477" t="s">
        <v>1627</v>
      </c>
      <c r="AE477" t="s">
        <v>3887</v>
      </c>
      <c r="AF477">
        <v>0</v>
      </c>
      <c r="AG477" t="s">
        <v>66</v>
      </c>
      <c r="AH477" t="s">
        <v>56</v>
      </c>
      <c r="AI477">
        <v>1</v>
      </c>
      <c r="AJ477" t="s">
        <v>1627</v>
      </c>
      <c r="AK477" t="s">
        <v>56</v>
      </c>
      <c r="AL477" t="s">
        <v>56</v>
      </c>
      <c r="AM477" t="s">
        <v>56</v>
      </c>
      <c r="AN477" t="s">
        <v>56</v>
      </c>
      <c r="AO477" t="s">
        <v>5237</v>
      </c>
      <c r="AP477" t="s">
        <v>3889</v>
      </c>
      <c r="AQ477" t="s">
        <v>3890</v>
      </c>
      <c r="AR477" t="s">
        <v>3926</v>
      </c>
      <c r="AS477" t="s">
        <v>3927</v>
      </c>
      <c r="AT477" t="s">
        <v>5238</v>
      </c>
      <c r="AU477">
        <v>9000</v>
      </c>
      <c r="AV477" t="s">
        <v>3956</v>
      </c>
      <c r="AW477" t="s">
        <v>3956</v>
      </c>
      <c r="AX477">
        <v>12</v>
      </c>
      <c r="AY477">
        <v>2</v>
      </c>
      <c r="AZ477" t="s">
        <v>3897</v>
      </c>
      <c r="BA477">
        <v>10</v>
      </c>
      <c r="BB477" t="s">
        <v>3898</v>
      </c>
      <c r="BC477">
        <v>6</v>
      </c>
      <c r="BD477">
        <v>5</v>
      </c>
      <c r="BE477" t="s">
        <v>3899</v>
      </c>
      <c r="BF477">
        <v>6</v>
      </c>
      <c r="BG477">
        <v>13</v>
      </c>
      <c r="BH477" t="s">
        <v>3900</v>
      </c>
      <c r="BI477" t="s">
        <v>5239</v>
      </c>
      <c r="BJ477">
        <v>1</v>
      </c>
      <c r="BK477" t="s">
        <v>3902</v>
      </c>
    </row>
    <row r="478" spans="1:63" x14ac:dyDescent="0.25">
      <c r="A478">
        <v>4387</v>
      </c>
      <c r="B478" t="str">
        <f>"20200129178017107964"</f>
        <v>20200129178017107964</v>
      </c>
      <c r="C478">
        <v>1</v>
      </c>
      <c r="D478">
        <v>1</v>
      </c>
      <c r="E478" t="s">
        <v>3886</v>
      </c>
      <c r="F478">
        <v>1</v>
      </c>
      <c r="G478">
        <v>0</v>
      </c>
      <c r="H478" t="s">
        <v>66</v>
      </c>
      <c r="I478">
        <v>0</v>
      </c>
      <c r="J478" t="s">
        <v>66</v>
      </c>
      <c r="K478">
        <v>0</v>
      </c>
      <c r="L478" t="s">
        <v>66</v>
      </c>
      <c r="M478" t="s">
        <v>56</v>
      </c>
      <c r="N478">
        <v>0</v>
      </c>
      <c r="O478" t="s">
        <v>66</v>
      </c>
      <c r="P478" t="s">
        <v>56</v>
      </c>
      <c r="Q478">
        <v>0</v>
      </c>
      <c r="R478" t="s">
        <v>66</v>
      </c>
      <c r="S478" t="s">
        <v>56</v>
      </c>
      <c r="T478">
        <v>1</v>
      </c>
      <c r="U478" t="s">
        <v>1627</v>
      </c>
      <c r="V478" t="s">
        <v>56</v>
      </c>
      <c r="W478">
        <v>0</v>
      </c>
      <c r="X478" t="s">
        <v>66</v>
      </c>
      <c r="Y478" t="s">
        <v>56</v>
      </c>
      <c r="Z478">
        <v>0</v>
      </c>
      <c r="AA478" t="s">
        <v>66</v>
      </c>
      <c r="AB478" t="s">
        <v>56</v>
      </c>
      <c r="AC478">
        <v>1</v>
      </c>
      <c r="AD478" t="s">
        <v>1627</v>
      </c>
      <c r="AE478" t="s">
        <v>3887</v>
      </c>
      <c r="AF478">
        <v>0</v>
      </c>
      <c r="AG478" t="s">
        <v>66</v>
      </c>
      <c r="AH478" t="s">
        <v>56</v>
      </c>
      <c r="AI478">
        <v>1</v>
      </c>
      <c r="AJ478" t="s">
        <v>1627</v>
      </c>
      <c r="AK478" t="s">
        <v>56</v>
      </c>
      <c r="AL478" t="s">
        <v>56</v>
      </c>
      <c r="AM478" t="s">
        <v>56</v>
      </c>
      <c r="AN478" t="s">
        <v>56</v>
      </c>
      <c r="AO478" t="s">
        <v>5240</v>
      </c>
      <c r="AP478" t="s">
        <v>3889</v>
      </c>
      <c r="AQ478" t="s">
        <v>3890</v>
      </c>
      <c r="AR478" t="s">
        <v>4411</v>
      </c>
      <c r="AS478" t="s">
        <v>4412</v>
      </c>
      <c r="AT478" t="s">
        <v>5241</v>
      </c>
      <c r="AU478" t="s">
        <v>4213</v>
      </c>
      <c r="AV478" t="s">
        <v>4214</v>
      </c>
      <c r="AW478" t="s">
        <v>4215</v>
      </c>
      <c r="AX478">
        <v>1</v>
      </c>
      <c r="AY478">
        <v>3</v>
      </c>
      <c r="AZ478" t="s">
        <v>3911</v>
      </c>
      <c r="BA478">
        <v>1</v>
      </c>
      <c r="BB478" t="s">
        <v>4149</v>
      </c>
      <c r="BC478">
        <v>2</v>
      </c>
      <c r="BD478">
        <v>1</v>
      </c>
      <c r="BE478" t="s">
        <v>4099</v>
      </c>
      <c r="BF478">
        <v>1</v>
      </c>
      <c r="BG478">
        <v>75</v>
      </c>
      <c r="BH478" t="s">
        <v>4017</v>
      </c>
      <c r="BI478" t="s">
        <v>5242</v>
      </c>
      <c r="BJ478">
        <v>1</v>
      </c>
      <c r="BK478" t="s">
        <v>3902</v>
      </c>
    </row>
    <row r="479" spans="1:63" x14ac:dyDescent="0.25">
      <c r="A479">
        <v>4388</v>
      </c>
      <c r="B479" t="str">
        <f>"20200129163017108575"</f>
        <v>20200129163017108575</v>
      </c>
      <c r="C479">
        <v>1</v>
      </c>
      <c r="D479">
        <v>1</v>
      </c>
      <c r="E479" t="s">
        <v>3886</v>
      </c>
      <c r="F479">
        <v>2</v>
      </c>
      <c r="G479">
        <v>0</v>
      </c>
      <c r="H479" t="s">
        <v>66</v>
      </c>
      <c r="I479">
        <v>0</v>
      </c>
      <c r="J479" t="s">
        <v>66</v>
      </c>
      <c r="K479">
        <v>0</v>
      </c>
      <c r="L479" t="s">
        <v>66</v>
      </c>
      <c r="M479" t="s">
        <v>56</v>
      </c>
      <c r="N479">
        <v>0</v>
      </c>
      <c r="O479" t="s">
        <v>66</v>
      </c>
      <c r="P479" t="s">
        <v>56</v>
      </c>
      <c r="Q479">
        <v>0</v>
      </c>
      <c r="R479" t="s">
        <v>66</v>
      </c>
      <c r="S479" t="s">
        <v>56</v>
      </c>
      <c r="T479">
        <v>1</v>
      </c>
      <c r="U479" t="s">
        <v>1627</v>
      </c>
      <c r="V479" t="s">
        <v>56</v>
      </c>
      <c r="W479">
        <v>0</v>
      </c>
      <c r="X479" t="s">
        <v>66</v>
      </c>
      <c r="Y479" t="s">
        <v>56</v>
      </c>
      <c r="Z479">
        <v>0</v>
      </c>
      <c r="AA479" t="s">
        <v>66</v>
      </c>
      <c r="AB479" t="s">
        <v>56</v>
      </c>
      <c r="AC479">
        <v>1</v>
      </c>
      <c r="AD479" t="s">
        <v>1627</v>
      </c>
      <c r="AE479" t="s">
        <v>3887</v>
      </c>
      <c r="AF479">
        <v>0</v>
      </c>
      <c r="AG479" t="s">
        <v>66</v>
      </c>
      <c r="AH479" t="s">
        <v>56</v>
      </c>
      <c r="AI479">
        <v>1</v>
      </c>
      <c r="AJ479" t="s">
        <v>1627</v>
      </c>
      <c r="AK479" t="s">
        <v>56</v>
      </c>
      <c r="AL479" t="s">
        <v>56</v>
      </c>
      <c r="AM479" t="s">
        <v>56</v>
      </c>
      <c r="AN479" t="s">
        <v>56</v>
      </c>
      <c r="AO479" t="s">
        <v>4381</v>
      </c>
      <c r="AP479" t="s">
        <v>3962</v>
      </c>
      <c r="AQ479" t="s">
        <v>3963</v>
      </c>
      <c r="AR479" t="s">
        <v>3941</v>
      </c>
      <c r="AS479" t="s">
        <v>3942</v>
      </c>
      <c r="AT479" t="s">
        <v>5243</v>
      </c>
      <c r="AU479">
        <v>9000</v>
      </c>
      <c r="AV479" t="s">
        <v>3956</v>
      </c>
      <c r="AW479" t="s">
        <v>3956</v>
      </c>
      <c r="AX479">
        <v>48</v>
      </c>
      <c r="AY479">
        <v>2</v>
      </c>
      <c r="AZ479" t="s">
        <v>3897</v>
      </c>
      <c r="BA479">
        <v>10</v>
      </c>
      <c r="BB479" t="s">
        <v>3898</v>
      </c>
      <c r="BC479">
        <v>90</v>
      </c>
      <c r="BD479">
        <v>3</v>
      </c>
      <c r="BE479" t="s">
        <v>3911</v>
      </c>
      <c r="BF479">
        <v>40</v>
      </c>
      <c r="BG479">
        <v>66</v>
      </c>
      <c r="BH479" t="s">
        <v>3965</v>
      </c>
      <c r="BI479" t="s">
        <v>5244</v>
      </c>
      <c r="BJ479">
        <v>1</v>
      </c>
      <c r="BK479" t="s">
        <v>3902</v>
      </c>
    </row>
    <row r="480" spans="1:63" x14ac:dyDescent="0.25">
      <c r="A480">
        <v>4405</v>
      </c>
      <c r="B480" t="str">
        <f>"20200129157017111330"</f>
        <v>20200129157017111330</v>
      </c>
      <c r="C480">
        <v>1</v>
      </c>
      <c r="D480">
        <v>1</v>
      </c>
      <c r="E480" t="s">
        <v>3886</v>
      </c>
      <c r="F480">
        <v>2</v>
      </c>
      <c r="G480">
        <v>0</v>
      </c>
      <c r="H480" t="s">
        <v>66</v>
      </c>
      <c r="I480">
        <v>0</v>
      </c>
      <c r="J480" t="s">
        <v>66</v>
      </c>
      <c r="K480">
        <v>0</v>
      </c>
      <c r="L480" t="s">
        <v>66</v>
      </c>
      <c r="M480" t="s">
        <v>56</v>
      </c>
      <c r="N480">
        <v>0</v>
      </c>
      <c r="O480" t="s">
        <v>66</v>
      </c>
      <c r="P480" t="s">
        <v>56</v>
      </c>
      <c r="Q480">
        <v>0</v>
      </c>
      <c r="R480" t="s">
        <v>66</v>
      </c>
      <c r="S480" t="s">
        <v>56</v>
      </c>
      <c r="T480">
        <v>1</v>
      </c>
      <c r="U480" t="s">
        <v>1627</v>
      </c>
      <c r="V480" t="s">
        <v>56</v>
      </c>
      <c r="W480">
        <v>0</v>
      </c>
      <c r="X480" t="s">
        <v>66</v>
      </c>
      <c r="Y480" t="s">
        <v>56</v>
      </c>
      <c r="Z480">
        <v>0</v>
      </c>
      <c r="AA480" t="s">
        <v>66</v>
      </c>
      <c r="AB480" t="s">
        <v>56</v>
      </c>
      <c r="AC480">
        <v>1</v>
      </c>
      <c r="AD480" t="s">
        <v>1627</v>
      </c>
      <c r="AE480" t="s">
        <v>3887</v>
      </c>
      <c r="AF480">
        <v>0</v>
      </c>
      <c r="AG480" t="s">
        <v>66</v>
      </c>
      <c r="AH480" t="s">
        <v>56</v>
      </c>
      <c r="AI480">
        <v>1</v>
      </c>
      <c r="AJ480" t="s">
        <v>1627</v>
      </c>
      <c r="AK480" t="s">
        <v>56</v>
      </c>
      <c r="AL480" t="s">
        <v>56</v>
      </c>
      <c r="AM480" t="s">
        <v>56</v>
      </c>
      <c r="AN480" t="s">
        <v>56</v>
      </c>
      <c r="AO480" t="s">
        <v>4046</v>
      </c>
      <c r="AP480" t="s">
        <v>3889</v>
      </c>
      <c r="AQ480" t="s">
        <v>3890</v>
      </c>
      <c r="AR480" t="s">
        <v>3926</v>
      </c>
      <c r="AS480" t="s">
        <v>3927</v>
      </c>
      <c r="AT480" t="s">
        <v>5245</v>
      </c>
      <c r="AU480" t="s">
        <v>3894</v>
      </c>
      <c r="AV480" t="s">
        <v>3895</v>
      </c>
      <c r="AW480" t="s">
        <v>3896</v>
      </c>
      <c r="AX480">
        <v>12</v>
      </c>
      <c r="AY480">
        <v>2</v>
      </c>
      <c r="AZ480" t="s">
        <v>3897</v>
      </c>
      <c r="BA480">
        <v>10</v>
      </c>
      <c r="BB480" t="s">
        <v>3898</v>
      </c>
      <c r="BC480">
        <v>90</v>
      </c>
      <c r="BD480">
        <v>3</v>
      </c>
      <c r="BE480" t="s">
        <v>3911</v>
      </c>
      <c r="BF480">
        <v>3</v>
      </c>
      <c r="BG480">
        <v>13</v>
      </c>
      <c r="BH480" t="s">
        <v>3900</v>
      </c>
      <c r="BI480" t="s">
        <v>5246</v>
      </c>
      <c r="BJ480">
        <v>1</v>
      </c>
      <c r="BK480" t="s">
        <v>3902</v>
      </c>
    </row>
    <row r="481" spans="1:63" x14ac:dyDescent="0.25">
      <c r="A481">
        <v>4406</v>
      </c>
      <c r="B481" t="str">
        <f>"20200129182017111574"</f>
        <v>20200129182017111574</v>
      </c>
      <c r="C481">
        <v>1</v>
      </c>
      <c r="D481">
        <v>1</v>
      </c>
      <c r="E481" t="s">
        <v>3886</v>
      </c>
      <c r="F481">
        <v>1</v>
      </c>
      <c r="G481">
        <v>0</v>
      </c>
      <c r="H481" t="s">
        <v>66</v>
      </c>
      <c r="I481">
        <v>0</v>
      </c>
      <c r="J481" t="s">
        <v>66</v>
      </c>
      <c r="K481">
        <v>0</v>
      </c>
      <c r="L481" t="s">
        <v>66</v>
      </c>
      <c r="M481" t="s">
        <v>56</v>
      </c>
      <c r="N481">
        <v>0</v>
      </c>
      <c r="O481" t="s">
        <v>66</v>
      </c>
      <c r="P481" t="s">
        <v>56</v>
      </c>
      <c r="Q481">
        <v>0</v>
      </c>
      <c r="R481" t="s">
        <v>66</v>
      </c>
      <c r="S481" t="s">
        <v>56</v>
      </c>
      <c r="T481">
        <v>1</v>
      </c>
      <c r="U481" t="s">
        <v>1627</v>
      </c>
      <c r="V481" t="s">
        <v>56</v>
      </c>
      <c r="W481">
        <v>0</v>
      </c>
      <c r="X481" t="s">
        <v>66</v>
      </c>
      <c r="Y481" t="s">
        <v>56</v>
      </c>
      <c r="Z481">
        <v>0</v>
      </c>
      <c r="AA481" t="s">
        <v>66</v>
      </c>
      <c r="AB481" t="s">
        <v>56</v>
      </c>
      <c r="AC481">
        <v>1</v>
      </c>
      <c r="AD481" t="s">
        <v>1627</v>
      </c>
      <c r="AE481" t="s">
        <v>3887</v>
      </c>
      <c r="AF481">
        <v>0</v>
      </c>
      <c r="AG481" t="s">
        <v>66</v>
      </c>
      <c r="AH481" t="s">
        <v>56</v>
      </c>
      <c r="AI481">
        <v>1</v>
      </c>
      <c r="AJ481" t="s">
        <v>1627</v>
      </c>
      <c r="AK481" t="s">
        <v>56</v>
      </c>
      <c r="AL481" t="s">
        <v>56</v>
      </c>
      <c r="AM481" t="s">
        <v>56</v>
      </c>
      <c r="AN481" t="s">
        <v>56</v>
      </c>
      <c r="AO481" t="s">
        <v>5013</v>
      </c>
      <c r="AP481" t="s">
        <v>3962</v>
      </c>
      <c r="AQ481" t="s">
        <v>3963</v>
      </c>
      <c r="AR481" t="s">
        <v>3941</v>
      </c>
      <c r="AS481" t="s">
        <v>3942</v>
      </c>
      <c r="AT481" t="s">
        <v>5247</v>
      </c>
      <c r="AU481" t="s">
        <v>4026</v>
      </c>
      <c r="AV481" t="s">
        <v>4027</v>
      </c>
      <c r="AW481" t="s">
        <v>4028</v>
      </c>
      <c r="AX481">
        <v>12</v>
      </c>
      <c r="AY481">
        <v>2</v>
      </c>
      <c r="AZ481" t="s">
        <v>3897</v>
      </c>
      <c r="BA481">
        <v>10</v>
      </c>
      <c r="BB481" t="s">
        <v>3898</v>
      </c>
      <c r="BC481">
        <v>90</v>
      </c>
      <c r="BD481">
        <v>3</v>
      </c>
      <c r="BE481" t="s">
        <v>3911</v>
      </c>
      <c r="BF481">
        <v>180</v>
      </c>
      <c r="BG481">
        <v>74</v>
      </c>
      <c r="BH481" t="s">
        <v>3923</v>
      </c>
      <c r="BI481" t="s">
        <v>5248</v>
      </c>
      <c r="BJ481">
        <v>1</v>
      </c>
      <c r="BK481" t="s">
        <v>3902</v>
      </c>
    </row>
    <row r="482" spans="1:63" x14ac:dyDescent="0.25">
      <c r="A482">
        <v>4407</v>
      </c>
      <c r="B482" t="str">
        <f>"20200129165017111605"</f>
        <v>20200129165017111605</v>
      </c>
      <c r="C482">
        <v>1</v>
      </c>
      <c r="D482">
        <v>1</v>
      </c>
      <c r="E482" t="s">
        <v>3886</v>
      </c>
      <c r="F482">
        <v>2</v>
      </c>
      <c r="G482">
        <v>0</v>
      </c>
      <c r="H482" t="s">
        <v>66</v>
      </c>
      <c r="I482">
        <v>0</v>
      </c>
      <c r="J482" t="s">
        <v>66</v>
      </c>
      <c r="K482">
        <v>1</v>
      </c>
      <c r="L482" t="s">
        <v>1627</v>
      </c>
      <c r="M482" t="s">
        <v>5249</v>
      </c>
      <c r="N482">
        <v>1</v>
      </c>
      <c r="O482" t="s">
        <v>1627</v>
      </c>
      <c r="P482" t="s">
        <v>5250</v>
      </c>
      <c r="Q482">
        <v>0</v>
      </c>
      <c r="R482" t="s">
        <v>66</v>
      </c>
      <c r="S482" t="s">
        <v>56</v>
      </c>
      <c r="T482" t="s">
        <v>56</v>
      </c>
      <c r="U482" t="s">
        <v>56</v>
      </c>
      <c r="V482" t="s">
        <v>56</v>
      </c>
      <c r="W482">
        <v>0</v>
      </c>
      <c r="X482" t="s">
        <v>66</v>
      </c>
      <c r="Y482" t="s">
        <v>56</v>
      </c>
      <c r="Z482">
        <v>0</v>
      </c>
      <c r="AA482" t="s">
        <v>66</v>
      </c>
      <c r="AB482" t="s">
        <v>56</v>
      </c>
      <c r="AC482">
        <v>0</v>
      </c>
      <c r="AD482" t="s">
        <v>66</v>
      </c>
      <c r="AE482" t="s">
        <v>56</v>
      </c>
      <c r="AF482">
        <v>0</v>
      </c>
      <c r="AG482" t="s">
        <v>66</v>
      </c>
      <c r="AH482" t="s">
        <v>56</v>
      </c>
      <c r="AI482">
        <v>1</v>
      </c>
      <c r="AJ482" t="s">
        <v>1627</v>
      </c>
      <c r="AK482">
        <v>0</v>
      </c>
      <c r="AL482" t="s">
        <v>66</v>
      </c>
      <c r="AM482" t="s">
        <v>56</v>
      </c>
      <c r="AN482" t="s">
        <v>56</v>
      </c>
      <c r="AO482" t="s">
        <v>4183</v>
      </c>
      <c r="AP482" t="s">
        <v>3962</v>
      </c>
      <c r="AQ482" t="s">
        <v>3963</v>
      </c>
      <c r="AR482" t="s">
        <v>3941</v>
      </c>
      <c r="AS482" t="s">
        <v>3942</v>
      </c>
      <c r="AT482" t="s">
        <v>5251</v>
      </c>
      <c r="AU482" t="s">
        <v>3929</v>
      </c>
      <c r="AV482" t="s">
        <v>3930</v>
      </c>
      <c r="AW482" t="s">
        <v>3931</v>
      </c>
      <c r="AX482">
        <v>12</v>
      </c>
      <c r="AY482">
        <v>2</v>
      </c>
      <c r="AZ482" t="s">
        <v>3897</v>
      </c>
      <c r="BA482">
        <v>10</v>
      </c>
      <c r="BB482" t="s">
        <v>3898</v>
      </c>
      <c r="BC482">
        <v>3</v>
      </c>
      <c r="BD482">
        <v>5</v>
      </c>
      <c r="BE482" t="s">
        <v>3899</v>
      </c>
      <c r="BF482">
        <v>336</v>
      </c>
      <c r="BG482">
        <v>66</v>
      </c>
      <c r="BH482" t="s">
        <v>3965</v>
      </c>
      <c r="BI482" t="s">
        <v>5252</v>
      </c>
      <c r="BJ482">
        <v>1</v>
      </c>
      <c r="BK482" t="s">
        <v>3902</v>
      </c>
    </row>
    <row r="483" spans="1:63" x14ac:dyDescent="0.25">
      <c r="A483">
        <v>4408</v>
      </c>
      <c r="B483" t="str">
        <f>"20200129173017111697"</f>
        <v>20200129173017111697</v>
      </c>
      <c r="C483">
        <v>1</v>
      </c>
      <c r="D483">
        <v>1</v>
      </c>
      <c r="E483" t="s">
        <v>3886</v>
      </c>
      <c r="F483">
        <v>2</v>
      </c>
      <c r="G483">
        <v>0</v>
      </c>
      <c r="H483" t="s">
        <v>66</v>
      </c>
      <c r="I483">
        <v>0</v>
      </c>
      <c r="J483" t="s">
        <v>66</v>
      </c>
      <c r="K483">
        <v>0</v>
      </c>
      <c r="L483" t="s">
        <v>66</v>
      </c>
      <c r="M483" t="s">
        <v>56</v>
      </c>
      <c r="N483">
        <v>0</v>
      </c>
      <c r="O483" t="s">
        <v>66</v>
      </c>
      <c r="P483" t="s">
        <v>56</v>
      </c>
      <c r="Q483">
        <v>0</v>
      </c>
      <c r="R483" t="s">
        <v>66</v>
      </c>
      <c r="S483" t="s">
        <v>56</v>
      </c>
      <c r="T483">
        <v>1</v>
      </c>
      <c r="U483" t="s">
        <v>1627</v>
      </c>
      <c r="V483" t="s">
        <v>56</v>
      </c>
      <c r="W483">
        <v>0</v>
      </c>
      <c r="X483" t="s">
        <v>66</v>
      </c>
      <c r="Y483" t="s">
        <v>56</v>
      </c>
      <c r="Z483">
        <v>0</v>
      </c>
      <c r="AA483" t="s">
        <v>66</v>
      </c>
      <c r="AB483" t="s">
        <v>56</v>
      </c>
      <c r="AC483">
        <v>1</v>
      </c>
      <c r="AD483" t="s">
        <v>1627</v>
      </c>
      <c r="AE483" t="s">
        <v>3887</v>
      </c>
      <c r="AF483">
        <v>0</v>
      </c>
      <c r="AG483" t="s">
        <v>66</v>
      </c>
      <c r="AH483" t="s">
        <v>56</v>
      </c>
      <c r="AI483">
        <v>1</v>
      </c>
      <c r="AJ483" t="s">
        <v>1627</v>
      </c>
      <c r="AK483" t="s">
        <v>56</v>
      </c>
      <c r="AL483" t="s">
        <v>56</v>
      </c>
      <c r="AM483" t="s">
        <v>56</v>
      </c>
      <c r="AN483" t="s">
        <v>56</v>
      </c>
      <c r="AO483" t="s">
        <v>4220</v>
      </c>
      <c r="AP483" t="s">
        <v>3889</v>
      </c>
      <c r="AQ483" t="s">
        <v>3890</v>
      </c>
      <c r="AR483" t="s">
        <v>3904</v>
      </c>
      <c r="AS483" t="s">
        <v>3905</v>
      </c>
      <c r="AT483" t="s">
        <v>5253</v>
      </c>
      <c r="AU483" t="s">
        <v>4316</v>
      </c>
      <c r="AV483" t="s">
        <v>4317</v>
      </c>
      <c r="AW483" t="s">
        <v>4318</v>
      </c>
      <c r="AX483">
        <v>1</v>
      </c>
      <c r="AY483">
        <v>2</v>
      </c>
      <c r="AZ483" t="s">
        <v>3897</v>
      </c>
      <c r="BA483">
        <v>5</v>
      </c>
      <c r="BB483" t="s">
        <v>3910</v>
      </c>
      <c r="BC483">
        <v>14</v>
      </c>
      <c r="BD483">
        <v>3</v>
      </c>
      <c r="BE483" t="s">
        <v>3911</v>
      </c>
      <c r="BF483">
        <v>17</v>
      </c>
      <c r="BG483" t="s">
        <v>3912</v>
      </c>
      <c r="BH483" t="s">
        <v>3913</v>
      </c>
      <c r="BI483" t="s">
        <v>5254</v>
      </c>
      <c r="BJ483">
        <v>1</v>
      </c>
      <c r="BK483" t="s">
        <v>3902</v>
      </c>
    </row>
    <row r="484" spans="1:63" x14ac:dyDescent="0.25">
      <c r="A484">
        <v>4409</v>
      </c>
      <c r="B484" t="str">
        <f>"20200129166017111753"</f>
        <v>20200129166017111753</v>
      </c>
      <c r="C484">
        <v>1</v>
      </c>
      <c r="D484">
        <v>1</v>
      </c>
      <c r="E484" t="s">
        <v>3886</v>
      </c>
      <c r="F484">
        <v>1</v>
      </c>
      <c r="G484">
        <v>0</v>
      </c>
      <c r="H484" t="s">
        <v>66</v>
      </c>
      <c r="I484">
        <v>0</v>
      </c>
      <c r="J484" t="s">
        <v>66</v>
      </c>
      <c r="K484">
        <v>1</v>
      </c>
      <c r="L484" t="s">
        <v>1627</v>
      </c>
      <c r="M484" t="s">
        <v>5255</v>
      </c>
      <c r="N484">
        <v>1</v>
      </c>
      <c r="O484" t="s">
        <v>1627</v>
      </c>
      <c r="P484" t="s">
        <v>4200</v>
      </c>
      <c r="Q484">
        <v>0</v>
      </c>
      <c r="R484" t="s">
        <v>66</v>
      </c>
      <c r="S484" t="s">
        <v>56</v>
      </c>
      <c r="T484" t="s">
        <v>56</v>
      </c>
      <c r="U484" t="s">
        <v>56</v>
      </c>
      <c r="V484" t="s">
        <v>56</v>
      </c>
      <c r="W484">
        <v>0</v>
      </c>
      <c r="X484" t="s">
        <v>66</v>
      </c>
      <c r="Y484" t="s">
        <v>56</v>
      </c>
      <c r="Z484">
        <v>0</v>
      </c>
      <c r="AA484" t="s">
        <v>66</v>
      </c>
      <c r="AB484" t="s">
        <v>56</v>
      </c>
      <c r="AC484">
        <v>0</v>
      </c>
      <c r="AD484" t="s">
        <v>66</v>
      </c>
      <c r="AE484" t="s">
        <v>56</v>
      </c>
      <c r="AF484">
        <v>0</v>
      </c>
      <c r="AG484" t="s">
        <v>66</v>
      </c>
      <c r="AH484" t="s">
        <v>56</v>
      </c>
      <c r="AI484">
        <v>1</v>
      </c>
      <c r="AJ484" t="s">
        <v>1627</v>
      </c>
      <c r="AK484" t="s">
        <v>56</v>
      </c>
      <c r="AL484" t="s">
        <v>56</v>
      </c>
      <c r="AM484" t="s">
        <v>56</v>
      </c>
      <c r="AN484" t="s">
        <v>56</v>
      </c>
      <c r="AO484" t="s">
        <v>4424</v>
      </c>
      <c r="AP484" t="s">
        <v>3962</v>
      </c>
      <c r="AQ484" t="s">
        <v>3963</v>
      </c>
      <c r="AR484" t="s">
        <v>3941</v>
      </c>
      <c r="AS484" t="s">
        <v>3942</v>
      </c>
      <c r="AT484" t="s">
        <v>5256</v>
      </c>
      <c r="AU484" t="s">
        <v>3944</v>
      </c>
      <c r="AV484" t="s">
        <v>3945</v>
      </c>
      <c r="AW484" t="s">
        <v>3946</v>
      </c>
      <c r="AX484">
        <v>24</v>
      </c>
      <c r="AY484">
        <v>2</v>
      </c>
      <c r="AZ484" t="s">
        <v>3897</v>
      </c>
      <c r="BA484">
        <v>10</v>
      </c>
      <c r="BB484" t="s">
        <v>3898</v>
      </c>
      <c r="BC484">
        <v>2</v>
      </c>
      <c r="BD484">
        <v>5</v>
      </c>
      <c r="BE484" t="s">
        <v>3899</v>
      </c>
      <c r="BF484">
        <v>60</v>
      </c>
      <c r="BG484">
        <v>66</v>
      </c>
      <c r="BH484" t="s">
        <v>3965</v>
      </c>
      <c r="BI484" t="s">
        <v>5257</v>
      </c>
      <c r="BJ484">
        <v>1</v>
      </c>
      <c r="BK484" t="s">
        <v>3902</v>
      </c>
    </row>
    <row r="485" spans="1:63" x14ac:dyDescent="0.25">
      <c r="A485">
        <v>4410</v>
      </c>
      <c r="B485" t="str">
        <f>"20200129121017111816"</f>
        <v>20200129121017111816</v>
      </c>
      <c r="C485">
        <v>1</v>
      </c>
      <c r="D485">
        <v>1</v>
      </c>
      <c r="E485" t="s">
        <v>3886</v>
      </c>
      <c r="F485">
        <v>1</v>
      </c>
      <c r="G485">
        <v>0</v>
      </c>
      <c r="H485" t="s">
        <v>66</v>
      </c>
      <c r="I485">
        <v>0</v>
      </c>
      <c r="J485" t="s">
        <v>66</v>
      </c>
      <c r="K485">
        <v>0</v>
      </c>
      <c r="L485" t="s">
        <v>66</v>
      </c>
      <c r="M485" t="s">
        <v>56</v>
      </c>
      <c r="N485">
        <v>0</v>
      </c>
      <c r="O485" t="s">
        <v>66</v>
      </c>
      <c r="P485" t="s">
        <v>56</v>
      </c>
      <c r="Q485">
        <v>0</v>
      </c>
      <c r="R485" t="s">
        <v>66</v>
      </c>
      <c r="S485" t="s">
        <v>56</v>
      </c>
      <c r="T485">
        <v>1</v>
      </c>
      <c r="U485" t="s">
        <v>1627</v>
      </c>
      <c r="V485" t="s">
        <v>56</v>
      </c>
      <c r="W485">
        <v>0</v>
      </c>
      <c r="X485" t="s">
        <v>66</v>
      </c>
      <c r="Y485" t="s">
        <v>56</v>
      </c>
      <c r="Z485">
        <v>0</v>
      </c>
      <c r="AA485" t="s">
        <v>66</v>
      </c>
      <c r="AB485" t="s">
        <v>56</v>
      </c>
      <c r="AC485">
        <v>1</v>
      </c>
      <c r="AD485" t="s">
        <v>1627</v>
      </c>
      <c r="AE485" t="s">
        <v>3887</v>
      </c>
      <c r="AF485">
        <v>0</v>
      </c>
      <c r="AG485" t="s">
        <v>66</v>
      </c>
      <c r="AH485" t="s">
        <v>56</v>
      </c>
      <c r="AI485">
        <v>1</v>
      </c>
      <c r="AJ485" t="s">
        <v>1627</v>
      </c>
      <c r="AK485" t="s">
        <v>56</v>
      </c>
      <c r="AL485" t="s">
        <v>56</v>
      </c>
      <c r="AM485" t="s">
        <v>56</v>
      </c>
      <c r="AN485" t="s">
        <v>56</v>
      </c>
      <c r="AO485" t="s">
        <v>4633</v>
      </c>
      <c r="AP485" t="s">
        <v>4077</v>
      </c>
      <c r="AQ485" t="s">
        <v>4078</v>
      </c>
      <c r="AR485" t="s">
        <v>3941</v>
      </c>
      <c r="AS485" t="s">
        <v>3942</v>
      </c>
      <c r="AT485" t="s">
        <v>5258</v>
      </c>
      <c r="AU485" t="s">
        <v>3944</v>
      </c>
      <c r="AV485" t="s">
        <v>3945</v>
      </c>
      <c r="AW485" t="s">
        <v>3946</v>
      </c>
      <c r="AX485">
        <v>12</v>
      </c>
      <c r="AY485">
        <v>5</v>
      </c>
      <c r="AZ485" t="s">
        <v>3899</v>
      </c>
      <c r="BA485">
        <v>10</v>
      </c>
      <c r="BB485" t="s">
        <v>3898</v>
      </c>
      <c r="BC485">
        <v>14</v>
      </c>
      <c r="BD485">
        <v>3</v>
      </c>
      <c r="BE485" t="s">
        <v>3911</v>
      </c>
      <c r="BF485">
        <v>28</v>
      </c>
      <c r="BG485">
        <v>66</v>
      </c>
      <c r="BH485" t="s">
        <v>3965</v>
      </c>
      <c r="BI485" t="s">
        <v>5259</v>
      </c>
      <c r="BJ485">
        <v>1</v>
      </c>
      <c r="BK485" t="s">
        <v>3902</v>
      </c>
    </row>
    <row r="486" spans="1:63" x14ac:dyDescent="0.25">
      <c r="A486">
        <v>4411</v>
      </c>
      <c r="B486" t="str">
        <f>"20200129177017111912"</f>
        <v>20200129177017111912</v>
      </c>
      <c r="C486">
        <v>1</v>
      </c>
      <c r="D486">
        <v>1</v>
      </c>
      <c r="E486" t="s">
        <v>3886</v>
      </c>
      <c r="F486">
        <v>2</v>
      </c>
      <c r="G486">
        <v>0</v>
      </c>
      <c r="H486" t="s">
        <v>66</v>
      </c>
      <c r="I486">
        <v>0</v>
      </c>
      <c r="J486" t="s">
        <v>66</v>
      </c>
      <c r="K486">
        <v>1</v>
      </c>
      <c r="L486" t="s">
        <v>1627</v>
      </c>
      <c r="M486" t="s">
        <v>3915</v>
      </c>
      <c r="N486">
        <v>1</v>
      </c>
      <c r="O486" t="s">
        <v>1627</v>
      </c>
      <c r="P486" t="s">
        <v>5260</v>
      </c>
      <c r="Q486">
        <v>0</v>
      </c>
      <c r="R486" t="s">
        <v>66</v>
      </c>
      <c r="S486" t="s">
        <v>56</v>
      </c>
      <c r="T486" t="s">
        <v>56</v>
      </c>
      <c r="U486" t="s">
        <v>56</v>
      </c>
      <c r="V486" t="s">
        <v>56</v>
      </c>
      <c r="W486">
        <v>0</v>
      </c>
      <c r="X486" t="s">
        <v>66</v>
      </c>
      <c r="Y486" t="s">
        <v>56</v>
      </c>
      <c r="Z486">
        <v>0</v>
      </c>
      <c r="AA486" t="s">
        <v>66</v>
      </c>
      <c r="AB486" t="s">
        <v>56</v>
      </c>
      <c r="AC486">
        <v>0</v>
      </c>
      <c r="AD486" t="s">
        <v>66</v>
      </c>
      <c r="AE486" t="s">
        <v>56</v>
      </c>
      <c r="AF486">
        <v>0</v>
      </c>
      <c r="AG486" t="s">
        <v>66</v>
      </c>
      <c r="AH486" t="s">
        <v>56</v>
      </c>
      <c r="AI486">
        <v>1</v>
      </c>
      <c r="AJ486" t="s">
        <v>1627</v>
      </c>
      <c r="AK486" t="s">
        <v>56</v>
      </c>
      <c r="AL486" t="s">
        <v>56</v>
      </c>
      <c r="AM486" t="s">
        <v>56</v>
      </c>
      <c r="AN486" t="s">
        <v>56</v>
      </c>
      <c r="AO486" t="s">
        <v>5118</v>
      </c>
      <c r="AP486" t="s">
        <v>3918</v>
      </c>
      <c r="AQ486" t="s">
        <v>3919</v>
      </c>
      <c r="AR486" t="s">
        <v>3920</v>
      </c>
      <c r="AS486" t="s">
        <v>3921</v>
      </c>
      <c r="AT486" t="s">
        <v>5261</v>
      </c>
      <c r="AU486">
        <v>9000</v>
      </c>
      <c r="AV486" t="s">
        <v>3956</v>
      </c>
      <c r="AW486" t="s">
        <v>3956</v>
      </c>
      <c r="AX486">
        <v>12</v>
      </c>
      <c r="AY486">
        <v>2</v>
      </c>
      <c r="AZ486" t="s">
        <v>3897</v>
      </c>
      <c r="BA486">
        <v>10</v>
      </c>
      <c r="BB486" t="s">
        <v>3898</v>
      </c>
      <c r="BC486">
        <v>120</v>
      </c>
      <c r="BD486">
        <v>3</v>
      </c>
      <c r="BE486" t="s">
        <v>3911</v>
      </c>
      <c r="BF486">
        <v>4</v>
      </c>
      <c r="BG486">
        <v>24</v>
      </c>
      <c r="BH486" t="s">
        <v>5262</v>
      </c>
      <c r="BI486" t="s">
        <v>5263</v>
      </c>
      <c r="BJ486">
        <v>1</v>
      </c>
      <c r="BK486" t="s">
        <v>3902</v>
      </c>
    </row>
    <row r="487" spans="1:63" x14ac:dyDescent="0.25">
      <c r="A487">
        <v>4412</v>
      </c>
      <c r="B487" t="str">
        <f>"20200129177017111912"</f>
        <v>20200129177017111912</v>
      </c>
      <c r="C487">
        <v>2</v>
      </c>
      <c r="D487">
        <v>1</v>
      </c>
      <c r="E487" t="s">
        <v>3886</v>
      </c>
      <c r="F487">
        <v>2</v>
      </c>
      <c r="G487">
        <v>0</v>
      </c>
      <c r="H487" t="s">
        <v>66</v>
      </c>
      <c r="I487">
        <v>0</v>
      </c>
      <c r="J487" t="s">
        <v>66</v>
      </c>
      <c r="K487">
        <v>1</v>
      </c>
      <c r="L487" t="s">
        <v>1627</v>
      </c>
      <c r="M487" t="s">
        <v>3915</v>
      </c>
      <c r="N487">
        <v>1</v>
      </c>
      <c r="O487" t="s">
        <v>1627</v>
      </c>
      <c r="P487" t="s">
        <v>5260</v>
      </c>
      <c r="Q487">
        <v>0</v>
      </c>
      <c r="R487" t="s">
        <v>66</v>
      </c>
      <c r="S487" t="s">
        <v>56</v>
      </c>
      <c r="T487" t="s">
        <v>56</v>
      </c>
      <c r="U487" t="s">
        <v>56</v>
      </c>
      <c r="V487" t="s">
        <v>56</v>
      </c>
      <c r="W487">
        <v>0</v>
      </c>
      <c r="X487" t="s">
        <v>66</v>
      </c>
      <c r="Y487" t="s">
        <v>56</v>
      </c>
      <c r="Z487">
        <v>0</v>
      </c>
      <c r="AA487" t="s">
        <v>66</v>
      </c>
      <c r="AB487" t="s">
        <v>56</v>
      </c>
      <c r="AC487">
        <v>0</v>
      </c>
      <c r="AD487" t="s">
        <v>66</v>
      </c>
      <c r="AE487" t="s">
        <v>56</v>
      </c>
      <c r="AF487">
        <v>0</v>
      </c>
      <c r="AG487" t="s">
        <v>66</v>
      </c>
      <c r="AH487" t="s">
        <v>56</v>
      </c>
      <c r="AI487">
        <v>1</v>
      </c>
      <c r="AJ487" t="s">
        <v>1627</v>
      </c>
      <c r="AK487" t="s">
        <v>56</v>
      </c>
      <c r="AL487" t="s">
        <v>56</v>
      </c>
      <c r="AM487" t="s">
        <v>56</v>
      </c>
      <c r="AN487" t="s">
        <v>56</v>
      </c>
      <c r="AO487" t="s">
        <v>4476</v>
      </c>
      <c r="AP487" t="s">
        <v>3889</v>
      </c>
      <c r="AQ487" t="s">
        <v>3890</v>
      </c>
      <c r="AR487" t="s">
        <v>2324</v>
      </c>
      <c r="AS487" t="s">
        <v>4266</v>
      </c>
      <c r="AT487" t="s">
        <v>5264</v>
      </c>
      <c r="AU487">
        <v>9000</v>
      </c>
      <c r="AV487" t="s">
        <v>3956</v>
      </c>
      <c r="AW487" t="s">
        <v>3956</v>
      </c>
      <c r="AX487">
        <v>15</v>
      </c>
      <c r="AY487">
        <v>3</v>
      </c>
      <c r="AZ487" t="s">
        <v>3911</v>
      </c>
      <c r="BA487">
        <v>10</v>
      </c>
      <c r="BB487" t="s">
        <v>3898</v>
      </c>
      <c r="BC487">
        <v>120</v>
      </c>
      <c r="BD487">
        <v>3</v>
      </c>
      <c r="BE487" t="s">
        <v>3911</v>
      </c>
      <c r="BF487">
        <v>16</v>
      </c>
      <c r="BG487">
        <v>65</v>
      </c>
      <c r="BH487" t="s">
        <v>4360</v>
      </c>
      <c r="BI487" t="s">
        <v>5265</v>
      </c>
      <c r="BJ487">
        <v>1</v>
      </c>
      <c r="BK487" t="s">
        <v>3902</v>
      </c>
    </row>
    <row r="488" spans="1:63" x14ac:dyDescent="0.25">
      <c r="A488">
        <v>4413</v>
      </c>
      <c r="B488" t="str">
        <f>"20200129157017112575"</f>
        <v>20200129157017112575</v>
      </c>
      <c r="C488">
        <v>1</v>
      </c>
      <c r="D488">
        <v>1</v>
      </c>
      <c r="E488" t="s">
        <v>3886</v>
      </c>
      <c r="F488">
        <v>2</v>
      </c>
      <c r="G488">
        <v>0</v>
      </c>
      <c r="H488" t="s">
        <v>66</v>
      </c>
      <c r="I488">
        <v>0</v>
      </c>
      <c r="J488" t="s">
        <v>66</v>
      </c>
      <c r="K488">
        <v>0</v>
      </c>
      <c r="L488" t="s">
        <v>66</v>
      </c>
      <c r="M488" t="s">
        <v>56</v>
      </c>
      <c r="N488">
        <v>0</v>
      </c>
      <c r="O488" t="s">
        <v>66</v>
      </c>
      <c r="P488" t="s">
        <v>56</v>
      </c>
      <c r="Q488">
        <v>0</v>
      </c>
      <c r="R488" t="s">
        <v>66</v>
      </c>
      <c r="S488" t="s">
        <v>56</v>
      </c>
      <c r="T488">
        <v>1</v>
      </c>
      <c r="U488" t="s">
        <v>1627</v>
      </c>
      <c r="V488" t="s">
        <v>56</v>
      </c>
      <c r="W488">
        <v>0</v>
      </c>
      <c r="X488" t="s">
        <v>66</v>
      </c>
      <c r="Y488" t="s">
        <v>56</v>
      </c>
      <c r="Z488">
        <v>0</v>
      </c>
      <c r="AA488" t="s">
        <v>66</v>
      </c>
      <c r="AB488" t="s">
        <v>56</v>
      </c>
      <c r="AC488">
        <v>1</v>
      </c>
      <c r="AD488" t="s">
        <v>1627</v>
      </c>
      <c r="AE488" t="s">
        <v>3887</v>
      </c>
      <c r="AF488">
        <v>0</v>
      </c>
      <c r="AG488" t="s">
        <v>66</v>
      </c>
      <c r="AH488" t="s">
        <v>56</v>
      </c>
      <c r="AI488">
        <v>1</v>
      </c>
      <c r="AJ488" t="s">
        <v>1627</v>
      </c>
      <c r="AK488" t="s">
        <v>56</v>
      </c>
      <c r="AL488" t="s">
        <v>56</v>
      </c>
      <c r="AM488" t="s">
        <v>56</v>
      </c>
      <c r="AN488" t="s">
        <v>56</v>
      </c>
      <c r="AO488" t="s">
        <v>3938</v>
      </c>
      <c r="AP488" t="s">
        <v>3962</v>
      </c>
      <c r="AQ488" t="s">
        <v>3963</v>
      </c>
      <c r="AR488" t="s">
        <v>3941</v>
      </c>
      <c r="AS488" t="s">
        <v>3942</v>
      </c>
      <c r="AT488" t="s">
        <v>5266</v>
      </c>
      <c r="AU488" t="s">
        <v>3944</v>
      </c>
      <c r="AV488" t="s">
        <v>3945</v>
      </c>
      <c r="AW488" t="s">
        <v>3946</v>
      </c>
      <c r="AX488">
        <v>24</v>
      </c>
      <c r="AY488">
        <v>2</v>
      </c>
      <c r="AZ488" t="s">
        <v>3897</v>
      </c>
      <c r="BA488">
        <v>10</v>
      </c>
      <c r="BB488" t="s">
        <v>3898</v>
      </c>
      <c r="BC488">
        <v>1</v>
      </c>
      <c r="BD488">
        <v>5</v>
      </c>
      <c r="BE488" t="s">
        <v>3899</v>
      </c>
      <c r="BF488">
        <v>30</v>
      </c>
      <c r="BG488">
        <v>66</v>
      </c>
      <c r="BH488" t="s">
        <v>3965</v>
      </c>
      <c r="BI488" t="s">
        <v>4877</v>
      </c>
      <c r="BJ488">
        <v>1</v>
      </c>
      <c r="BK488" t="s">
        <v>3902</v>
      </c>
    </row>
    <row r="489" spans="1:63" x14ac:dyDescent="0.25">
      <c r="A489">
        <v>4414</v>
      </c>
      <c r="B489" t="str">
        <f>"20200129191017113054"</f>
        <v>20200129191017113054</v>
      </c>
      <c r="C489">
        <v>1</v>
      </c>
      <c r="D489">
        <v>1</v>
      </c>
      <c r="E489" t="s">
        <v>3886</v>
      </c>
      <c r="F489">
        <v>2</v>
      </c>
      <c r="G489">
        <v>0</v>
      </c>
      <c r="H489" t="s">
        <v>66</v>
      </c>
      <c r="I489">
        <v>0</v>
      </c>
      <c r="J489" t="s">
        <v>66</v>
      </c>
      <c r="K489">
        <v>1</v>
      </c>
      <c r="L489" t="s">
        <v>1627</v>
      </c>
      <c r="M489" t="s">
        <v>5249</v>
      </c>
      <c r="N489">
        <v>1</v>
      </c>
      <c r="O489" t="s">
        <v>1627</v>
      </c>
      <c r="P489" t="s">
        <v>5267</v>
      </c>
      <c r="Q489">
        <v>0</v>
      </c>
      <c r="R489" t="s">
        <v>66</v>
      </c>
      <c r="S489" t="s">
        <v>56</v>
      </c>
      <c r="T489" t="s">
        <v>56</v>
      </c>
      <c r="U489" t="s">
        <v>56</v>
      </c>
      <c r="V489" t="s">
        <v>56</v>
      </c>
      <c r="W489">
        <v>0</v>
      </c>
      <c r="X489" t="s">
        <v>66</v>
      </c>
      <c r="Y489" t="s">
        <v>56</v>
      </c>
      <c r="Z489">
        <v>0</v>
      </c>
      <c r="AA489" t="s">
        <v>66</v>
      </c>
      <c r="AB489" t="s">
        <v>56</v>
      </c>
      <c r="AC489">
        <v>0</v>
      </c>
      <c r="AD489" t="s">
        <v>66</v>
      </c>
      <c r="AE489" t="s">
        <v>56</v>
      </c>
      <c r="AF489">
        <v>0</v>
      </c>
      <c r="AG489" t="s">
        <v>66</v>
      </c>
      <c r="AH489" t="s">
        <v>56</v>
      </c>
      <c r="AI489">
        <v>1</v>
      </c>
      <c r="AJ489" t="s">
        <v>1627</v>
      </c>
      <c r="AK489">
        <v>0</v>
      </c>
      <c r="AL489" t="s">
        <v>66</v>
      </c>
      <c r="AM489" t="s">
        <v>56</v>
      </c>
      <c r="AN489" t="s">
        <v>56</v>
      </c>
      <c r="AO489" t="s">
        <v>4183</v>
      </c>
      <c r="AP489" t="s">
        <v>3962</v>
      </c>
      <c r="AQ489" t="s">
        <v>3963</v>
      </c>
      <c r="AR489" t="s">
        <v>3941</v>
      </c>
      <c r="AS489" t="s">
        <v>3942</v>
      </c>
      <c r="AT489" t="s">
        <v>5268</v>
      </c>
      <c r="AU489" t="s">
        <v>3929</v>
      </c>
      <c r="AV489" t="s">
        <v>3930</v>
      </c>
      <c r="AW489" t="s">
        <v>3931</v>
      </c>
      <c r="AX489">
        <v>12</v>
      </c>
      <c r="AY489">
        <v>2</v>
      </c>
      <c r="AZ489" t="s">
        <v>3897</v>
      </c>
      <c r="BA489">
        <v>10</v>
      </c>
      <c r="BB489" t="s">
        <v>3898</v>
      </c>
      <c r="BC489">
        <v>3</v>
      </c>
      <c r="BD489">
        <v>5</v>
      </c>
      <c r="BE489" t="s">
        <v>3899</v>
      </c>
      <c r="BF489">
        <v>360</v>
      </c>
      <c r="BG489">
        <v>66</v>
      </c>
      <c r="BH489" t="s">
        <v>3965</v>
      </c>
      <c r="BI489" t="s">
        <v>5269</v>
      </c>
      <c r="BJ489">
        <v>1</v>
      </c>
      <c r="BK489" t="s">
        <v>3902</v>
      </c>
    </row>
    <row r="490" spans="1:63" x14ac:dyDescent="0.25">
      <c r="A490">
        <v>4415</v>
      </c>
      <c r="B490" t="str">
        <f>"20200129182017113605"</f>
        <v>20200129182017113605</v>
      </c>
      <c r="C490">
        <v>1</v>
      </c>
      <c r="D490">
        <v>1</v>
      </c>
      <c r="E490" t="s">
        <v>3886</v>
      </c>
      <c r="F490">
        <v>2</v>
      </c>
      <c r="G490">
        <v>0</v>
      </c>
      <c r="H490" t="s">
        <v>66</v>
      </c>
      <c r="I490">
        <v>0</v>
      </c>
      <c r="J490" t="s">
        <v>66</v>
      </c>
      <c r="K490">
        <v>1</v>
      </c>
      <c r="L490" t="s">
        <v>1627</v>
      </c>
      <c r="M490" t="s">
        <v>5270</v>
      </c>
      <c r="N490">
        <v>1</v>
      </c>
      <c r="O490" t="s">
        <v>1627</v>
      </c>
      <c r="P490" t="s">
        <v>5271</v>
      </c>
      <c r="Q490">
        <v>0</v>
      </c>
      <c r="R490" t="s">
        <v>66</v>
      </c>
      <c r="S490" t="s">
        <v>56</v>
      </c>
      <c r="T490" t="s">
        <v>56</v>
      </c>
      <c r="U490" t="s">
        <v>56</v>
      </c>
      <c r="V490" t="s">
        <v>56</v>
      </c>
      <c r="W490">
        <v>0</v>
      </c>
      <c r="X490" t="s">
        <v>66</v>
      </c>
      <c r="Y490" t="s">
        <v>56</v>
      </c>
      <c r="Z490">
        <v>0</v>
      </c>
      <c r="AA490" t="s">
        <v>66</v>
      </c>
      <c r="AB490" t="s">
        <v>56</v>
      </c>
      <c r="AC490">
        <v>0</v>
      </c>
      <c r="AD490" t="s">
        <v>66</v>
      </c>
      <c r="AE490" t="s">
        <v>56</v>
      </c>
      <c r="AF490">
        <v>0</v>
      </c>
      <c r="AG490" t="s">
        <v>66</v>
      </c>
      <c r="AH490" t="s">
        <v>56</v>
      </c>
      <c r="AI490">
        <v>1</v>
      </c>
      <c r="AJ490" t="s">
        <v>1627</v>
      </c>
      <c r="AK490" t="s">
        <v>56</v>
      </c>
      <c r="AL490" t="s">
        <v>56</v>
      </c>
      <c r="AM490" t="s">
        <v>56</v>
      </c>
      <c r="AN490" t="s">
        <v>56</v>
      </c>
      <c r="AO490" t="s">
        <v>4456</v>
      </c>
      <c r="AP490" t="s">
        <v>3962</v>
      </c>
      <c r="AQ490" t="s">
        <v>3963</v>
      </c>
      <c r="AR490" t="s">
        <v>3941</v>
      </c>
      <c r="AS490" t="s">
        <v>3942</v>
      </c>
      <c r="AT490" t="s">
        <v>5272</v>
      </c>
      <c r="AU490">
        <v>9000</v>
      </c>
      <c r="AV490" t="s">
        <v>3956</v>
      </c>
      <c r="AW490" t="s">
        <v>3956</v>
      </c>
      <c r="AX490">
        <v>24</v>
      </c>
      <c r="AY490">
        <v>2</v>
      </c>
      <c r="AZ490" t="s">
        <v>3897</v>
      </c>
      <c r="BA490">
        <v>10</v>
      </c>
      <c r="BB490" t="s">
        <v>3898</v>
      </c>
      <c r="BC490">
        <v>30</v>
      </c>
      <c r="BD490">
        <v>3</v>
      </c>
      <c r="BE490" t="s">
        <v>3911</v>
      </c>
      <c r="BF490">
        <v>30</v>
      </c>
      <c r="BG490">
        <v>66</v>
      </c>
      <c r="BH490" t="s">
        <v>3965</v>
      </c>
      <c r="BI490" t="s">
        <v>5273</v>
      </c>
      <c r="BJ490">
        <v>1</v>
      </c>
      <c r="BK490" t="s">
        <v>3902</v>
      </c>
    </row>
    <row r="491" spans="1:63" x14ac:dyDescent="0.25">
      <c r="A491">
        <v>4416</v>
      </c>
      <c r="B491" t="str">
        <f>"20200129139017113691"</f>
        <v>20200129139017113691</v>
      </c>
      <c r="C491">
        <v>1</v>
      </c>
      <c r="D491">
        <v>1</v>
      </c>
      <c r="E491" t="s">
        <v>3886</v>
      </c>
      <c r="F491">
        <v>2</v>
      </c>
      <c r="G491">
        <v>0</v>
      </c>
      <c r="H491" t="s">
        <v>66</v>
      </c>
      <c r="I491">
        <v>0</v>
      </c>
      <c r="J491" t="s">
        <v>66</v>
      </c>
      <c r="K491">
        <v>1</v>
      </c>
      <c r="L491" t="s">
        <v>1627</v>
      </c>
      <c r="M491" t="s">
        <v>4223</v>
      </c>
      <c r="N491">
        <v>1</v>
      </c>
      <c r="O491" t="s">
        <v>1627</v>
      </c>
      <c r="P491" t="s">
        <v>5173</v>
      </c>
      <c r="Q491">
        <v>0</v>
      </c>
      <c r="R491" t="s">
        <v>66</v>
      </c>
      <c r="S491" t="s">
        <v>56</v>
      </c>
      <c r="T491" t="s">
        <v>56</v>
      </c>
      <c r="U491" t="s">
        <v>56</v>
      </c>
      <c r="V491" t="s">
        <v>56</v>
      </c>
      <c r="W491">
        <v>0</v>
      </c>
      <c r="X491" t="s">
        <v>66</v>
      </c>
      <c r="Y491" t="s">
        <v>56</v>
      </c>
      <c r="Z491">
        <v>0</v>
      </c>
      <c r="AA491" t="s">
        <v>66</v>
      </c>
      <c r="AB491" t="s">
        <v>56</v>
      </c>
      <c r="AC491">
        <v>0</v>
      </c>
      <c r="AD491" t="s">
        <v>66</v>
      </c>
      <c r="AE491" t="s">
        <v>56</v>
      </c>
      <c r="AF491">
        <v>0</v>
      </c>
      <c r="AG491" t="s">
        <v>66</v>
      </c>
      <c r="AH491" t="s">
        <v>56</v>
      </c>
      <c r="AI491">
        <v>1</v>
      </c>
      <c r="AJ491" t="s">
        <v>1627</v>
      </c>
      <c r="AK491" t="s">
        <v>56</v>
      </c>
      <c r="AL491" t="s">
        <v>56</v>
      </c>
      <c r="AM491" t="s">
        <v>56</v>
      </c>
      <c r="AN491" t="s">
        <v>56</v>
      </c>
      <c r="AO491" t="s">
        <v>4231</v>
      </c>
      <c r="AP491" t="s">
        <v>4077</v>
      </c>
      <c r="AQ491" t="s">
        <v>4078</v>
      </c>
      <c r="AR491" t="s">
        <v>3941</v>
      </c>
      <c r="AS491" t="s">
        <v>3942</v>
      </c>
      <c r="AT491" t="s">
        <v>5274</v>
      </c>
      <c r="AU491" t="s">
        <v>3944</v>
      </c>
      <c r="AV491" t="s">
        <v>3945</v>
      </c>
      <c r="AW491" t="s">
        <v>3946</v>
      </c>
      <c r="AX491">
        <v>24</v>
      </c>
      <c r="AY491">
        <v>2</v>
      </c>
      <c r="AZ491" t="s">
        <v>3897</v>
      </c>
      <c r="BA491">
        <v>10</v>
      </c>
      <c r="BB491" t="s">
        <v>3898</v>
      </c>
      <c r="BC491">
        <v>3</v>
      </c>
      <c r="BD491">
        <v>5</v>
      </c>
      <c r="BE491" t="s">
        <v>3899</v>
      </c>
      <c r="BF491">
        <v>90</v>
      </c>
      <c r="BG491">
        <v>66</v>
      </c>
      <c r="BH491" t="s">
        <v>3965</v>
      </c>
      <c r="BI491" t="s">
        <v>5175</v>
      </c>
      <c r="BJ491">
        <v>1</v>
      </c>
      <c r="BK491" t="s">
        <v>3902</v>
      </c>
    </row>
    <row r="492" spans="1:63" x14ac:dyDescent="0.25">
      <c r="A492">
        <v>4417</v>
      </c>
      <c r="B492" t="str">
        <f>"20200129173017113712"</f>
        <v>20200129173017113712</v>
      </c>
      <c r="C492">
        <v>1</v>
      </c>
      <c r="D492">
        <v>1</v>
      </c>
      <c r="E492" t="s">
        <v>3886</v>
      </c>
      <c r="F492">
        <v>1</v>
      </c>
      <c r="G492">
        <v>0</v>
      </c>
      <c r="H492" t="s">
        <v>66</v>
      </c>
      <c r="I492">
        <v>0</v>
      </c>
      <c r="J492" t="s">
        <v>66</v>
      </c>
      <c r="K492">
        <v>0</v>
      </c>
      <c r="L492" t="s">
        <v>66</v>
      </c>
      <c r="M492" t="s">
        <v>56</v>
      </c>
      <c r="N492">
        <v>0</v>
      </c>
      <c r="O492" t="s">
        <v>66</v>
      </c>
      <c r="P492" t="s">
        <v>56</v>
      </c>
      <c r="Q492">
        <v>0</v>
      </c>
      <c r="R492" t="s">
        <v>66</v>
      </c>
      <c r="S492" t="s">
        <v>56</v>
      </c>
      <c r="T492">
        <v>1</v>
      </c>
      <c r="U492" t="s">
        <v>1627</v>
      </c>
      <c r="V492" t="s">
        <v>56</v>
      </c>
      <c r="W492">
        <v>0</v>
      </c>
      <c r="X492" t="s">
        <v>66</v>
      </c>
      <c r="Y492" t="s">
        <v>56</v>
      </c>
      <c r="Z492">
        <v>0</v>
      </c>
      <c r="AA492" t="s">
        <v>66</v>
      </c>
      <c r="AB492" t="s">
        <v>56</v>
      </c>
      <c r="AC492">
        <v>1</v>
      </c>
      <c r="AD492" t="s">
        <v>1627</v>
      </c>
      <c r="AE492" t="s">
        <v>3887</v>
      </c>
      <c r="AF492">
        <v>0</v>
      </c>
      <c r="AG492" t="s">
        <v>66</v>
      </c>
      <c r="AH492" t="s">
        <v>56</v>
      </c>
      <c r="AI492">
        <v>1</v>
      </c>
      <c r="AJ492" t="s">
        <v>1627</v>
      </c>
      <c r="AK492" t="s">
        <v>56</v>
      </c>
      <c r="AL492" t="s">
        <v>56</v>
      </c>
      <c r="AM492" t="s">
        <v>56</v>
      </c>
      <c r="AN492" t="s">
        <v>56</v>
      </c>
      <c r="AO492" t="s">
        <v>4139</v>
      </c>
      <c r="AP492" t="s">
        <v>3889</v>
      </c>
      <c r="AQ492" t="s">
        <v>3890</v>
      </c>
      <c r="AR492" t="s">
        <v>3891</v>
      </c>
      <c r="AS492" t="s">
        <v>3892</v>
      </c>
      <c r="AT492" t="s">
        <v>5275</v>
      </c>
      <c r="AU492" t="s">
        <v>3894</v>
      </c>
      <c r="AV492" t="s">
        <v>3895</v>
      </c>
      <c r="AW492" t="s">
        <v>3896</v>
      </c>
      <c r="AX492">
        <v>8</v>
      </c>
      <c r="AY492">
        <v>2</v>
      </c>
      <c r="AZ492" t="s">
        <v>3897</v>
      </c>
      <c r="BA492">
        <v>10</v>
      </c>
      <c r="BB492" t="s">
        <v>3898</v>
      </c>
      <c r="BC492">
        <v>3</v>
      </c>
      <c r="BD492">
        <v>5</v>
      </c>
      <c r="BE492" t="s">
        <v>3899</v>
      </c>
      <c r="BF492">
        <v>3</v>
      </c>
      <c r="BG492">
        <v>13</v>
      </c>
      <c r="BH492" t="s">
        <v>3900</v>
      </c>
      <c r="BI492" t="s">
        <v>5276</v>
      </c>
      <c r="BJ492">
        <v>1</v>
      </c>
      <c r="BK492" t="s">
        <v>3902</v>
      </c>
    </row>
    <row r="493" spans="1:63" x14ac:dyDescent="0.25">
      <c r="A493">
        <v>4418</v>
      </c>
      <c r="B493" t="str">
        <f>"20200129120017113821"</f>
        <v>20200129120017113821</v>
      </c>
      <c r="C493">
        <v>1</v>
      </c>
      <c r="D493">
        <v>1</v>
      </c>
      <c r="E493" t="s">
        <v>3886</v>
      </c>
      <c r="F493">
        <v>2</v>
      </c>
      <c r="G493">
        <v>0</v>
      </c>
      <c r="H493" t="s">
        <v>66</v>
      </c>
      <c r="I493">
        <v>0</v>
      </c>
      <c r="J493" t="s">
        <v>66</v>
      </c>
      <c r="K493">
        <v>0</v>
      </c>
      <c r="L493" t="s">
        <v>66</v>
      </c>
      <c r="M493" t="s">
        <v>56</v>
      </c>
      <c r="N493">
        <v>0</v>
      </c>
      <c r="O493" t="s">
        <v>66</v>
      </c>
      <c r="P493" t="s">
        <v>56</v>
      </c>
      <c r="Q493">
        <v>0</v>
      </c>
      <c r="R493" t="s">
        <v>66</v>
      </c>
      <c r="S493" t="s">
        <v>56</v>
      </c>
      <c r="T493">
        <v>1</v>
      </c>
      <c r="U493" t="s">
        <v>1627</v>
      </c>
      <c r="V493" t="s">
        <v>56</v>
      </c>
      <c r="W493">
        <v>0</v>
      </c>
      <c r="X493" t="s">
        <v>66</v>
      </c>
      <c r="Y493" t="s">
        <v>56</v>
      </c>
      <c r="Z493">
        <v>0</v>
      </c>
      <c r="AA493" t="s">
        <v>66</v>
      </c>
      <c r="AB493" t="s">
        <v>56</v>
      </c>
      <c r="AC493">
        <v>1</v>
      </c>
      <c r="AD493" t="s">
        <v>1627</v>
      </c>
      <c r="AE493" t="s">
        <v>3887</v>
      </c>
      <c r="AF493">
        <v>0</v>
      </c>
      <c r="AG493" t="s">
        <v>66</v>
      </c>
      <c r="AH493" t="s">
        <v>56</v>
      </c>
      <c r="AI493">
        <v>1</v>
      </c>
      <c r="AJ493" t="s">
        <v>1627</v>
      </c>
      <c r="AK493" t="s">
        <v>56</v>
      </c>
      <c r="AL493" t="s">
        <v>56</v>
      </c>
      <c r="AM493" t="s">
        <v>56</v>
      </c>
      <c r="AN493" t="s">
        <v>56</v>
      </c>
      <c r="AO493" t="s">
        <v>4046</v>
      </c>
      <c r="AP493" t="s">
        <v>3889</v>
      </c>
      <c r="AQ493" t="s">
        <v>3890</v>
      </c>
      <c r="AR493" t="s">
        <v>3926</v>
      </c>
      <c r="AS493" t="s">
        <v>3927</v>
      </c>
      <c r="AT493" t="s">
        <v>5245</v>
      </c>
      <c r="AU493" t="s">
        <v>3894</v>
      </c>
      <c r="AV493" t="s">
        <v>3895</v>
      </c>
      <c r="AW493" t="s">
        <v>3896</v>
      </c>
      <c r="AX493">
        <v>12</v>
      </c>
      <c r="AY493">
        <v>2</v>
      </c>
      <c r="AZ493" t="s">
        <v>3897</v>
      </c>
      <c r="BA493">
        <v>10</v>
      </c>
      <c r="BB493" t="s">
        <v>3898</v>
      </c>
      <c r="BC493">
        <v>90</v>
      </c>
      <c r="BD493">
        <v>3</v>
      </c>
      <c r="BE493" t="s">
        <v>3911</v>
      </c>
      <c r="BF493">
        <v>3</v>
      </c>
      <c r="BG493">
        <v>13</v>
      </c>
      <c r="BH493" t="s">
        <v>3900</v>
      </c>
      <c r="BI493" t="s">
        <v>5246</v>
      </c>
      <c r="BJ493">
        <v>1</v>
      </c>
      <c r="BK493" t="s">
        <v>3902</v>
      </c>
    </row>
    <row r="494" spans="1:63" x14ac:dyDescent="0.25">
      <c r="A494">
        <v>4419</v>
      </c>
      <c r="B494" t="str">
        <f>"20200129121017114106"</f>
        <v>20200129121017114106</v>
      </c>
      <c r="C494">
        <v>1</v>
      </c>
      <c r="D494">
        <v>1</v>
      </c>
      <c r="E494" t="s">
        <v>3886</v>
      </c>
      <c r="F494">
        <v>1</v>
      </c>
      <c r="G494">
        <v>0</v>
      </c>
      <c r="H494" t="s">
        <v>66</v>
      </c>
      <c r="I494">
        <v>0</v>
      </c>
      <c r="J494" t="s">
        <v>66</v>
      </c>
      <c r="K494">
        <v>0</v>
      </c>
      <c r="L494" t="s">
        <v>66</v>
      </c>
      <c r="M494" t="s">
        <v>56</v>
      </c>
      <c r="N494">
        <v>0</v>
      </c>
      <c r="O494" t="s">
        <v>66</v>
      </c>
      <c r="P494" t="s">
        <v>56</v>
      </c>
      <c r="Q494">
        <v>0</v>
      </c>
      <c r="R494" t="s">
        <v>66</v>
      </c>
      <c r="S494" t="s">
        <v>56</v>
      </c>
      <c r="T494">
        <v>1</v>
      </c>
      <c r="U494" t="s">
        <v>1627</v>
      </c>
      <c r="V494" t="s">
        <v>56</v>
      </c>
      <c r="W494">
        <v>0</v>
      </c>
      <c r="X494" t="s">
        <v>66</v>
      </c>
      <c r="Y494" t="s">
        <v>56</v>
      </c>
      <c r="Z494">
        <v>0</v>
      </c>
      <c r="AA494" t="s">
        <v>66</v>
      </c>
      <c r="AB494" t="s">
        <v>56</v>
      </c>
      <c r="AC494">
        <v>1</v>
      </c>
      <c r="AD494" t="s">
        <v>1627</v>
      </c>
      <c r="AE494" t="s">
        <v>3887</v>
      </c>
      <c r="AF494">
        <v>0</v>
      </c>
      <c r="AG494" t="s">
        <v>66</v>
      </c>
      <c r="AH494" t="s">
        <v>56</v>
      </c>
      <c r="AI494">
        <v>1</v>
      </c>
      <c r="AJ494" t="s">
        <v>1627</v>
      </c>
      <c r="AK494" t="s">
        <v>56</v>
      </c>
      <c r="AL494" t="s">
        <v>56</v>
      </c>
      <c r="AM494" t="s">
        <v>56</v>
      </c>
      <c r="AN494" t="s">
        <v>56</v>
      </c>
      <c r="AO494" t="s">
        <v>3949</v>
      </c>
      <c r="AP494" t="s">
        <v>3889</v>
      </c>
      <c r="AQ494" t="s">
        <v>3890</v>
      </c>
      <c r="AR494" t="s">
        <v>3891</v>
      </c>
      <c r="AS494" t="s">
        <v>3892</v>
      </c>
      <c r="AT494" t="s">
        <v>4794</v>
      </c>
      <c r="AU494" t="s">
        <v>3894</v>
      </c>
      <c r="AV494" t="s">
        <v>3895</v>
      </c>
      <c r="AW494" t="s">
        <v>3896</v>
      </c>
      <c r="AX494">
        <v>6</v>
      </c>
      <c r="AY494">
        <v>2</v>
      </c>
      <c r="AZ494" t="s">
        <v>3897</v>
      </c>
      <c r="BA494">
        <v>10</v>
      </c>
      <c r="BB494" t="s">
        <v>3898</v>
      </c>
      <c r="BC494">
        <v>3</v>
      </c>
      <c r="BD494">
        <v>5</v>
      </c>
      <c r="BE494" t="s">
        <v>3899</v>
      </c>
      <c r="BF494">
        <v>3</v>
      </c>
      <c r="BG494">
        <v>13</v>
      </c>
      <c r="BH494" t="s">
        <v>3900</v>
      </c>
      <c r="BI494" t="s">
        <v>5277</v>
      </c>
      <c r="BJ494">
        <v>1</v>
      </c>
      <c r="BK494" t="s">
        <v>3902</v>
      </c>
    </row>
    <row r="495" spans="1:63" x14ac:dyDescent="0.25">
      <c r="A495">
        <v>4435</v>
      </c>
      <c r="B495" t="str">
        <f>"20200129193017117816"</f>
        <v>20200129193017117816</v>
      </c>
      <c r="C495">
        <v>2</v>
      </c>
      <c r="D495">
        <v>1</v>
      </c>
      <c r="E495" t="s">
        <v>3886</v>
      </c>
      <c r="F495">
        <v>2</v>
      </c>
      <c r="G495">
        <v>0</v>
      </c>
      <c r="H495" t="s">
        <v>66</v>
      </c>
      <c r="I495">
        <v>0</v>
      </c>
      <c r="J495" t="s">
        <v>66</v>
      </c>
      <c r="K495">
        <v>0</v>
      </c>
      <c r="L495" t="s">
        <v>66</v>
      </c>
      <c r="M495" t="s">
        <v>56</v>
      </c>
      <c r="N495">
        <v>0</v>
      </c>
      <c r="O495" t="s">
        <v>66</v>
      </c>
      <c r="P495" t="s">
        <v>56</v>
      </c>
      <c r="Q495">
        <v>0</v>
      </c>
      <c r="R495" t="s">
        <v>66</v>
      </c>
      <c r="S495" t="s">
        <v>56</v>
      </c>
      <c r="T495">
        <v>1</v>
      </c>
      <c r="U495" t="s">
        <v>1627</v>
      </c>
      <c r="V495" t="s">
        <v>56</v>
      </c>
      <c r="W495">
        <v>0</v>
      </c>
      <c r="X495" t="s">
        <v>66</v>
      </c>
      <c r="Y495" t="s">
        <v>56</v>
      </c>
      <c r="Z495">
        <v>0</v>
      </c>
      <c r="AA495" t="s">
        <v>66</v>
      </c>
      <c r="AB495" t="s">
        <v>56</v>
      </c>
      <c r="AC495">
        <v>1</v>
      </c>
      <c r="AD495" t="s">
        <v>1627</v>
      </c>
      <c r="AE495" t="s">
        <v>3887</v>
      </c>
      <c r="AF495">
        <v>0</v>
      </c>
      <c r="AG495" t="s">
        <v>66</v>
      </c>
      <c r="AH495" t="s">
        <v>56</v>
      </c>
      <c r="AI495">
        <v>1</v>
      </c>
      <c r="AJ495" t="s">
        <v>1627</v>
      </c>
      <c r="AK495" t="s">
        <v>56</v>
      </c>
      <c r="AL495" t="s">
        <v>56</v>
      </c>
      <c r="AM495" t="s">
        <v>56</v>
      </c>
      <c r="AN495" t="s">
        <v>56</v>
      </c>
      <c r="AO495" t="s">
        <v>5278</v>
      </c>
      <c r="AP495" t="s">
        <v>4283</v>
      </c>
      <c r="AQ495" t="s">
        <v>4284</v>
      </c>
      <c r="AR495" t="s">
        <v>3926</v>
      </c>
      <c r="AS495" t="s">
        <v>3927</v>
      </c>
      <c r="AT495" t="s">
        <v>5279</v>
      </c>
      <c r="AU495" t="s">
        <v>3894</v>
      </c>
      <c r="AV495" t="s">
        <v>3895</v>
      </c>
      <c r="AW495" t="s">
        <v>3896</v>
      </c>
      <c r="AX495">
        <v>12</v>
      </c>
      <c r="AY495">
        <v>2</v>
      </c>
      <c r="AZ495" t="s">
        <v>3897</v>
      </c>
      <c r="BA495">
        <v>10</v>
      </c>
      <c r="BB495" t="s">
        <v>3898</v>
      </c>
      <c r="BC495">
        <v>20</v>
      </c>
      <c r="BD495">
        <v>3</v>
      </c>
      <c r="BE495" t="s">
        <v>3911</v>
      </c>
      <c r="BF495">
        <v>2</v>
      </c>
      <c r="BG495">
        <v>73</v>
      </c>
      <c r="BH495" t="s">
        <v>3999</v>
      </c>
      <c r="BI495" t="s">
        <v>5280</v>
      </c>
      <c r="BJ495">
        <v>1</v>
      </c>
      <c r="BK495" t="s">
        <v>3902</v>
      </c>
    </row>
    <row r="496" spans="1:63" x14ac:dyDescent="0.25">
      <c r="A496">
        <v>4436</v>
      </c>
      <c r="B496" t="str">
        <f>"20200129193017117816"</f>
        <v>20200129193017117816</v>
      </c>
      <c r="C496">
        <v>3</v>
      </c>
      <c r="D496">
        <v>1</v>
      </c>
      <c r="E496" t="s">
        <v>3886</v>
      </c>
      <c r="F496">
        <v>2</v>
      </c>
      <c r="G496">
        <v>0</v>
      </c>
      <c r="H496" t="s">
        <v>66</v>
      </c>
      <c r="I496">
        <v>0</v>
      </c>
      <c r="J496" t="s">
        <v>66</v>
      </c>
      <c r="K496">
        <v>0</v>
      </c>
      <c r="L496" t="s">
        <v>66</v>
      </c>
      <c r="M496" t="s">
        <v>56</v>
      </c>
      <c r="N496">
        <v>0</v>
      </c>
      <c r="O496" t="s">
        <v>66</v>
      </c>
      <c r="P496" t="s">
        <v>56</v>
      </c>
      <c r="Q496">
        <v>0</v>
      </c>
      <c r="R496" t="s">
        <v>66</v>
      </c>
      <c r="S496" t="s">
        <v>56</v>
      </c>
      <c r="T496">
        <v>1</v>
      </c>
      <c r="U496" t="s">
        <v>1627</v>
      </c>
      <c r="V496" t="s">
        <v>56</v>
      </c>
      <c r="W496">
        <v>0</v>
      </c>
      <c r="X496" t="s">
        <v>66</v>
      </c>
      <c r="Y496" t="s">
        <v>56</v>
      </c>
      <c r="Z496">
        <v>0</v>
      </c>
      <c r="AA496" t="s">
        <v>66</v>
      </c>
      <c r="AB496" t="s">
        <v>56</v>
      </c>
      <c r="AC496">
        <v>1</v>
      </c>
      <c r="AD496" t="s">
        <v>1627</v>
      </c>
      <c r="AE496" t="s">
        <v>3887</v>
      </c>
      <c r="AF496">
        <v>0</v>
      </c>
      <c r="AG496" t="s">
        <v>66</v>
      </c>
      <c r="AH496" t="s">
        <v>56</v>
      </c>
      <c r="AI496">
        <v>1</v>
      </c>
      <c r="AJ496" t="s">
        <v>1627</v>
      </c>
      <c r="AK496" t="s">
        <v>56</v>
      </c>
      <c r="AL496" t="s">
        <v>56</v>
      </c>
      <c r="AM496" t="s">
        <v>56</v>
      </c>
      <c r="AN496" t="s">
        <v>56</v>
      </c>
      <c r="AO496" t="s">
        <v>5281</v>
      </c>
      <c r="AP496" t="s">
        <v>3934</v>
      </c>
      <c r="AQ496" t="s">
        <v>3935</v>
      </c>
      <c r="AR496" t="s">
        <v>3891</v>
      </c>
      <c r="AS496" t="s">
        <v>3892</v>
      </c>
      <c r="AT496" t="s">
        <v>5282</v>
      </c>
      <c r="AU496" t="s">
        <v>3894</v>
      </c>
      <c r="AV496" t="s">
        <v>3895</v>
      </c>
      <c r="AW496" t="s">
        <v>3896</v>
      </c>
      <c r="AX496">
        <v>12</v>
      </c>
      <c r="AY496">
        <v>2</v>
      </c>
      <c r="AZ496" t="s">
        <v>3897</v>
      </c>
      <c r="BA496">
        <v>10</v>
      </c>
      <c r="BB496" t="s">
        <v>3898</v>
      </c>
      <c r="BC496">
        <v>20</v>
      </c>
      <c r="BD496">
        <v>3</v>
      </c>
      <c r="BE496" t="s">
        <v>3911</v>
      </c>
      <c r="BF496">
        <v>2</v>
      </c>
      <c r="BG496">
        <v>73</v>
      </c>
      <c r="BH496" t="s">
        <v>3999</v>
      </c>
      <c r="BI496" t="s">
        <v>5283</v>
      </c>
      <c r="BJ496">
        <v>1</v>
      </c>
      <c r="BK496" t="s">
        <v>3902</v>
      </c>
    </row>
    <row r="497" spans="1:63" x14ac:dyDescent="0.25">
      <c r="A497">
        <v>4437</v>
      </c>
      <c r="B497" t="str">
        <f>"20200129110017118010"</f>
        <v>20200129110017118010</v>
      </c>
      <c r="C497">
        <v>1</v>
      </c>
      <c r="D497">
        <v>1</v>
      </c>
      <c r="E497" t="s">
        <v>3886</v>
      </c>
      <c r="F497">
        <v>2</v>
      </c>
      <c r="G497">
        <v>0</v>
      </c>
      <c r="H497" t="s">
        <v>66</v>
      </c>
      <c r="I497">
        <v>0</v>
      </c>
      <c r="J497" t="s">
        <v>66</v>
      </c>
      <c r="K497">
        <v>0</v>
      </c>
      <c r="L497" t="s">
        <v>66</v>
      </c>
      <c r="M497" t="s">
        <v>56</v>
      </c>
      <c r="N497">
        <v>0</v>
      </c>
      <c r="O497" t="s">
        <v>66</v>
      </c>
      <c r="P497" t="s">
        <v>56</v>
      </c>
      <c r="Q497">
        <v>0</v>
      </c>
      <c r="R497" t="s">
        <v>66</v>
      </c>
      <c r="S497" t="s">
        <v>56</v>
      </c>
      <c r="T497">
        <v>1</v>
      </c>
      <c r="U497" t="s">
        <v>1627</v>
      </c>
      <c r="V497" t="s">
        <v>56</v>
      </c>
      <c r="W497">
        <v>0</v>
      </c>
      <c r="X497" t="s">
        <v>66</v>
      </c>
      <c r="Y497" t="s">
        <v>56</v>
      </c>
      <c r="Z497">
        <v>0</v>
      </c>
      <c r="AA497" t="s">
        <v>66</v>
      </c>
      <c r="AB497" t="s">
        <v>56</v>
      </c>
      <c r="AC497">
        <v>1</v>
      </c>
      <c r="AD497" t="s">
        <v>1627</v>
      </c>
      <c r="AE497" t="s">
        <v>3887</v>
      </c>
      <c r="AF497">
        <v>0</v>
      </c>
      <c r="AG497" t="s">
        <v>66</v>
      </c>
      <c r="AH497" t="s">
        <v>56</v>
      </c>
      <c r="AI497">
        <v>1</v>
      </c>
      <c r="AJ497" t="s">
        <v>1627</v>
      </c>
      <c r="AK497">
        <v>0</v>
      </c>
      <c r="AL497" t="s">
        <v>66</v>
      </c>
      <c r="AM497" t="s">
        <v>56</v>
      </c>
      <c r="AN497" t="s">
        <v>56</v>
      </c>
      <c r="AO497" t="s">
        <v>5284</v>
      </c>
      <c r="AP497" t="s">
        <v>3962</v>
      </c>
      <c r="AQ497" t="s">
        <v>3963</v>
      </c>
      <c r="AR497" t="s">
        <v>3941</v>
      </c>
      <c r="AS497" t="s">
        <v>3942</v>
      </c>
      <c r="AT497" t="s">
        <v>5285</v>
      </c>
      <c r="AU497" t="s">
        <v>3944</v>
      </c>
      <c r="AV497" t="s">
        <v>3945</v>
      </c>
      <c r="AW497" t="s">
        <v>3946</v>
      </c>
      <c r="AX497">
        <v>24</v>
      </c>
      <c r="AY497">
        <v>2</v>
      </c>
      <c r="AZ497" t="s">
        <v>3897</v>
      </c>
      <c r="BA497">
        <v>10</v>
      </c>
      <c r="BB497" t="s">
        <v>3898</v>
      </c>
      <c r="BC497">
        <v>3</v>
      </c>
      <c r="BD497">
        <v>5</v>
      </c>
      <c r="BE497" t="s">
        <v>3899</v>
      </c>
      <c r="BF497">
        <v>90</v>
      </c>
      <c r="BG497">
        <v>66</v>
      </c>
      <c r="BH497" t="s">
        <v>3965</v>
      </c>
      <c r="BI497" t="s">
        <v>5286</v>
      </c>
      <c r="BJ497">
        <v>1</v>
      </c>
      <c r="BK497" t="s">
        <v>3902</v>
      </c>
    </row>
    <row r="498" spans="1:63" x14ac:dyDescent="0.25">
      <c r="A498">
        <v>4438</v>
      </c>
      <c r="B498" t="str">
        <f>"20200129117017118289"</f>
        <v>20200129117017118289</v>
      </c>
      <c r="C498">
        <v>1</v>
      </c>
      <c r="D498">
        <v>1</v>
      </c>
      <c r="E498" t="s">
        <v>3886</v>
      </c>
      <c r="F498">
        <v>2</v>
      </c>
      <c r="G498">
        <v>0</v>
      </c>
      <c r="H498" t="s">
        <v>66</v>
      </c>
      <c r="I498">
        <v>0</v>
      </c>
      <c r="J498" t="s">
        <v>66</v>
      </c>
      <c r="K498">
        <v>0</v>
      </c>
      <c r="L498" t="s">
        <v>66</v>
      </c>
      <c r="M498" t="s">
        <v>56</v>
      </c>
      <c r="N498">
        <v>0</v>
      </c>
      <c r="O498" t="s">
        <v>66</v>
      </c>
      <c r="P498" t="s">
        <v>56</v>
      </c>
      <c r="Q498">
        <v>0</v>
      </c>
      <c r="R498" t="s">
        <v>66</v>
      </c>
      <c r="S498" t="s">
        <v>56</v>
      </c>
      <c r="T498">
        <v>1</v>
      </c>
      <c r="U498" t="s">
        <v>1627</v>
      </c>
      <c r="V498" t="s">
        <v>56</v>
      </c>
      <c r="W498">
        <v>0</v>
      </c>
      <c r="X498" t="s">
        <v>66</v>
      </c>
      <c r="Y498" t="s">
        <v>56</v>
      </c>
      <c r="Z498">
        <v>0</v>
      </c>
      <c r="AA498" t="s">
        <v>66</v>
      </c>
      <c r="AB498" t="s">
        <v>56</v>
      </c>
      <c r="AC498">
        <v>1</v>
      </c>
      <c r="AD498" t="s">
        <v>1627</v>
      </c>
      <c r="AE498" t="s">
        <v>3887</v>
      </c>
      <c r="AF498">
        <v>0</v>
      </c>
      <c r="AG498" t="s">
        <v>66</v>
      </c>
      <c r="AH498" t="s">
        <v>56</v>
      </c>
      <c r="AI498">
        <v>1</v>
      </c>
      <c r="AJ498" t="s">
        <v>1627</v>
      </c>
      <c r="AK498" t="s">
        <v>56</v>
      </c>
      <c r="AL498" t="s">
        <v>56</v>
      </c>
      <c r="AM498" t="s">
        <v>56</v>
      </c>
      <c r="AN498" t="s">
        <v>56</v>
      </c>
      <c r="AO498" t="s">
        <v>4046</v>
      </c>
      <c r="AP498" t="s">
        <v>3889</v>
      </c>
      <c r="AQ498" t="s">
        <v>3890</v>
      </c>
      <c r="AR498" t="s">
        <v>3926</v>
      </c>
      <c r="AS498" t="s">
        <v>3927</v>
      </c>
      <c r="AT498" t="s">
        <v>5245</v>
      </c>
      <c r="AU498" t="s">
        <v>3894</v>
      </c>
      <c r="AV498" t="s">
        <v>3895</v>
      </c>
      <c r="AW498" t="s">
        <v>3896</v>
      </c>
      <c r="AX498">
        <v>12</v>
      </c>
      <c r="AY498">
        <v>2</v>
      </c>
      <c r="AZ498" t="s">
        <v>3897</v>
      </c>
      <c r="BA498">
        <v>10</v>
      </c>
      <c r="BB498" t="s">
        <v>3898</v>
      </c>
      <c r="BC498">
        <v>60</v>
      </c>
      <c r="BD498">
        <v>3</v>
      </c>
      <c r="BE498" t="s">
        <v>3911</v>
      </c>
      <c r="BF498">
        <v>2</v>
      </c>
      <c r="BG498">
        <v>13</v>
      </c>
      <c r="BH498" t="s">
        <v>3900</v>
      </c>
      <c r="BI498" t="s">
        <v>4371</v>
      </c>
      <c r="BJ498">
        <v>1</v>
      </c>
      <c r="BK498" t="s">
        <v>3902</v>
      </c>
    </row>
    <row r="499" spans="1:63" x14ac:dyDescent="0.25">
      <c r="A499">
        <v>4439</v>
      </c>
      <c r="B499" t="str">
        <f>"20200129119017118364"</f>
        <v>20200129119017118364</v>
      </c>
      <c r="C499">
        <v>1</v>
      </c>
      <c r="D499">
        <v>1</v>
      </c>
      <c r="E499" t="s">
        <v>3886</v>
      </c>
      <c r="F499">
        <v>2</v>
      </c>
      <c r="G499">
        <v>0</v>
      </c>
      <c r="H499" t="s">
        <v>66</v>
      </c>
      <c r="I499">
        <v>0</v>
      </c>
      <c r="J499" t="s">
        <v>66</v>
      </c>
      <c r="K499">
        <v>0</v>
      </c>
      <c r="L499" t="s">
        <v>66</v>
      </c>
      <c r="M499" t="s">
        <v>56</v>
      </c>
      <c r="N499">
        <v>0</v>
      </c>
      <c r="O499" t="s">
        <v>66</v>
      </c>
      <c r="P499" t="s">
        <v>56</v>
      </c>
      <c r="Q499">
        <v>0</v>
      </c>
      <c r="R499" t="s">
        <v>66</v>
      </c>
      <c r="S499" t="s">
        <v>56</v>
      </c>
      <c r="T499">
        <v>1</v>
      </c>
      <c r="U499" t="s">
        <v>1627</v>
      </c>
      <c r="V499" t="s">
        <v>56</v>
      </c>
      <c r="W499">
        <v>0</v>
      </c>
      <c r="X499" t="s">
        <v>66</v>
      </c>
      <c r="Y499" t="s">
        <v>56</v>
      </c>
      <c r="Z499">
        <v>0</v>
      </c>
      <c r="AA499" t="s">
        <v>66</v>
      </c>
      <c r="AB499" t="s">
        <v>56</v>
      </c>
      <c r="AC499">
        <v>1</v>
      </c>
      <c r="AD499" t="s">
        <v>1627</v>
      </c>
      <c r="AE499" t="s">
        <v>3887</v>
      </c>
      <c r="AF499">
        <v>0</v>
      </c>
      <c r="AG499" t="s">
        <v>66</v>
      </c>
      <c r="AH499" t="s">
        <v>56</v>
      </c>
      <c r="AI499">
        <v>1</v>
      </c>
      <c r="AJ499" t="s">
        <v>1627</v>
      </c>
      <c r="AK499">
        <v>0</v>
      </c>
      <c r="AL499" t="s">
        <v>66</v>
      </c>
      <c r="AM499" t="s">
        <v>56</v>
      </c>
      <c r="AN499" t="s">
        <v>56</v>
      </c>
      <c r="AO499" t="s">
        <v>4442</v>
      </c>
      <c r="AP499" t="s">
        <v>3962</v>
      </c>
      <c r="AQ499" t="s">
        <v>3963</v>
      </c>
      <c r="AR499" t="s">
        <v>3941</v>
      </c>
      <c r="AS499" t="s">
        <v>3942</v>
      </c>
      <c r="AT499" t="s">
        <v>5287</v>
      </c>
      <c r="AU499" t="s">
        <v>3944</v>
      </c>
      <c r="AV499" t="s">
        <v>3945</v>
      </c>
      <c r="AW499" t="s">
        <v>3946</v>
      </c>
      <c r="AX499">
        <v>24</v>
      </c>
      <c r="AY499">
        <v>2</v>
      </c>
      <c r="AZ499" t="s">
        <v>3897</v>
      </c>
      <c r="BA499">
        <v>10</v>
      </c>
      <c r="BB499" t="s">
        <v>3898</v>
      </c>
      <c r="BC499">
        <v>90</v>
      </c>
      <c r="BD499">
        <v>3</v>
      </c>
      <c r="BE499" t="s">
        <v>3911</v>
      </c>
      <c r="BF499">
        <v>90</v>
      </c>
      <c r="BG499">
        <v>66</v>
      </c>
      <c r="BH499" t="s">
        <v>3965</v>
      </c>
      <c r="BI499" t="s">
        <v>5288</v>
      </c>
      <c r="BJ499">
        <v>1</v>
      </c>
      <c r="BK499" t="s">
        <v>3902</v>
      </c>
    </row>
    <row r="500" spans="1:63" x14ac:dyDescent="0.25">
      <c r="A500">
        <v>4440</v>
      </c>
      <c r="B500" t="str">
        <f>"20200129134017118435"</f>
        <v>20200129134017118435</v>
      </c>
      <c r="C500">
        <v>1</v>
      </c>
      <c r="D500">
        <v>1</v>
      </c>
      <c r="E500" t="s">
        <v>3886</v>
      </c>
      <c r="F500">
        <v>2</v>
      </c>
      <c r="G500">
        <v>0</v>
      </c>
      <c r="H500" t="s">
        <v>66</v>
      </c>
      <c r="I500">
        <v>0</v>
      </c>
      <c r="J500" t="s">
        <v>66</v>
      </c>
      <c r="K500">
        <v>1</v>
      </c>
      <c r="L500" t="s">
        <v>1627</v>
      </c>
      <c r="M500" t="s">
        <v>4704</v>
      </c>
      <c r="N500">
        <v>1</v>
      </c>
      <c r="O500" t="s">
        <v>1627</v>
      </c>
      <c r="P500" t="s">
        <v>4409</v>
      </c>
      <c r="Q500">
        <v>0</v>
      </c>
      <c r="R500" t="s">
        <v>66</v>
      </c>
      <c r="S500" t="s">
        <v>56</v>
      </c>
      <c r="T500" t="s">
        <v>56</v>
      </c>
      <c r="U500" t="s">
        <v>56</v>
      </c>
      <c r="V500" t="s">
        <v>56</v>
      </c>
      <c r="W500">
        <v>0</v>
      </c>
      <c r="X500" t="s">
        <v>66</v>
      </c>
      <c r="Y500" t="s">
        <v>56</v>
      </c>
      <c r="Z500">
        <v>0</v>
      </c>
      <c r="AA500" t="s">
        <v>66</v>
      </c>
      <c r="AB500" t="s">
        <v>56</v>
      </c>
      <c r="AC500">
        <v>0</v>
      </c>
      <c r="AD500" t="s">
        <v>66</v>
      </c>
      <c r="AE500" t="s">
        <v>56</v>
      </c>
      <c r="AF500">
        <v>0</v>
      </c>
      <c r="AG500" t="s">
        <v>66</v>
      </c>
      <c r="AH500" t="s">
        <v>56</v>
      </c>
      <c r="AI500">
        <v>1</v>
      </c>
      <c r="AJ500" t="s">
        <v>1627</v>
      </c>
      <c r="AK500" t="s">
        <v>56</v>
      </c>
      <c r="AL500" t="s">
        <v>56</v>
      </c>
      <c r="AM500" t="s">
        <v>56</v>
      </c>
      <c r="AN500" t="s">
        <v>56</v>
      </c>
      <c r="AO500" t="s">
        <v>4118</v>
      </c>
      <c r="AP500" t="s">
        <v>3962</v>
      </c>
      <c r="AQ500" t="s">
        <v>3963</v>
      </c>
      <c r="AR500" t="s">
        <v>3941</v>
      </c>
      <c r="AS500" t="s">
        <v>3942</v>
      </c>
      <c r="AT500" t="s">
        <v>5289</v>
      </c>
      <c r="AU500" t="s">
        <v>3944</v>
      </c>
      <c r="AV500" t="s">
        <v>3945</v>
      </c>
      <c r="AW500" t="s">
        <v>3946</v>
      </c>
      <c r="AX500">
        <v>8</v>
      </c>
      <c r="AY500">
        <v>2</v>
      </c>
      <c r="AZ500" t="s">
        <v>3897</v>
      </c>
      <c r="BA500">
        <v>10</v>
      </c>
      <c r="BB500" t="s">
        <v>3898</v>
      </c>
      <c r="BC500">
        <v>90</v>
      </c>
      <c r="BD500">
        <v>3</v>
      </c>
      <c r="BE500" t="s">
        <v>3911</v>
      </c>
      <c r="BF500">
        <v>270</v>
      </c>
      <c r="BG500">
        <v>66</v>
      </c>
      <c r="BH500" t="s">
        <v>3965</v>
      </c>
      <c r="BI500" t="s">
        <v>5290</v>
      </c>
      <c r="BJ500">
        <v>1</v>
      </c>
      <c r="BK500" t="s">
        <v>3902</v>
      </c>
    </row>
    <row r="501" spans="1:63" x14ac:dyDescent="0.25">
      <c r="A501">
        <v>4441</v>
      </c>
      <c r="B501" t="str">
        <f>"20200129121017118827"</f>
        <v>20200129121017118827</v>
      </c>
      <c r="C501">
        <v>1</v>
      </c>
      <c r="D501">
        <v>1</v>
      </c>
      <c r="E501" t="s">
        <v>3886</v>
      </c>
      <c r="F501">
        <v>2</v>
      </c>
      <c r="G501">
        <v>0</v>
      </c>
      <c r="H501" t="s">
        <v>66</v>
      </c>
      <c r="I501">
        <v>0</v>
      </c>
      <c r="J501" t="s">
        <v>66</v>
      </c>
      <c r="K501">
        <v>1</v>
      </c>
      <c r="L501" t="s">
        <v>1627</v>
      </c>
      <c r="M501" t="s">
        <v>5291</v>
      </c>
      <c r="N501">
        <v>1</v>
      </c>
      <c r="O501" t="s">
        <v>1627</v>
      </c>
      <c r="P501" t="s">
        <v>5292</v>
      </c>
      <c r="Q501">
        <v>0</v>
      </c>
      <c r="R501" t="s">
        <v>66</v>
      </c>
      <c r="S501" t="s">
        <v>56</v>
      </c>
      <c r="T501" t="s">
        <v>56</v>
      </c>
      <c r="U501" t="s">
        <v>56</v>
      </c>
      <c r="V501" t="s">
        <v>56</v>
      </c>
      <c r="W501">
        <v>0</v>
      </c>
      <c r="X501" t="s">
        <v>66</v>
      </c>
      <c r="Y501" t="s">
        <v>56</v>
      </c>
      <c r="Z501">
        <v>0</v>
      </c>
      <c r="AA501" t="s">
        <v>66</v>
      </c>
      <c r="AB501" t="s">
        <v>56</v>
      </c>
      <c r="AC501">
        <v>0</v>
      </c>
      <c r="AD501" t="s">
        <v>66</v>
      </c>
      <c r="AE501" t="s">
        <v>56</v>
      </c>
      <c r="AF501">
        <v>0</v>
      </c>
      <c r="AG501" t="s">
        <v>66</v>
      </c>
      <c r="AH501" t="s">
        <v>56</v>
      </c>
      <c r="AI501">
        <v>1</v>
      </c>
      <c r="AJ501" t="s">
        <v>1627</v>
      </c>
      <c r="AK501" t="s">
        <v>56</v>
      </c>
      <c r="AL501" t="s">
        <v>56</v>
      </c>
      <c r="AM501" t="s">
        <v>56</v>
      </c>
      <c r="AN501" t="s">
        <v>56</v>
      </c>
      <c r="AO501" t="s">
        <v>5293</v>
      </c>
      <c r="AP501" t="s">
        <v>3971</v>
      </c>
      <c r="AQ501" t="s">
        <v>3972</v>
      </c>
      <c r="AR501" t="s">
        <v>4146</v>
      </c>
      <c r="AS501" t="s">
        <v>4147</v>
      </c>
      <c r="AT501" t="s">
        <v>5294</v>
      </c>
      <c r="AU501" t="s">
        <v>4026</v>
      </c>
      <c r="AV501" t="s">
        <v>4027</v>
      </c>
      <c r="AW501" t="s">
        <v>4028</v>
      </c>
      <c r="AX501">
        <v>3</v>
      </c>
      <c r="AY501">
        <v>5</v>
      </c>
      <c r="AZ501" t="s">
        <v>3899</v>
      </c>
      <c r="BA501">
        <v>10</v>
      </c>
      <c r="BB501" t="s">
        <v>3898</v>
      </c>
      <c r="BC501">
        <v>3</v>
      </c>
      <c r="BD501">
        <v>5</v>
      </c>
      <c r="BE501" t="s">
        <v>3899</v>
      </c>
      <c r="BF501">
        <v>1</v>
      </c>
      <c r="BG501">
        <v>13</v>
      </c>
      <c r="BH501" t="s">
        <v>3900</v>
      </c>
      <c r="BI501" t="s">
        <v>5295</v>
      </c>
      <c r="BJ501">
        <v>1</v>
      </c>
      <c r="BK501" t="s">
        <v>3902</v>
      </c>
    </row>
    <row r="502" spans="1:63" x14ac:dyDescent="0.25">
      <c r="A502">
        <v>4442</v>
      </c>
      <c r="B502" t="str">
        <f>"20200129137017119253"</f>
        <v>20200129137017119253</v>
      </c>
      <c r="C502">
        <v>1</v>
      </c>
      <c r="D502">
        <v>1</v>
      </c>
      <c r="E502" t="s">
        <v>3886</v>
      </c>
      <c r="F502">
        <v>2</v>
      </c>
      <c r="G502">
        <v>0</v>
      </c>
      <c r="H502" t="s">
        <v>66</v>
      </c>
      <c r="I502">
        <v>0</v>
      </c>
      <c r="J502" t="s">
        <v>66</v>
      </c>
      <c r="K502">
        <v>1</v>
      </c>
      <c r="L502" t="s">
        <v>1627</v>
      </c>
      <c r="M502" t="s">
        <v>4821</v>
      </c>
      <c r="N502">
        <v>1</v>
      </c>
      <c r="O502" t="s">
        <v>1627</v>
      </c>
      <c r="P502" t="s">
        <v>5296</v>
      </c>
      <c r="Q502">
        <v>0</v>
      </c>
      <c r="R502" t="s">
        <v>66</v>
      </c>
      <c r="S502" t="s">
        <v>56</v>
      </c>
      <c r="T502" t="s">
        <v>56</v>
      </c>
      <c r="U502" t="s">
        <v>56</v>
      </c>
      <c r="V502" t="s">
        <v>56</v>
      </c>
      <c r="W502">
        <v>0</v>
      </c>
      <c r="X502" t="s">
        <v>66</v>
      </c>
      <c r="Y502" t="s">
        <v>56</v>
      </c>
      <c r="Z502">
        <v>0</v>
      </c>
      <c r="AA502" t="s">
        <v>66</v>
      </c>
      <c r="AB502" t="s">
        <v>56</v>
      </c>
      <c r="AC502">
        <v>0</v>
      </c>
      <c r="AD502" t="s">
        <v>66</v>
      </c>
      <c r="AE502" t="s">
        <v>56</v>
      </c>
      <c r="AF502">
        <v>0</v>
      </c>
      <c r="AG502" t="s">
        <v>66</v>
      </c>
      <c r="AH502" t="s">
        <v>56</v>
      </c>
      <c r="AI502">
        <v>1</v>
      </c>
      <c r="AJ502" t="s">
        <v>1627</v>
      </c>
      <c r="AK502" t="s">
        <v>56</v>
      </c>
      <c r="AL502" t="s">
        <v>56</v>
      </c>
      <c r="AM502" t="s">
        <v>56</v>
      </c>
      <c r="AN502" t="s">
        <v>56</v>
      </c>
      <c r="AO502" t="s">
        <v>4201</v>
      </c>
      <c r="AP502" t="s">
        <v>3962</v>
      </c>
      <c r="AQ502" t="s">
        <v>3963</v>
      </c>
      <c r="AR502" t="s">
        <v>3941</v>
      </c>
      <c r="AS502" t="s">
        <v>3942</v>
      </c>
      <c r="AT502" t="s">
        <v>5297</v>
      </c>
      <c r="AU502" t="s">
        <v>3944</v>
      </c>
      <c r="AV502" t="s">
        <v>3945</v>
      </c>
      <c r="AW502" t="s">
        <v>3946</v>
      </c>
      <c r="AX502">
        <v>24</v>
      </c>
      <c r="AY502">
        <v>2</v>
      </c>
      <c r="AZ502" t="s">
        <v>3897</v>
      </c>
      <c r="BA502">
        <v>10</v>
      </c>
      <c r="BB502" t="s">
        <v>3898</v>
      </c>
      <c r="BC502">
        <v>3</v>
      </c>
      <c r="BD502">
        <v>5</v>
      </c>
      <c r="BE502" t="s">
        <v>3899</v>
      </c>
      <c r="BF502">
        <v>90</v>
      </c>
      <c r="BG502">
        <v>14</v>
      </c>
      <c r="BH502" t="s">
        <v>3947</v>
      </c>
      <c r="BI502" t="s">
        <v>5298</v>
      </c>
      <c r="BJ502">
        <v>1</v>
      </c>
      <c r="BK502" t="s">
        <v>3902</v>
      </c>
    </row>
    <row r="503" spans="1:63" x14ac:dyDescent="0.25">
      <c r="A503">
        <v>4443</v>
      </c>
      <c r="B503" t="str">
        <f>"20200129192017119685"</f>
        <v>20200129192017119685</v>
      </c>
      <c r="C503">
        <v>1</v>
      </c>
      <c r="D503">
        <v>1</v>
      </c>
      <c r="E503" t="s">
        <v>3886</v>
      </c>
      <c r="F503">
        <v>1</v>
      </c>
      <c r="G503">
        <v>0</v>
      </c>
      <c r="H503" t="s">
        <v>66</v>
      </c>
      <c r="I503">
        <v>0</v>
      </c>
      <c r="J503" t="s">
        <v>66</v>
      </c>
      <c r="K503">
        <v>1</v>
      </c>
      <c r="L503" t="s">
        <v>1627</v>
      </c>
      <c r="M503" t="s">
        <v>5299</v>
      </c>
      <c r="N503">
        <v>1</v>
      </c>
      <c r="O503" t="s">
        <v>1627</v>
      </c>
      <c r="P503" t="s">
        <v>4552</v>
      </c>
      <c r="Q503">
        <v>0</v>
      </c>
      <c r="R503" t="s">
        <v>66</v>
      </c>
      <c r="S503" t="s">
        <v>56</v>
      </c>
      <c r="T503" t="s">
        <v>56</v>
      </c>
      <c r="U503" t="s">
        <v>56</v>
      </c>
      <c r="V503" t="s">
        <v>56</v>
      </c>
      <c r="W503">
        <v>0</v>
      </c>
      <c r="X503" t="s">
        <v>66</v>
      </c>
      <c r="Y503" t="s">
        <v>56</v>
      </c>
      <c r="Z503">
        <v>0</v>
      </c>
      <c r="AA503" t="s">
        <v>66</v>
      </c>
      <c r="AB503" t="s">
        <v>56</v>
      </c>
      <c r="AC503">
        <v>0</v>
      </c>
      <c r="AD503" t="s">
        <v>66</v>
      </c>
      <c r="AE503" t="s">
        <v>56</v>
      </c>
      <c r="AF503">
        <v>0</v>
      </c>
      <c r="AG503" t="s">
        <v>66</v>
      </c>
      <c r="AH503" t="s">
        <v>56</v>
      </c>
      <c r="AI503">
        <v>1</v>
      </c>
      <c r="AJ503" t="s">
        <v>1627</v>
      </c>
      <c r="AK503" t="s">
        <v>56</v>
      </c>
      <c r="AL503" t="s">
        <v>56</v>
      </c>
      <c r="AM503" t="s">
        <v>56</v>
      </c>
      <c r="AN503" t="s">
        <v>56</v>
      </c>
      <c r="AO503" t="s">
        <v>4807</v>
      </c>
      <c r="AP503" t="s">
        <v>3962</v>
      </c>
      <c r="AQ503" t="s">
        <v>3963</v>
      </c>
      <c r="AR503" t="s">
        <v>3941</v>
      </c>
      <c r="AS503" t="s">
        <v>3942</v>
      </c>
      <c r="AT503" t="s">
        <v>5300</v>
      </c>
      <c r="AU503" t="s">
        <v>3944</v>
      </c>
      <c r="AV503" t="s">
        <v>3945</v>
      </c>
      <c r="AW503" t="s">
        <v>3946</v>
      </c>
      <c r="AX503">
        <v>12</v>
      </c>
      <c r="AY503">
        <v>2</v>
      </c>
      <c r="AZ503" t="s">
        <v>3897</v>
      </c>
      <c r="BA503">
        <v>10</v>
      </c>
      <c r="BB503" t="s">
        <v>3898</v>
      </c>
      <c r="BC503">
        <v>90</v>
      </c>
      <c r="BD503">
        <v>3</v>
      </c>
      <c r="BE503" t="s">
        <v>3911</v>
      </c>
      <c r="BF503">
        <v>180</v>
      </c>
      <c r="BG503">
        <v>66</v>
      </c>
      <c r="BH503" t="s">
        <v>3965</v>
      </c>
      <c r="BI503" t="s">
        <v>5301</v>
      </c>
      <c r="BJ503">
        <v>1</v>
      </c>
      <c r="BK503" t="s">
        <v>3902</v>
      </c>
    </row>
    <row r="504" spans="1:63" x14ac:dyDescent="0.25">
      <c r="A504">
        <v>4444</v>
      </c>
      <c r="B504" t="str">
        <f>"20200129121017120575"</f>
        <v>20200129121017120575</v>
      </c>
      <c r="C504">
        <v>1</v>
      </c>
      <c r="D504">
        <v>1</v>
      </c>
      <c r="E504" t="s">
        <v>3886</v>
      </c>
      <c r="F504">
        <v>2</v>
      </c>
      <c r="G504">
        <v>0</v>
      </c>
      <c r="H504" t="s">
        <v>66</v>
      </c>
      <c r="I504">
        <v>0</v>
      </c>
      <c r="J504" t="s">
        <v>66</v>
      </c>
      <c r="K504">
        <v>1</v>
      </c>
      <c r="L504" t="s">
        <v>1627</v>
      </c>
      <c r="M504" t="s">
        <v>4030</v>
      </c>
      <c r="N504">
        <v>1</v>
      </c>
      <c r="O504" t="s">
        <v>1627</v>
      </c>
      <c r="P504" t="s">
        <v>5302</v>
      </c>
      <c r="Q504">
        <v>0</v>
      </c>
      <c r="R504" t="s">
        <v>66</v>
      </c>
      <c r="S504" t="s">
        <v>56</v>
      </c>
      <c r="T504" t="s">
        <v>56</v>
      </c>
      <c r="U504" t="s">
        <v>56</v>
      </c>
      <c r="V504" t="s">
        <v>56</v>
      </c>
      <c r="W504">
        <v>0</v>
      </c>
      <c r="X504" t="s">
        <v>66</v>
      </c>
      <c r="Y504" t="s">
        <v>56</v>
      </c>
      <c r="Z504">
        <v>0</v>
      </c>
      <c r="AA504" t="s">
        <v>66</v>
      </c>
      <c r="AB504" t="s">
        <v>56</v>
      </c>
      <c r="AC504">
        <v>0</v>
      </c>
      <c r="AD504" t="s">
        <v>66</v>
      </c>
      <c r="AE504" t="s">
        <v>56</v>
      </c>
      <c r="AF504">
        <v>0</v>
      </c>
      <c r="AG504" t="s">
        <v>66</v>
      </c>
      <c r="AH504" t="s">
        <v>56</v>
      </c>
      <c r="AI504">
        <v>1</v>
      </c>
      <c r="AJ504" t="s">
        <v>1627</v>
      </c>
      <c r="AK504" t="s">
        <v>56</v>
      </c>
      <c r="AL504" t="s">
        <v>56</v>
      </c>
      <c r="AM504" t="s">
        <v>56</v>
      </c>
      <c r="AN504" t="s">
        <v>56</v>
      </c>
      <c r="AO504" t="s">
        <v>5303</v>
      </c>
      <c r="AP504" t="s">
        <v>3962</v>
      </c>
      <c r="AQ504" t="s">
        <v>3963</v>
      </c>
      <c r="AR504" t="s">
        <v>3941</v>
      </c>
      <c r="AS504" t="s">
        <v>3942</v>
      </c>
      <c r="AT504" t="s">
        <v>5304</v>
      </c>
      <c r="AU504" t="s">
        <v>3944</v>
      </c>
      <c r="AV504" t="s">
        <v>3945</v>
      </c>
      <c r="AW504" t="s">
        <v>3946</v>
      </c>
      <c r="AX504">
        <v>24</v>
      </c>
      <c r="AY504">
        <v>2</v>
      </c>
      <c r="AZ504" t="s">
        <v>3897</v>
      </c>
      <c r="BA504">
        <v>10</v>
      </c>
      <c r="BB504" t="s">
        <v>3898</v>
      </c>
      <c r="BC504">
        <v>6</v>
      </c>
      <c r="BD504">
        <v>5</v>
      </c>
      <c r="BE504" t="s">
        <v>3899</v>
      </c>
      <c r="BF504">
        <v>180</v>
      </c>
      <c r="BG504">
        <v>66</v>
      </c>
      <c r="BH504" t="s">
        <v>3965</v>
      </c>
      <c r="BI504" t="s">
        <v>5305</v>
      </c>
      <c r="BJ504">
        <v>1</v>
      </c>
      <c r="BK504" t="s">
        <v>3902</v>
      </c>
    </row>
    <row r="505" spans="1:63" x14ac:dyDescent="0.25">
      <c r="A505">
        <v>4445</v>
      </c>
      <c r="B505" t="str">
        <f>"20200129174017120675"</f>
        <v>20200129174017120675</v>
      </c>
      <c r="C505">
        <v>1</v>
      </c>
      <c r="D505">
        <v>1</v>
      </c>
      <c r="E505" t="s">
        <v>3886</v>
      </c>
      <c r="F505">
        <v>2</v>
      </c>
      <c r="G505">
        <v>0</v>
      </c>
      <c r="H505" t="s">
        <v>66</v>
      </c>
      <c r="I505">
        <v>0</v>
      </c>
      <c r="J505" t="s">
        <v>66</v>
      </c>
      <c r="K505">
        <v>0</v>
      </c>
      <c r="L505" t="s">
        <v>66</v>
      </c>
      <c r="M505" t="s">
        <v>56</v>
      </c>
      <c r="N505">
        <v>0</v>
      </c>
      <c r="O505" t="s">
        <v>66</v>
      </c>
      <c r="P505" t="s">
        <v>56</v>
      </c>
      <c r="Q505">
        <v>0</v>
      </c>
      <c r="R505" t="s">
        <v>66</v>
      </c>
      <c r="S505" t="s">
        <v>56</v>
      </c>
      <c r="T505">
        <v>1</v>
      </c>
      <c r="U505" t="s">
        <v>1627</v>
      </c>
      <c r="V505" t="s">
        <v>56</v>
      </c>
      <c r="W505">
        <v>0</v>
      </c>
      <c r="X505" t="s">
        <v>66</v>
      </c>
      <c r="Y505" t="s">
        <v>56</v>
      </c>
      <c r="Z505">
        <v>0</v>
      </c>
      <c r="AA505" t="s">
        <v>66</v>
      </c>
      <c r="AB505" t="s">
        <v>56</v>
      </c>
      <c r="AC505">
        <v>1</v>
      </c>
      <c r="AD505" t="s">
        <v>1627</v>
      </c>
      <c r="AE505" t="s">
        <v>3887</v>
      </c>
      <c r="AF505">
        <v>0</v>
      </c>
      <c r="AG505" t="s">
        <v>66</v>
      </c>
      <c r="AH505" t="s">
        <v>56</v>
      </c>
      <c r="AI505">
        <v>1</v>
      </c>
      <c r="AJ505" t="s">
        <v>1627</v>
      </c>
      <c r="AK505">
        <v>0</v>
      </c>
      <c r="AL505" t="s">
        <v>66</v>
      </c>
      <c r="AM505" t="s">
        <v>56</v>
      </c>
      <c r="AN505" t="s">
        <v>56</v>
      </c>
      <c r="AO505" t="s">
        <v>4577</v>
      </c>
      <c r="AP505" t="s">
        <v>3889</v>
      </c>
      <c r="AQ505" t="s">
        <v>3890</v>
      </c>
      <c r="AR505" t="s">
        <v>3904</v>
      </c>
      <c r="AS505" t="s">
        <v>3905</v>
      </c>
      <c r="AT505" t="s">
        <v>5306</v>
      </c>
      <c r="AU505" t="s">
        <v>3944</v>
      </c>
      <c r="AV505" t="s">
        <v>3945</v>
      </c>
      <c r="AW505" t="s">
        <v>3946</v>
      </c>
      <c r="AX505">
        <v>8</v>
      </c>
      <c r="AY505">
        <v>3</v>
      </c>
      <c r="AZ505" t="s">
        <v>3911</v>
      </c>
      <c r="BA505">
        <v>10</v>
      </c>
      <c r="BB505" t="s">
        <v>3898</v>
      </c>
      <c r="BC505">
        <v>8</v>
      </c>
      <c r="BD505">
        <v>3</v>
      </c>
      <c r="BE505" t="s">
        <v>3911</v>
      </c>
      <c r="BF505">
        <v>6</v>
      </c>
      <c r="BG505" t="s">
        <v>3912</v>
      </c>
      <c r="BH505" t="s">
        <v>3913</v>
      </c>
      <c r="BI505" t="s">
        <v>5307</v>
      </c>
      <c r="BJ505">
        <v>1</v>
      </c>
      <c r="BK505" t="s">
        <v>3902</v>
      </c>
    </row>
    <row r="506" spans="1:63" x14ac:dyDescent="0.25">
      <c r="A506">
        <v>4446</v>
      </c>
      <c r="B506" t="str">
        <f>"20200129166017120808"</f>
        <v>20200129166017120808</v>
      </c>
      <c r="C506">
        <v>1</v>
      </c>
      <c r="D506">
        <v>1</v>
      </c>
      <c r="E506" t="s">
        <v>3886</v>
      </c>
      <c r="F506">
        <v>2</v>
      </c>
      <c r="G506">
        <v>0</v>
      </c>
      <c r="H506" t="s">
        <v>66</v>
      </c>
      <c r="I506">
        <v>0</v>
      </c>
      <c r="J506" t="s">
        <v>66</v>
      </c>
      <c r="K506">
        <v>0</v>
      </c>
      <c r="L506" t="s">
        <v>66</v>
      </c>
      <c r="M506" t="s">
        <v>56</v>
      </c>
      <c r="N506">
        <v>0</v>
      </c>
      <c r="O506" t="s">
        <v>66</v>
      </c>
      <c r="P506" t="s">
        <v>56</v>
      </c>
      <c r="Q506">
        <v>0</v>
      </c>
      <c r="R506" t="s">
        <v>66</v>
      </c>
      <c r="S506" t="s">
        <v>56</v>
      </c>
      <c r="T506">
        <v>1</v>
      </c>
      <c r="U506" t="s">
        <v>1627</v>
      </c>
      <c r="V506" t="s">
        <v>56</v>
      </c>
      <c r="W506">
        <v>0</v>
      </c>
      <c r="X506" t="s">
        <v>66</v>
      </c>
      <c r="Y506" t="s">
        <v>56</v>
      </c>
      <c r="Z506">
        <v>0</v>
      </c>
      <c r="AA506" t="s">
        <v>66</v>
      </c>
      <c r="AB506" t="s">
        <v>56</v>
      </c>
      <c r="AC506">
        <v>1</v>
      </c>
      <c r="AD506" t="s">
        <v>1627</v>
      </c>
      <c r="AE506" t="s">
        <v>3887</v>
      </c>
      <c r="AF506">
        <v>0</v>
      </c>
      <c r="AG506" t="s">
        <v>66</v>
      </c>
      <c r="AH506" t="s">
        <v>56</v>
      </c>
      <c r="AI506">
        <v>1</v>
      </c>
      <c r="AJ506" t="s">
        <v>1627</v>
      </c>
      <c r="AK506" t="s">
        <v>56</v>
      </c>
      <c r="AL506" t="s">
        <v>56</v>
      </c>
      <c r="AM506" t="s">
        <v>56</v>
      </c>
      <c r="AN506" t="s">
        <v>56</v>
      </c>
      <c r="AO506" t="s">
        <v>4046</v>
      </c>
      <c r="AP506" t="s">
        <v>3889</v>
      </c>
      <c r="AQ506" t="s">
        <v>3890</v>
      </c>
      <c r="AR506" t="s">
        <v>3926</v>
      </c>
      <c r="AS506" t="s">
        <v>3927</v>
      </c>
      <c r="AT506" t="s">
        <v>5308</v>
      </c>
      <c r="AU506" t="s">
        <v>3894</v>
      </c>
      <c r="AV506" t="s">
        <v>3895</v>
      </c>
      <c r="AW506" t="s">
        <v>3896</v>
      </c>
      <c r="AX506">
        <v>24</v>
      </c>
      <c r="AY506">
        <v>2</v>
      </c>
      <c r="AZ506" t="s">
        <v>3897</v>
      </c>
      <c r="BA506">
        <v>10</v>
      </c>
      <c r="BB506" t="s">
        <v>3898</v>
      </c>
      <c r="BC506">
        <v>6</v>
      </c>
      <c r="BD506">
        <v>5</v>
      </c>
      <c r="BE506" t="s">
        <v>3899</v>
      </c>
      <c r="BF506">
        <v>6</v>
      </c>
      <c r="BG506">
        <v>13</v>
      </c>
      <c r="BH506" t="s">
        <v>3900</v>
      </c>
      <c r="BI506" t="s">
        <v>4668</v>
      </c>
      <c r="BJ506">
        <v>1</v>
      </c>
      <c r="BK506" t="s">
        <v>3902</v>
      </c>
    </row>
    <row r="507" spans="1:63" x14ac:dyDescent="0.25">
      <c r="A507">
        <v>4447</v>
      </c>
      <c r="B507" t="str">
        <f>"20200129148017121112"</f>
        <v>20200129148017121112</v>
      </c>
      <c r="C507">
        <v>1</v>
      </c>
      <c r="D507">
        <v>1</v>
      </c>
      <c r="E507" t="s">
        <v>3886</v>
      </c>
      <c r="F507">
        <v>1</v>
      </c>
      <c r="G507">
        <v>0</v>
      </c>
      <c r="H507" t="s">
        <v>66</v>
      </c>
      <c r="I507">
        <v>0</v>
      </c>
      <c r="J507" t="s">
        <v>66</v>
      </c>
      <c r="K507">
        <v>1</v>
      </c>
      <c r="L507" t="s">
        <v>1627</v>
      </c>
      <c r="M507" t="s">
        <v>4030</v>
      </c>
      <c r="N507">
        <v>1</v>
      </c>
      <c r="O507" t="s">
        <v>1627</v>
      </c>
      <c r="P507" t="s">
        <v>4552</v>
      </c>
      <c r="Q507">
        <v>0</v>
      </c>
      <c r="R507" t="s">
        <v>66</v>
      </c>
      <c r="S507" t="s">
        <v>56</v>
      </c>
      <c r="T507" t="s">
        <v>56</v>
      </c>
      <c r="U507" t="s">
        <v>56</v>
      </c>
      <c r="V507" t="s">
        <v>56</v>
      </c>
      <c r="W507">
        <v>0</v>
      </c>
      <c r="X507" t="s">
        <v>66</v>
      </c>
      <c r="Y507" t="s">
        <v>56</v>
      </c>
      <c r="Z507">
        <v>0</v>
      </c>
      <c r="AA507" t="s">
        <v>66</v>
      </c>
      <c r="AB507" t="s">
        <v>56</v>
      </c>
      <c r="AC507">
        <v>0</v>
      </c>
      <c r="AD507" t="s">
        <v>66</v>
      </c>
      <c r="AE507" t="s">
        <v>56</v>
      </c>
      <c r="AF507">
        <v>0</v>
      </c>
      <c r="AG507" t="s">
        <v>66</v>
      </c>
      <c r="AH507" t="s">
        <v>56</v>
      </c>
      <c r="AI507">
        <v>1</v>
      </c>
      <c r="AJ507" t="s">
        <v>1627</v>
      </c>
      <c r="AK507" t="s">
        <v>56</v>
      </c>
      <c r="AL507" t="s">
        <v>56</v>
      </c>
      <c r="AM507" t="s">
        <v>56</v>
      </c>
      <c r="AN507" t="s">
        <v>56</v>
      </c>
      <c r="AO507" t="s">
        <v>5309</v>
      </c>
      <c r="AP507" t="s">
        <v>3962</v>
      </c>
      <c r="AQ507" t="s">
        <v>3963</v>
      </c>
      <c r="AR507" t="s">
        <v>3941</v>
      </c>
      <c r="AS507" t="s">
        <v>3942</v>
      </c>
      <c r="AT507" t="s">
        <v>5310</v>
      </c>
      <c r="AU507" t="s">
        <v>3944</v>
      </c>
      <c r="AV507" t="s">
        <v>3945</v>
      </c>
      <c r="AW507" t="s">
        <v>3946</v>
      </c>
      <c r="AX507">
        <v>24</v>
      </c>
      <c r="AY507">
        <v>2</v>
      </c>
      <c r="AZ507" t="s">
        <v>3897</v>
      </c>
      <c r="BA507">
        <v>1</v>
      </c>
      <c r="BB507" t="s">
        <v>4149</v>
      </c>
      <c r="BC507">
        <v>90</v>
      </c>
      <c r="BD507">
        <v>3</v>
      </c>
      <c r="BE507" t="s">
        <v>3911</v>
      </c>
      <c r="BF507">
        <v>90</v>
      </c>
      <c r="BG507">
        <v>66</v>
      </c>
      <c r="BH507" t="s">
        <v>3965</v>
      </c>
      <c r="BI507" t="s">
        <v>5311</v>
      </c>
      <c r="BJ507">
        <v>1</v>
      </c>
      <c r="BK507" t="s">
        <v>3902</v>
      </c>
    </row>
    <row r="508" spans="1:63" x14ac:dyDescent="0.25">
      <c r="A508">
        <v>4389</v>
      </c>
      <c r="B508" t="str">
        <f>"20200129190017109278"</f>
        <v>20200129190017109278</v>
      </c>
      <c r="C508">
        <v>1</v>
      </c>
      <c r="D508">
        <v>1</v>
      </c>
      <c r="E508" t="s">
        <v>3886</v>
      </c>
      <c r="F508">
        <v>2</v>
      </c>
      <c r="G508">
        <v>0</v>
      </c>
      <c r="H508" t="s">
        <v>66</v>
      </c>
      <c r="I508">
        <v>0</v>
      </c>
      <c r="J508" t="s">
        <v>66</v>
      </c>
      <c r="K508">
        <v>1</v>
      </c>
      <c r="L508" t="s">
        <v>1627</v>
      </c>
      <c r="M508" t="s">
        <v>4708</v>
      </c>
      <c r="N508">
        <v>1</v>
      </c>
      <c r="O508" t="s">
        <v>1627</v>
      </c>
      <c r="P508" t="s">
        <v>4709</v>
      </c>
      <c r="Q508">
        <v>0</v>
      </c>
      <c r="R508" t="s">
        <v>66</v>
      </c>
      <c r="S508" t="s">
        <v>56</v>
      </c>
      <c r="T508" t="s">
        <v>56</v>
      </c>
      <c r="U508" t="s">
        <v>56</v>
      </c>
      <c r="V508" t="s">
        <v>56</v>
      </c>
      <c r="W508">
        <v>0</v>
      </c>
      <c r="X508" t="s">
        <v>66</v>
      </c>
      <c r="Y508" t="s">
        <v>56</v>
      </c>
      <c r="Z508">
        <v>0</v>
      </c>
      <c r="AA508" t="s">
        <v>66</v>
      </c>
      <c r="AB508" t="s">
        <v>56</v>
      </c>
      <c r="AC508">
        <v>0</v>
      </c>
      <c r="AD508" t="s">
        <v>66</v>
      </c>
      <c r="AE508" t="s">
        <v>56</v>
      </c>
      <c r="AF508">
        <v>0</v>
      </c>
      <c r="AG508" t="s">
        <v>66</v>
      </c>
      <c r="AH508" t="s">
        <v>56</v>
      </c>
      <c r="AI508">
        <v>1</v>
      </c>
      <c r="AJ508" t="s">
        <v>1627</v>
      </c>
      <c r="AK508" t="s">
        <v>56</v>
      </c>
      <c r="AL508" t="s">
        <v>56</v>
      </c>
      <c r="AM508" t="s">
        <v>56</v>
      </c>
      <c r="AN508" t="s">
        <v>56</v>
      </c>
      <c r="AO508" t="s">
        <v>4710</v>
      </c>
      <c r="AP508" t="s">
        <v>4077</v>
      </c>
      <c r="AQ508" t="s">
        <v>4078</v>
      </c>
      <c r="AR508" t="s">
        <v>3941</v>
      </c>
      <c r="AS508" t="s">
        <v>3942</v>
      </c>
      <c r="AT508" t="s">
        <v>5312</v>
      </c>
      <c r="AU508">
        <v>9000</v>
      </c>
      <c r="AV508" t="s">
        <v>3956</v>
      </c>
      <c r="AW508" t="s">
        <v>3956</v>
      </c>
      <c r="AX508">
        <v>1</v>
      </c>
      <c r="AY508">
        <v>3</v>
      </c>
      <c r="AZ508" t="s">
        <v>3911</v>
      </c>
      <c r="BA508">
        <v>10</v>
      </c>
      <c r="BB508" t="s">
        <v>3898</v>
      </c>
      <c r="BC508">
        <v>100</v>
      </c>
      <c r="BD508">
        <v>3</v>
      </c>
      <c r="BE508" t="s">
        <v>3911</v>
      </c>
      <c r="BF508">
        <v>100</v>
      </c>
      <c r="BG508">
        <v>66</v>
      </c>
      <c r="BH508" t="s">
        <v>3965</v>
      </c>
      <c r="BI508" t="s">
        <v>4712</v>
      </c>
      <c r="BJ508">
        <v>1</v>
      </c>
      <c r="BK508" t="s">
        <v>3902</v>
      </c>
    </row>
    <row r="509" spans="1:63" x14ac:dyDescent="0.25">
      <c r="A509">
        <v>4420</v>
      </c>
      <c r="B509" t="str">
        <f>"20200129140017114226"</f>
        <v>20200129140017114226</v>
      </c>
      <c r="C509">
        <v>1</v>
      </c>
      <c r="D509">
        <v>1</v>
      </c>
      <c r="E509" t="s">
        <v>3886</v>
      </c>
      <c r="F509">
        <v>2</v>
      </c>
      <c r="G509">
        <v>0</v>
      </c>
      <c r="H509" t="s">
        <v>66</v>
      </c>
      <c r="I509">
        <v>0</v>
      </c>
      <c r="J509" t="s">
        <v>66</v>
      </c>
      <c r="K509">
        <v>0</v>
      </c>
      <c r="L509" t="s">
        <v>66</v>
      </c>
      <c r="M509" t="s">
        <v>56</v>
      </c>
      <c r="N509">
        <v>0</v>
      </c>
      <c r="O509" t="s">
        <v>66</v>
      </c>
      <c r="P509" t="s">
        <v>56</v>
      </c>
      <c r="Q509">
        <v>0</v>
      </c>
      <c r="R509" t="s">
        <v>66</v>
      </c>
      <c r="S509" t="s">
        <v>56</v>
      </c>
      <c r="T509">
        <v>1</v>
      </c>
      <c r="U509" t="s">
        <v>1627</v>
      </c>
      <c r="V509" t="s">
        <v>56</v>
      </c>
      <c r="W509">
        <v>0</v>
      </c>
      <c r="X509" t="s">
        <v>66</v>
      </c>
      <c r="Y509" t="s">
        <v>56</v>
      </c>
      <c r="Z509">
        <v>0</v>
      </c>
      <c r="AA509" t="s">
        <v>66</v>
      </c>
      <c r="AB509" t="s">
        <v>56</v>
      </c>
      <c r="AC509">
        <v>1</v>
      </c>
      <c r="AD509" t="s">
        <v>1627</v>
      </c>
      <c r="AE509" t="s">
        <v>3887</v>
      </c>
      <c r="AF509">
        <v>0</v>
      </c>
      <c r="AG509" t="s">
        <v>66</v>
      </c>
      <c r="AH509" t="s">
        <v>56</v>
      </c>
      <c r="AI509">
        <v>1</v>
      </c>
      <c r="AJ509" t="s">
        <v>1627</v>
      </c>
      <c r="AK509" t="s">
        <v>56</v>
      </c>
      <c r="AL509" t="s">
        <v>56</v>
      </c>
      <c r="AM509" t="s">
        <v>56</v>
      </c>
      <c r="AN509" t="s">
        <v>56</v>
      </c>
      <c r="AO509" t="s">
        <v>5313</v>
      </c>
      <c r="AP509" t="s">
        <v>3939</v>
      </c>
      <c r="AQ509" t="s">
        <v>3940</v>
      </c>
      <c r="AR509" t="s">
        <v>3941</v>
      </c>
      <c r="AS509" t="s">
        <v>3942</v>
      </c>
      <c r="AT509" t="s">
        <v>5314</v>
      </c>
      <c r="AU509" t="s">
        <v>3944</v>
      </c>
      <c r="AV509" t="s">
        <v>3945</v>
      </c>
      <c r="AW509" t="s">
        <v>3946</v>
      </c>
      <c r="AX509">
        <v>24</v>
      </c>
      <c r="AY509">
        <v>2</v>
      </c>
      <c r="AZ509" t="s">
        <v>3897</v>
      </c>
      <c r="BA509">
        <v>10</v>
      </c>
      <c r="BB509" t="s">
        <v>3898</v>
      </c>
      <c r="BC509">
        <v>120</v>
      </c>
      <c r="BD509">
        <v>3</v>
      </c>
      <c r="BE509" t="s">
        <v>3911</v>
      </c>
      <c r="BF509">
        <v>120</v>
      </c>
      <c r="BG509">
        <v>14</v>
      </c>
      <c r="BH509" t="s">
        <v>3947</v>
      </c>
      <c r="BI509" t="s">
        <v>5315</v>
      </c>
      <c r="BJ509">
        <v>1</v>
      </c>
      <c r="BK509" t="s">
        <v>3902</v>
      </c>
    </row>
    <row r="510" spans="1:63" x14ac:dyDescent="0.25">
      <c r="A510">
        <v>4495</v>
      </c>
      <c r="B510" t="str">
        <f>"20200130181017131591"</f>
        <v>20200130181017131591</v>
      </c>
      <c r="C510">
        <v>1</v>
      </c>
      <c r="D510">
        <v>1</v>
      </c>
      <c r="E510" t="s">
        <v>3886</v>
      </c>
      <c r="F510">
        <v>2</v>
      </c>
      <c r="G510">
        <v>0</v>
      </c>
      <c r="H510" t="s">
        <v>66</v>
      </c>
      <c r="I510">
        <v>0</v>
      </c>
      <c r="J510" t="s">
        <v>66</v>
      </c>
      <c r="K510">
        <v>0</v>
      </c>
      <c r="L510" t="s">
        <v>66</v>
      </c>
      <c r="M510" t="s">
        <v>56</v>
      </c>
      <c r="N510">
        <v>0</v>
      </c>
      <c r="O510" t="s">
        <v>66</v>
      </c>
      <c r="P510" t="s">
        <v>56</v>
      </c>
      <c r="Q510">
        <v>0</v>
      </c>
      <c r="R510" t="s">
        <v>66</v>
      </c>
      <c r="S510" t="s">
        <v>56</v>
      </c>
      <c r="T510">
        <v>1</v>
      </c>
      <c r="U510" t="s">
        <v>1627</v>
      </c>
      <c r="V510" t="s">
        <v>56</v>
      </c>
      <c r="W510">
        <v>0</v>
      </c>
      <c r="X510" t="s">
        <v>66</v>
      </c>
      <c r="Y510" t="s">
        <v>56</v>
      </c>
      <c r="Z510">
        <v>0</v>
      </c>
      <c r="AA510" t="s">
        <v>66</v>
      </c>
      <c r="AB510" t="s">
        <v>56</v>
      </c>
      <c r="AC510">
        <v>1</v>
      </c>
      <c r="AD510" t="s">
        <v>1627</v>
      </c>
      <c r="AE510" t="s">
        <v>3887</v>
      </c>
      <c r="AF510">
        <v>0</v>
      </c>
      <c r="AG510" t="s">
        <v>66</v>
      </c>
      <c r="AH510" t="s">
        <v>56</v>
      </c>
      <c r="AI510">
        <v>1</v>
      </c>
      <c r="AJ510" t="s">
        <v>1627</v>
      </c>
      <c r="AK510" t="s">
        <v>56</v>
      </c>
      <c r="AL510" t="s">
        <v>56</v>
      </c>
      <c r="AM510" t="s">
        <v>56</v>
      </c>
      <c r="AN510" t="s">
        <v>56</v>
      </c>
      <c r="AO510" t="s">
        <v>4142</v>
      </c>
      <c r="AP510" t="s">
        <v>3889</v>
      </c>
      <c r="AQ510" t="s">
        <v>3890</v>
      </c>
      <c r="AR510" t="s">
        <v>3926</v>
      </c>
      <c r="AS510" t="s">
        <v>3927</v>
      </c>
      <c r="AT510" t="s">
        <v>4143</v>
      </c>
      <c r="AU510" t="s">
        <v>3894</v>
      </c>
      <c r="AV510" t="s">
        <v>3895</v>
      </c>
      <c r="AW510" t="s">
        <v>3896</v>
      </c>
      <c r="AX510">
        <v>8</v>
      </c>
      <c r="AY510">
        <v>2</v>
      </c>
      <c r="AZ510" t="s">
        <v>3897</v>
      </c>
      <c r="BA510">
        <v>10</v>
      </c>
      <c r="BB510" t="s">
        <v>3898</v>
      </c>
      <c r="BC510">
        <v>6</v>
      </c>
      <c r="BD510">
        <v>5</v>
      </c>
      <c r="BE510" t="s">
        <v>3899</v>
      </c>
      <c r="BF510">
        <v>6</v>
      </c>
      <c r="BG510">
        <v>13</v>
      </c>
      <c r="BH510" t="s">
        <v>3900</v>
      </c>
      <c r="BI510" t="s">
        <v>5316</v>
      </c>
      <c r="BJ510">
        <v>1</v>
      </c>
      <c r="BK510" t="s">
        <v>3902</v>
      </c>
    </row>
    <row r="511" spans="1:63" x14ac:dyDescent="0.25">
      <c r="A511">
        <v>4496</v>
      </c>
      <c r="B511" t="str">
        <f>"20200130157017132471"</f>
        <v>20200130157017132471</v>
      </c>
      <c r="C511">
        <v>1</v>
      </c>
      <c r="D511">
        <v>1</v>
      </c>
      <c r="E511" t="s">
        <v>3886</v>
      </c>
      <c r="F511">
        <v>1</v>
      </c>
      <c r="G511">
        <v>0</v>
      </c>
      <c r="H511" t="s">
        <v>66</v>
      </c>
      <c r="I511">
        <v>0</v>
      </c>
      <c r="J511" t="s">
        <v>66</v>
      </c>
      <c r="K511">
        <v>0</v>
      </c>
      <c r="L511" t="s">
        <v>66</v>
      </c>
      <c r="M511" t="s">
        <v>56</v>
      </c>
      <c r="N511">
        <v>0</v>
      </c>
      <c r="O511" t="s">
        <v>66</v>
      </c>
      <c r="P511" t="s">
        <v>56</v>
      </c>
      <c r="Q511">
        <v>0</v>
      </c>
      <c r="R511" t="s">
        <v>66</v>
      </c>
      <c r="S511" t="s">
        <v>56</v>
      </c>
      <c r="T511">
        <v>1</v>
      </c>
      <c r="U511" t="s">
        <v>1627</v>
      </c>
      <c r="V511" t="s">
        <v>56</v>
      </c>
      <c r="W511">
        <v>0</v>
      </c>
      <c r="X511" t="s">
        <v>66</v>
      </c>
      <c r="Y511" t="s">
        <v>56</v>
      </c>
      <c r="Z511">
        <v>0</v>
      </c>
      <c r="AA511" t="s">
        <v>66</v>
      </c>
      <c r="AB511" t="s">
        <v>56</v>
      </c>
      <c r="AC511">
        <v>1</v>
      </c>
      <c r="AD511" t="s">
        <v>1627</v>
      </c>
      <c r="AE511" t="s">
        <v>3887</v>
      </c>
      <c r="AF511">
        <v>0</v>
      </c>
      <c r="AG511" t="s">
        <v>66</v>
      </c>
      <c r="AH511" t="s">
        <v>56</v>
      </c>
      <c r="AI511">
        <v>1</v>
      </c>
      <c r="AJ511" t="s">
        <v>1627</v>
      </c>
      <c r="AK511" t="s">
        <v>56</v>
      </c>
      <c r="AL511" t="s">
        <v>56</v>
      </c>
      <c r="AM511" t="s">
        <v>56</v>
      </c>
      <c r="AN511" t="s">
        <v>56</v>
      </c>
      <c r="AO511" t="s">
        <v>5317</v>
      </c>
      <c r="AP511" t="s">
        <v>3939</v>
      </c>
      <c r="AQ511" t="s">
        <v>3940</v>
      </c>
      <c r="AR511" t="s">
        <v>3941</v>
      </c>
      <c r="AS511" t="s">
        <v>3942</v>
      </c>
      <c r="AT511" t="s">
        <v>5318</v>
      </c>
      <c r="AU511">
        <v>9000</v>
      </c>
      <c r="AV511" t="s">
        <v>3956</v>
      </c>
      <c r="AW511" t="s">
        <v>3956</v>
      </c>
      <c r="AX511">
        <v>1</v>
      </c>
      <c r="AY511">
        <v>3</v>
      </c>
      <c r="AZ511" t="s">
        <v>3911</v>
      </c>
      <c r="BA511">
        <v>10</v>
      </c>
      <c r="BB511" t="s">
        <v>3898</v>
      </c>
      <c r="BC511">
        <v>4</v>
      </c>
      <c r="BD511">
        <v>5</v>
      </c>
      <c r="BE511" t="s">
        <v>3899</v>
      </c>
      <c r="BF511">
        <v>120</v>
      </c>
      <c r="BG511">
        <v>14</v>
      </c>
      <c r="BH511" t="s">
        <v>3947</v>
      </c>
      <c r="BI511" t="s">
        <v>5319</v>
      </c>
      <c r="BJ511">
        <v>1</v>
      </c>
      <c r="BK511" t="s">
        <v>3902</v>
      </c>
    </row>
    <row r="512" spans="1:63" x14ac:dyDescent="0.25">
      <c r="A512">
        <v>4497</v>
      </c>
      <c r="B512" t="str">
        <f>"20200130133017132624"</f>
        <v>20200130133017132624</v>
      </c>
      <c r="C512">
        <v>1</v>
      </c>
      <c r="D512">
        <v>1</v>
      </c>
      <c r="E512" t="s">
        <v>3886</v>
      </c>
      <c r="F512">
        <v>2</v>
      </c>
      <c r="G512">
        <v>0</v>
      </c>
      <c r="H512" t="s">
        <v>66</v>
      </c>
      <c r="I512">
        <v>0</v>
      </c>
      <c r="J512" t="s">
        <v>66</v>
      </c>
      <c r="K512">
        <v>1</v>
      </c>
      <c r="L512" t="s">
        <v>1627</v>
      </c>
      <c r="M512" t="s">
        <v>4859</v>
      </c>
      <c r="N512">
        <v>1</v>
      </c>
      <c r="O512" t="s">
        <v>1627</v>
      </c>
      <c r="P512" t="s">
        <v>4200</v>
      </c>
      <c r="Q512">
        <v>0</v>
      </c>
      <c r="R512" t="s">
        <v>66</v>
      </c>
      <c r="S512" t="s">
        <v>56</v>
      </c>
      <c r="T512" t="s">
        <v>56</v>
      </c>
      <c r="U512" t="s">
        <v>56</v>
      </c>
      <c r="V512" t="s">
        <v>56</v>
      </c>
      <c r="W512">
        <v>0</v>
      </c>
      <c r="X512" t="s">
        <v>66</v>
      </c>
      <c r="Y512" t="s">
        <v>56</v>
      </c>
      <c r="Z512">
        <v>0</v>
      </c>
      <c r="AA512" t="s">
        <v>66</v>
      </c>
      <c r="AB512" t="s">
        <v>56</v>
      </c>
      <c r="AC512">
        <v>0</v>
      </c>
      <c r="AD512" t="s">
        <v>66</v>
      </c>
      <c r="AE512" t="s">
        <v>56</v>
      </c>
      <c r="AF512">
        <v>0</v>
      </c>
      <c r="AG512" t="s">
        <v>66</v>
      </c>
      <c r="AH512" t="s">
        <v>56</v>
      </c>
      <c r="AI512">
        <v>1</v>
      </c>
      <c r="AJ512" t="s">
        <v>1627</v>
      </c>
      <c r="AK512" t="s">
        <v>56</v>
      </c>
      <c r="AL512" t="s">
        <v>56</v>
      </c>
      <c r="AM512" t="s">
        <v>56</v>
      </c>
      <c r="AN512" t="s">
        <v>56</v>
      </c>
      <c r="AO512" t="s">
        <v>5320</v>
      </c>
      <c r="AP512" t="s">
        <v>3934</v>
      </c>
      <c r="AQ512" t="s">
        <v>3935</v>
      </c>
      <c r="AR512" t="s">
        <v>5321</v>
      </c>
      <c r="AS512" t="s">
        <v>5322</v>
      </c>
      <c r="AT512" t="s">
        <v>5323</v>
      </c>
      <c r="AU512">
        <v>9000</v>
      </c>
      <c r="AV512" t="s">
        <v>3956</v>
      </c>
      <c r="AW512" t="s">
        <v>3956</v>
      </c>
      <c r="AX512">
        <v>12</v>
      </c>
      <c r="AY512">
        <v>2</v>
      </c>
      <c r="AZ512" t="s">
        <v>3897</v>
      </c>
      <c r="BA512">
        <v>10</v>
      </c>
      <c r="BB512" t="s">
        <v>3898</v>
      </c>
      <c r="BC512">
        <v>3</v>
      </c>
      <c r="BD512">
        <v>5</v>
      </c>
      <c r="BE512" t="s">
        <v>3899</v>
      </c>
      <c r="BF512">
        <v>2</v>
      </c>
      <c r="BG512">
        <v>13</v>
      </c>
      <c r="BH512" t="s">
        <v>3900</v>
      </c>
      <c r="BI512" t="s">
        <v>5324</v>
      </c>
      <c r="BJ512">
        <v>1</v>
      </c>
      <c r="BK512" t="s">
        <v>3902</v>
      </c>
    </row>
    <row r="513" spans="1:63" x14ac:dyDescent="0.25">
      <c r="A513">
        <v>4498</v>
      </c>
      <c r="B513" t="str">
        <f>"20200130154017132820"</f>
        <v>20200130154017132820</v>
      </c>
      <c r="C513">
        <v>1</v>
      </c>
      <c r="D513">
        <v>1</v>
      </c>
      <c r="E513" t="s">
        <v>3886</v>
      </c>
      <c r="F513">
        <v>2</v>
      </c>
      <c r="G513">
        <v>0</v>
      </c>
      <c r="H513" t="s">
        <v>66</v>
      </c>
      <c r="I513">
        <v>0</v>
      </c>
      <c r="J513" t="s">
        <v>66</v>
      </c>
      <c r="K513">
        <v>1</v>
      </c>
      <c r="L513" t="s">
        <v>1627</v>
      </c>
      <c r="M513" t="s">
        <v>4256</v>
      </c>
      <c r="N513">
        <v>1</v>
      </c>
      <c r="O513" t="s">
        <v>1627</v>
      </c>
      <c r="P513" t="s">
        <v>66</v>
      </c>
      <c r="Q513">
        <v>0</v>
      </c>
      <c r="R513" t="s">
        <v>66</v>
      </c>
      <c r="S513" t="s">
        <v>56</v>
      </c>
      <c r="T513" t="s">
        <v>56</v>
      </c>
      <c r="U513" t="s">
        <v>56</v>
      </c>
      <c r="V513" t="s">
        <v>56</v>
      </c>
      <c r="W513">
        <v>0</v>
      </c>
      <c r="X513" t="s">
        <v>66</v>
      </c>
      <c r="Y513" t="s">
        <v>56</v>
      </c>
      <c r="Z513">
        <v>0</v>
      </c>
      <c r="AA513" t="s">
        <v>66</v>
      </c>
      <c r="AB513" t="s">
        <v>56</v>
      </c>
      <c r="AC513">
        <v>0</v>
      </c>
      <c r="AD513" t="s">
        <v>66</v>
      </c>
      <c r="AE513" t="s">
        <v>56</v>
      </c>
      <c r="AF513">
        <v>0</v>
      </c>
      <c r="AG513" t="s">
        <v>66</v>
      </c>
      <c r="AH513" t="s">
        <v>56</v>
      </c>
      <c r="AI513">
        <v>1</v>
      </c>
      <c r="AJ513" t="s">
        <v>1627</v>
      </c>
      <c r="AK513" t="s">
        <v>56</v>
      </c>
      <c r="AL513" t="s">
        <v>56</v>
      </c>
      <c r="AM513" t="s">
        <v>56</v>
      </c>
      <c r="AN513" t="s">
        <v>56</v>
      </c>
      <c r="AO513" t="s">
        <v>4261</v>
      </c>
      <c r="AP513" t="s">
        <v>3996</v>
      </c>
      <c r="AQ513" t="s">
        <v>3997</v>
      </c>
      <c r="AR513" t="s">
        <v>4071</v>
      </c>
      <c r="AS513" t="s">
        <v>4072</v>
      </c>
      <c r="AT513" t="s">
        <v>5325</v>
      </c>
      <c r="AU513" t="s">
        <v>3944</v>
      </c>
      <c r="AV513" t="s">
        <v>3945</v>
      </c>
      <c r="AW513" t="s">
        <v>3946</v>
      </c>
      <c r="AX513">
        <v>12</v>
      </c>
      <c r="AY513">
        <v>2</v>
      </c>
      <c r="AZ513" t="s">
        <v>3897</v>
      </c>
      <c r="BA513">
        <v>10</v>
      </c>
      <c r="BB513" t="s">
        <v>3898</v>
      </c>
      <c r="BC513">
        <v>4</v>
      </c>
      <c r="BD513">
        <v>5</v>
      </c>
      <c r="BE513" t="s">
        <v>3899</v>
      </c>
      <c r="BF513">
        <v>3</v>
      </c>
      <c r="BG513">
        <v>73</v>
      </c>
      <c r="BH513" t="s">
        <v>3999</v>
      </c>
      <c r="BI513" t="s">
        <v>5326</v>
      </c>
      <c r="BJ513">
        <v>1</v>
      </c>
      <c r="BK513" t="s">
        <v>3902</v>
      </c>
    </row>
    <row r="514" spans="1:63" x14ac:dyDescent="0.25">
      <c r="A514">
        <v>4499</v>
      </c>
      <c r="B514" t="str">
        <f>"20200130182017133310"</f>
        <v>20200130182017133310</v>
      </c>
      <c r="C514">
        <v>1</v>
      </c>
      <c r="D514">
        <v>1</v>
      </c>
      <c r="E514" t="s">
        <v>3886</v>
      </c>
      <c r="F514">
        <v>2</v>
      </c>
      <c r="G514">
        <v>0</v>
      </c>
      <c r="H514" t="s">
        <v>66</v>
      </c>
      <c r="I514">
        <v>0</v>
      </c>
      <c r="J514" t="s">
        <v>66</v>
      </c>
      <c r="K514">
        <v>1</v>
      </c>
      <c r="L514" t="s">
        <v>1627</v>
      </c>
      <c r="M514" t="s">
        <v>4063</v>
      </c>
      <c r="N514">
        <v>1</v>
      </c>
      <c r="O514" t="s">
        <v>1627</v>
      </c>
      <c r="P514" t="s">
        <v>5327</v>
      </c>
      <c r="Q514">
        <v>0</v>
      </c>
      <c r="R514" t="s">
        <v>66</v>
      </c>
      <c r="S514" t="s">
        <v>56</v>
      </c>
      <c r="T514" t="s">
        <v>56</v>
      </c>
      <c r="U514" t="s">
        <v>56</v>
      </c>
      <c r="V514" t="s">
        <v>56</v>
      </c>
      <c r="W514">
        <v>0</v>
      </c>
      <c r="X514" t="s">
        <v>66</v>
      </c>
      <c r="Y514" t="s">
        <v>56</v>
      </c>
      <c r="Z514">
        <v>0</v>
      </c>
      <c r="AA514" t="s">
        <v>66</v>
      </c>
      <c r="AB514" t="s">
        <v>56</v>
      </c>
      <c r="AC514">
        <v>0</v>
      </c>
      <c r="AD514" t="s">
        <v>66</v>
      </c>
      <c r="AE514" t="s">
        <v>56</v>
      </c>
      <c r="AF514">
        <v>0</v>
      </c>
      <c r="AG514" t="s">
        <v>66</v>
      </c>
      <c r="AH514" t="s">
        <v>56</v>
      </c>
      <c r="AI514">
        <v>1</v>
      </c>
      <c r="AJ514" t="s">
        <v>1627</v>
      </c>
      <c r="AK514" t="s">
        <v>56</v>
      </c>
      <c r="AL514" t="s">
        <v>56</v>
      </c>
      <c r="AM514" t="s">
        <v>56</v>
      </c>
      <c r="AN514" t="s">
        <v>56</v>
      </c>
      <c r="AO514" t="s">
        <v>4294</v>
      </c>
      <c r="AP514" t="s">
        <v>3962</v>
      </c>
      <c r="AQ514" t="s">
        <v>3963</v>
      </c>
      <c r="AR514" t="s">
        <v>3941</v>
      </c>
      <c r="AS514" t="s">
        <v>3942</v>
      </c>
      <c r="AT514" t="s">
        <v>5328</v>
      </c>
      <c r="AU514" t="s">
        <v>3944</v>
      </c>
      <c r="AV514" t="s">
        <v>3945</v>
      </c>
      <c r="AW514" t="s">
        <v>3946</v>
      </c>
      <c r="AX514">
        <v>24</v>
      </c>
      <c r="AY514">
        <v>2</v>
      </c>
      <c r="AZ514" t="s">
        <v>3897</v>
      </c>
      <c r="BA514">
        <v>10</v>
      </c>
      <c r="BB514" t="s">
        <v>3898</v>
      </c>
      <c r="BC514">
        <v>90</v>
      </c>
      <c r="BD514">
        <v>3</v>
      </c>
      <c r="BE514" t="s">
        <v>3911</v>
      </c>
      <c r="BF514">
        <v>90</v>
      </c>
      <c r="BG514">
        <v>66</v>
      </c>
      <c r="BH514" t="s">
        <v>3965</v>
      </c>
      <c r="BI514" t="s">
        <v>5329</v>
      </c>
      <c r="BJ514">
        <v>1</v>
      </c>
      <c r="BK514" t="s">
        <v>3902</v>
      </c>
    </row>
    <row r="515" spans="1:63" x14ac:dyDescent="0.25">
      <c r="A515">
        <v>4500</v>
      </c>
      <c r="B515" t="str">
        <f>"20200130172017133407"</f>
        <v>20200130172017133407</v>
      </c>
      <c r="C515">
        <v>1</v>
      </c>
      <c r="D515">
        <v>1</v>
      </c>
      <c r="E515" t="s">
        <v>3886</v>
      </c>
      <c r="F515">
        <v>2</v>
      </c>
      <c r="G515">
        <v>0</v>
      </c>
      <c r="H515" t="s">
        <v>66</v>
      </c>
      <c r="I515">
        <v>0</v>
      </c>
      <c r="J515" t="s">
        <v>66</v>
      </c>
      <c r="K515">
        <v>1</v>
      </c>
      <c r="L515" t="s">
        <v>1627</v>
      </c>
      <c r="M515" t="s">
        <v>4821</v>
      </c>
      <c r="N515">
        <v>1</v>
      </c>
      <c r="O515" t="s">
        <v>1627</v>
      </c>
      <c r="P515" t="s">
        <v>4257</v>
      </c>
      <c r="Q515">
        <v>0</v>
      </c>
      <c r="R515" t="s">
        <v>66</v>
      </c>
      <c r="S515" t="s">
        <v>56</v>
      </c>
      <c r="T515" t="s">
        <v>56</v>
      </c>
      <c r="U515" t="s">
        <v>56</v>
      </c>
      <c r="V515" t="s">
        <v>56</v>
      </c>
      <c r="W515">
        <v>0</v>
      </c>
      <c r="X515" t="s">
        <v>66</v>
      </c>
      <c r="Y515" t="s">
        <v>56</v>
      </c>
      <c r="Z515">
        <v>0</v>
      </c>
      <c r="AA515" t="s">
        <v>66</v>
      </c>
      <c r="AB515" t="s">
        <v>56</v>
      </c>
      <c r="AC515">
        <v>0</v>
      </c>
      <c r="AD515" t="s">
        <v>66</v>
      </c>
      <c r="AE515" t="s">
        <v>56</v>
      </c>
      <c r="AF515">
        <v>0</v>
      </c>
      <c r="AG515" t="s">
        <v>66</v>
      </c>
      <c r="AH515" t="s">
        <v>56</v>
      </c>
      <c r="AI515">
        <v>1</v>
      </c>
      <c r="AJ515" t="s">
        <v>1627</v>
      </c>
      <c r="AK515" t="s">
        <v>56</v>
      </c>
      <c r="AL515" t="s">
        <v>56</v>
      </c>
      <c r="AM515" t="s">
        <v>56</v>
      </c>
      <c r="AN515" t="s">
        <v>56</v>
      </c>
      <c r="AO515" t="s">
        <v>5330</v>
      </c>
      <c r="AP515" t="s">
        <v>3962</v>
      </c>
      <c r="AQ515" t="s">
        <v>3963</v>
      </c>
      <c r="AR515" t="s">
        <v>3941</v>
      </c>
      <c r="AS515" t="s">
        <v>3942</v>
      </c>
      <c r="AT515" t="s">
        <v>5331</v>
      </c>
      <c r="AU515" t="s">
        <v>3944</v>
      </c>
      <c r="AV515" t="s">
        <v>3945</v>
      </c>
      <c r="AW515" t="s">
        <v>3946</v>
      </c>
      <c r="AX515">
        <v>12</v>
      </c>
      <c r="AY515">
        <v>2</v>
      </c>
      <c r="AZ515" t="s">
        <v>3897</v>
      </c>
      <c r="BA515">
        <v>10</v>
      </c>
      <c r="BB515" t="s">
        <v>3898</v>
      </c>
      <c r="BC515">
        <v>90</v>
      </c>
      <c r="BD515">
        <v>3</v>
      </c>
      <c r="BE515" t="s">
        <v>3911</v>
      </c>
      <c r="BF515">
        <v>180</v>
      </c>
      <c r="BG515">
        <v>66</v>
      </c>
      <c r="BH515" t="s">
        <v>3965</v>
      </c>
      <c r="BI515" t="s">
        <v>5332</v>
      </c>
      <c r="BJ515">
        <v>1</v>
      </c>
      <c r="BK515" t="s">
        <v>3902</v>
      </c>
    </row>
    <row r="516" spans="1:63" x14ac:dyDescent="0.25">
      <c r="A516">
        <v>4501</v>
      </c>
      <c r="B516" t="str">
        <f>"20200130111017133618"</f>
        <v>20200130111017133618</v>
      </c>
      <c r="C516">
        <v>1</v>
      </c>
      <c r="D516">
        <v>1</v>
      </c>
      <c r="E516" t="s">
        <v>3886</v>
      </c>
      <c r="F516">
        <v>1</v>
      </c>
      <c r="G516">
        <v>0</v>
      </c>
      <c r="H516" t="s">
        <v>66</v>
      </c>
      <c r="I516">
        <v>0</v>
      </c>
      <c r="J516" t="s">
        <v>66</v>
      </c>
      <c r="K516">
        <v>0</v>
      </c>
      <c r="L516" t="s">
        <v>66</v>
      </c>
      <c r="M516" t="s">
        <v>56</v>
      </c>
      <c r="N516">
        <v>0</v>
      </c>
      <c r="O516" t="s">
        <v>66</v>
      </c>
      <c r="P516" t="s">
        <v>56</v>
      </c>
      <c r="Q516">
        <v>0</v>
      </c>
      <c r="R516" t="s">
        <v>66</v>
      </c>
      <c r="S516" t="s">
        <v>56</v>
      </c>
      <c r="T516">
        <v>1</v>
      </c>
      <c r="U516" t="s">
        <v>1627</v>
      </c>
      <c r="V516" t="s">
        <v>56</v>
      </c>
      <c r="W516">
        <v>0</v>
      </c>
      <c r="X516" t="s">
        <v>66</v>
      </c>
      <c r="Y516" t="s">
        <v>56</v>
      </c>
      <c r="Z516">
        <v>0</v>
      </c>
      <c r="AA516" t="s">
        <v>66</v>
      </c>
      <c r="AB516" t="s">
        <v>56</v>
      </c>
      <c r="AC516">
        <v>1</v>
      </c>
      <c r="AD516" t="s">
        <v>1627</v>
      </c>
      <c r="AE516" t="s">
        <v>3887</v>
      </c>
      <c r="AF516">
        <v>0</v>
      </c>
      <c r="AG516" t="s">
        <v>66</v>
      </c>
      <c r="AH516" t="s">
        <v>56</v>
      </c>
      <c r="AI516">
        <v>1</v>
      </c>
      <c r="AJ516" t="s">
        <v>1627</v>
      </c>
      <c r="AK516" t="s">
        <v>56</v>
      </c>
      <c r="AL516" t="s">
        <v>56</v>
      </c>
      <c r="AM516" t="s">
        <v>56</v>
      </c>
      <c r="AN516" t="s">
        <v>56</v>
      </c>
      <c r="AO516" t="s">
        <v>5333</v>
      </c>
      <c r="AP516" t="s">
        <v>3939</v>
      </c>
      <c r="AQ516" t="s">
        <v>3940</v>
      </c>
      <c r="AR516" t="s">
        <v>3941</v>
      </c>
      <c r="AS516" t="s">
        <v>3942</v>
      </c>
      <c r="AT516" t="s">
        <v>5334</v>
      </c>
      <c r="AU516" t="s">
        <v>3944</v>
      </c>
      <c r="AV516" t="s">
        <v>3945</v>
      </c>
      <c r="AW516" t="s">
        <v>3946</v>
      </c>
      <c r="AX516">
        <v>12</v>
      </c>
      <c r="AY516">
        <v>2</v>
      </c>
      <c r="AZ516" t="s">
        <v>3897</v>
      </c>
      <c r="BA516">
        <v>10</v>
      </c>
      <c r="BB516" t="s">
        <v>3898</v>
      </c>
      <c r="BC516">
        <v>1</v>
      </c>
      <c r="BD516">
        <v>5</v>
      </c>
      <c r="BE516" t="s">
        <v>3899</v>
      </c>
      <c r="BF516">
        <v>60</v>
      </c>
      <c r="BG516">
        <v>66</v>
      </c>
      <c r="BH516" t="s">
        <v>3965</v>
      </c>
      <c r="BI516" t="s">
        <v>5335</v>
      </c>
      <c r="BJ516">
        <v>1</v>
      </c>
      <c r="BK516" t="s">
        <v>3902</v>
      </c>
    </row>
    <row r="517" spans="1:63" x14ac:dyDescent="0.25">
      <c r="A517">
        <v>4502</v>
      </c>
      <c r="B517" t="str">
        <f>"20200130150017133989"</f>
        <v>20200130150017133989</v>
      </c>
      <c r="C517">
        <v>1</v>
      </c>
      <c r="D517">
        <v>1</v>
      </c>
      <c r="E517" t="s">
        <v>3886</v>
      </c>
      <c r="F517">
        <v>2</v>
      </c>
      <c r="G517">
        <v>0</v>
      </c>
      <c r="H517" t="s">
        <v>66</v>
      </c>
      <c r="I517">
        <v>0</v>
      </c>
      <c r="J517" t="s">
        <v>66</v>
      </c>
      <c r="K517">
        <v>1</v>
      </c>
      <c r="L517" t="s">
        <v>1627</v>
      </c>
      <c r="M517" t="s">
        <v>4963</v>
      </c>
      <c r="N517">
        <v>1</v>
      </c>
      <c r="O517" t="s">
        <v>1627</v>
      </c>
      <c r="P517" t="s">
        <v>4464</v>
      </c>
      <c r="Q517">
        <v>0</v>
      </c>
      <c r="R517" t="s">
        <v>66</v>
      </c>
      <c r="S517" t="s">
        <v>56</v>
      </c>
      <c r="T517" t="s">
        <v>56</v>
      </c>
      <c r="U517" t="s">
        <v>56</v>
      </c>
      <c r="V517" t="s">
        <v>56</v>
      </c>
      <c r="W517">
        <v>0</v>
      </c>
      <c r="X517" t="s">
        <v>66</v>
      </c>
      <c r="Y517" t="s">
        <v>56</v>
      </c>
      <c r="Z517">
        <v>0</v>
      </c>
      <c r="AA517" t="s">
        <v>66</v>
      </c>
      <c r="AB517" t="s">
        <v>56</v>
      </c>
      <c r="AC517">
        <v>0</v>
      </c>
      <c r="AD517" t="s">
        <v>66</v>
      </c>
      <c r="AE517" t="s">
        <v>56</v>
      </c>
      <c r="AF517">
        <v>0</v>
      </c>
      <c r="AG517" t="s">
        <v>66</v>
      </c>
      <c r="AH517" t="s">
        <v>56</v>
      </c>
      <c r="AI517">
        <v>1</v>
      </c>
      <c r="AJ517" t="s">
        <v>1627</v>
      </c>
      <c r="AK517" t="s">
        <v>56</v>
      </c>
      <c r="AL517" t="s">
        <v>56</v>
      </c>
      <c r="AM517" t="s">
        <v>56</v>
      </c>
      <c r="AN517" t="s">
        <v>56</v>
      </c>
      <c r="AO517" t="s">
        <v>5336</v>
      </c>
      <c r="AP517" t="s">
        <v>5337</v>
      </c>
      <c r="AQ517" t="s">
        <v>5338</v>
      </c>
      <c r="AR517" t="s">
        <v>3941</v>
      </c>
      <c r="AS517" t="s">
        <v>3942</v>
      </c>
      <c r="AT517" t="s">
        <v>5339</v>
      </c>
      <c r="AU517" t="s">
        <v>4213</v>
      </c>
      <c r="AV517" t="s">
        <v>4214</v>
      </c>
      <c r="AW517" t="s">
        <v>4215</v>
      </c>
      <c r="AX517">
        <v>24</v>
      </c>
      <c r="AY517">
        <v>2</v>
      </c>
      <c r="AZ517" t="s">
        <v>3897</v>
      </c>
      <c r="BA517">
        <v>10</v>
      </c>
      <c r="BB517" t="s">
        <v>3898</v>
      </c>
      <c r="BC517">
        <v>90</v>
      </c>
      <c r="BD517">
        <v>3</v>
      </c>
      <c r="BE517" t="s">
        <v>3911</v>
      </c>
      <c r="BF517">
        <v>4</v>
      </c>
      <c r="BG517">
        <v>13</v>
      </c>
      <c r="BH517" t="s">
        <v>3900</v>
      </c>
      <c r="BI517" t="s">
        <v>5340</v>
      </c>
      <c r="BJ517">
        <v>1</v>
      </c>
      <c r="BK517" t="s">
        <v>3902</v>
      </c>
    </row>
    <row r="518" spans="1:63" x14ac:dyDescent="0.25">
      <c r="A518">
        <v>4503</v>
      </c>
      <c r="B518" t="str">
        <f>"20200130154017134418"</f>
        <v>20200130154017134418</v>
      </c>
      <c r="C518">
        <v>1</v>
      </c>
      <c r="D518">
        <v>1</v>
      </c>
      <c r="E518" t="s">
        <v>3886</v>
      </c>
      <c r="F518">
        <v>2</v>
      </c>
      <c r="G518">
        <v>0</v>
      </c>
      <c r="H518" t="s">
        <v>66</v>
      </c>
      <c r="I518">
        <v>0</v>
      </c>
      <c r="J518" t="s">
        <v>66</v>
      </c>
      <c r="K518">
        <v>0</v>
      </c>
      <c r="L518" t="s">
        <v>66</v>
      </c>
      <c r="M518" t="s">
        <v>56</v>
      </c>
      <c r="N518">
        <v>0</v>
      </c>
      <c r="O518" t="s">
        <v>66</v>
      </c>
      <c r="P518" t="s">
        <v>56</v>
      </c>
      <c r="Q518">
        <v>0</v>
      </c>
      <c r="R518" t="s">
        <v>66</v>
      </c>
      <c r="S518" t="s">
        <v>56</v>
      </c>
      <c r="T518">
        <v>1</v>
      </c>
      <c r="U518" t="s">
        <v>1627</v>
      </c>
      <c r="V518" t="s">
        <v>56</v>
      </c>
      <c r="W518">
        <v>0</v>
      </c>
      <c r="X518" t="s">
        <v>66</v>
      </c>
      <c r="Y518" t="s">
        <v>56</v>
      </c>
      <c r="Z518">
        <v>0</v>
      </c>
      <c r="AA518" t="s">
        <v>66</v>
      </c>
      <c r="AB518" t="s">
        <v>56</v>
      </c>
      <c r="AC518">
        <v>1</v>
      </c>
      <c r="AD518" t="s">
        <v>1627</v>
      </c>
      <c r="AE518" t="s">
        <v>3887</v>
      </c>
      <c r="AF518">
        <v>0</v>
      </c>
      <c r="AG518" t="s">
        <v>66</v>
      </c>
      <c r="AH518" t="s">
        <v>56</v>
      </c>
      <c r="AI518">
        <v>1</v>
      </c>
      <c r="AJ518" t="s">
        <v>1627</v>
      </c>
      <c r="AK518" t="s">
        <v>56</v>
      </c>
      <c r="AL518" t="s">
        <v>56</v>
      </c>
      <c r="AM518" t="s">
        <v>56</v>
      </c>
      <c r="AN518" t="s">
        <v>56</v>
      </c>
      <c r="AO518" t="s">
        <v>5341</v>
      </c>
      <c r="AP518" t="s">
        <v>3962</v>
      </c>
      <c r="AQ518" t="s">
        <v>3963</v>
      </c>
      <c r="AR518" t="s">
        <v>3941</v>
      </c>
      <c r="AS518" t="s">
        <v>3942</v>
      </c>
      <c r="AT518" t="s">
        <v>5342</v>
      </c>
      <c r="AU518" t="s">
        <v>3944</v>
      </c>
      <c r="AV518" t="s">
        <v>3945</v>
      </c>
      <c r="AW518" t="s">
        <v>3946</v>
      </c>
      <c r="AX518">
        <v>24</v>
      </c>
      <c r="AY518">
        <v>2</v>
      </c>
      <c r="AZ518" t="s">
        <v>3897</v>
      </c>
      <c r="BA518">
        <v>10</v>
      </c>
      <c r="BB518" t="s">
        <v>3898</v>
      </c>
      <c r="BC518">
        <v>90</v>
      </c>
      <c r="BD518">
        <v>3</v>
      </c>
      <c r="BE518" t="s">
        <v>3911</v>
      </c>
      <c r="BF518">
        <v>90</v>
      </c>
      <c r="BG518">
        <v>66</v>
      </c>
      <c r="BH518" t="s">
        <v>3965</v>
      </c>
      <c r="BI518" t="s">
        <v>5343</v>
      </c>
      <c r="BJ518">
        <v>1</v>
      </c>
      <c r="BK518" t="s">
        <v>3902</v>
      </c>
    </row>
    <row r="519" spans="1:63" x14ac:dyDescent="0.25">
      <c r="A519">
        <v>4504</v>
      </c>
      <c r="B519" t="str">
        <f>"20200130119017134422"</f>
        <v>20200130119017134422</v>
      </c>
      <c r="C519">
        <v>1</v>
      </c>
      <c r="D519">
        <v>1</v>
      </c>
      <c r="E519" t="s">
        <v>3886</v>
      </c>
      <c r="F519">
        <v>1</v>
      </c>
      <c r="G519">
        <v>0</v>
      </c>
      <c r="H519" t="s">
        <v>66</v>
      </c>
      <c r="I519">
        <v>0</v>
      </c>
      <c r="J519" t="s">
        <v>66</v>
      </c>
      <c r="K519">
        <v>0</v>
      </c>
      <c r="L519" t="s">
        <v>66</v>
      </c>
      <c r="M519" t="s">
        <v>56</v>
      </c>
      <c r="N519">
        <v>0</v>
      </c>
      <c r="O519" t="s">
        <v>66</v>
      </c>
      <c r="P519" t="s">
        <v>56</v>
      </c>
      <c r="Q519">
        <v>0</v>
      </c>
      <c r="R519" t="s">
        <v>66</v>
      </c>
      <c r="S519" t="s">
        <v>56</v>
      </c>
      <c r="T519">
        <v>1</v>
      </c>
      <c r="U519" t="s">
        <v>1627</v>
      </c>
      <c r="V519" t="s">
        <v>56</v>
      </c>
      <c r="W519">
        <v>0</v>
      </c>
      <c r="X519" t="s">
        <v>66</v>
      </c>
      <c r="Y519" t="s">
        <v>56</v>
      </c>
      <c r="Z519">
        <v>0</v>
      </c>
      <c r="AA519" t="s">
        <v>66</v>
      </c>
      <c r="AB519" t="s">
        <v>56</v>
      </c>
      <c r="AC519">
        <v>1</v>
      </c>
      <c r="AD519" t="s">
        <v>1627</v>
      </c>
      <c r="AE519" t="s">
        <v>3887</v>
      </c>
      <c r="AF519">
        <v>0</v>
      </c>
      <c r="AG519" t="s">
        <v>66</v>
      </c>
      <c r="AH519" t="s">
        <v>56</v>
      </c>
      <c r="AI519">
        <v>1</v>
      </c>
      <c r="AJ519" t="s">
        <v>1627</v>
      </c>
      <c r="AK519" t="s">
        <v>56</v>
      </c>
      <c r="AL519" t="s">
        <v>56</v>
      </c>
      <c r="AM519" t="s">
        <v>56</v>
      </c>
      <c r="AN519" t="s">
        <v>56</v>
      </c>
      <c r="AO519" t="s">
        <v>5344</v>
      </c>
      <c r="AP519" t="s">
        <v>3889</v>
      </c>
      <c r="AQ519" t="s">
        <v>3890</v>
      </c>
      <c r="AR519" t="s">
        <v>5345</v>
      </c>
      <c r="AS519" t="s">
        <v>5346</v>
      </c>
      <c r="AT519" t="s">
        <v>5347</v>
      </c>
      <c r="AU519">
        <v>9000</v>
      </c>
      <c r="AV519" t="s">
        <v>3956</v>
      </c>
      <c r="AW519" t="s">
        <v>3956</v>
      </c>
      <c r="AX519">
        <v>1</v>
      </c>
      <c r="AY519">
        <v>4</v>
      </c>
      <c r="AZ519" t="s">
        <v>4302</v>
      </c>
      <c r="BA519">
        <v>10</v>
      </c>
      <c r="BB519" t="s">
        <v>3898</v>
      </c>
      <c r="BC519">
        <v>3</v>
      </c>
      <c r="BD519">
        <v>4</v>
      </c>
      <c r="BE519" t="s">
        <v>4302</v>
      </c>
      <c r="BF519">
        <v>3</v>
      </c>
      <c r="BG519" t="s">
        <v>3912</v>
      </c>
      <c r="BH519" t="s">
        <v>3913</v>
      </c>
      <c r="BI519" t="s">
        <v>5348</v>
      </c>
      <c r="BJ519">
        <v>1</v>
      </c>
      <c r="BK519" t="s">
        <v>3902</v>
      </c>
    </row>
    <row r="520" spans="1:63" x14ac:dyDescent="0.25">
      <c r="A520">
        <v>4505</v>
      </c>
      <c r="B520" t="str">
        <f>"20200130190017134834"</f>
        <v>20200130190017134834</v>
      </c>
      <c r="C520">
        <v>1</v>
      </c>
      <c r="D520">
        <v>1</v>
      </c>
      <c r="E520" t="s">
        <v>3886</v>
      </c>
      <c r="F520">
        <v>2</v>
      </c>
      <c r="G520">
        <v>0</v>
      </c>
      <c r="H520" t="s">
        <v>66</v>
      </c>
      <c r="I520">
        <v>0</v>
      </c>
      <c r="J520" t="s">
        <v>66</v>
      </c>
      <c r="K520">
        <v>0</v>
      </c>
      <c r="L520" t="s">
        <v>66</v>
      </c>
      <c r="M520" t="s">
        <v>56</v>
      </c>
      <c r="N520">
        <v>0</v>
      </c>
      <c r="O520" t="s">
        <v>66</v>
      </c>
      <c r="P520" t="s">
        <v>56</v>
      </c>
      <c r="Q520">
        <v>0</v>
      </c>
      <c r="R520" t="s">
        <v>66</v>
      </c>
      <c r="S520" t="s">
        <v>56</v>
      </c>
      <c r="T520">
        <v>1</v>
      </c>
      <c r="U520" t="s">
        <v>1627</v>
      </c>
      <c r="V520" t="s">
        <v>56</v>
      </c>
      <c r="W520">
        <v>0</v>
      </c>
      <c r="X520" t="s">
        <v>66</v>
      </c>
      <c r="Y520" t="s">
        <v>56</v>
      </c>
      <c r="Z520">
        <v>0</v>
      </c>
      <c r="AA520" t="s">
        <v>66</v>
      </c>
      <c r="AB520" t="s">
        <v>56</v>
      </c>
      <c r="AC520">
        <v>1</v>
      </c>
      <c r="AD520" t="s">
        <v>1627</v>
      </c>
      <c r="AE520" t="s">
        <v>3887</v>
      </c>
      <c r="AF520">
        <v>0</v>
      </c>
      <c r="AG520" t="s">
        <v>66</v>
      </c>
      <c r="AH520" t="s">
        <v>56</v>
      </c>
      <c r="AI520">
        <v>1</v>
      </c>
      <c r="AJ520" t="s">
        <v>1627</v>
      </c>
      <c r="AK520" t="s">
        <v>56</v>
      </c>
      <c r="AL520" t="s">
        <v>56</v>
      </c>
      <c r="AM520" t="s">
        <v>56</v>
      </c>
      <c r="AN520" t="s">
        <v>56</v>
      </c>
      <c r="AO520" t="s">
        <v>3888</v>
      </c>
      <c r="AP520" t="s">
        <v>3889</v>
      </c>
      <c r="AQ520" t="s">
        <v>3890</v>
      </c>
      <c r="AR520" t="s">
        <v>3891</v>
      </c>
      <c r="AS520" t="s">
        <v>3892</v>
      </c>
      <c r="AT520" t="s">
        <v>3893</v>
      </c>
      <c r="AU520" t="s">
        <v>3894</v>
      </c>
      <c r="AV520" t="s">
        <v>3895</v>
      </c>
      <c r="AW520" t="s">
        <v>3896</v>
      </c>
      <c r="AX520">
        <v>6</v>
      </c>
      <c r="AY520">
        <v>2</v>
      </c>
      <c r="AZ520" t="s">
        <v>3897</v>
      </c>
      <c r="BA520">
        <v>10</v>
      </c>
      <c r="BB520" t="s">
        <v>3898</v>
      </c>
      <c r="BC520">
        <v>4</v>
      </c>
      <c r="BD520">
        <v>5</v>
      </c>
      <c r="BE520" t="s">
        <v>3899</v>
      </c>
      <c r="BF520">
        <v>4</v>
      </c>
      <c r="BG520">
        <v>13</v>
      </c>
      <c r="BH520" t="s">
        <v>3900</v>
      </c>
      <c r="BI520" t="s">
        <v>3901</v>
      </c>
      <c r="BJ520">
        <v>1</v>
      </c>
      <c r="BK520" t="s">
        <v>3902</v>
      </c>
    </row>
    <row r="521" spans="1:63" x14ac:dyDescent="0.25">
      <c r="A521">
        <v>4506</v>
      </c>
      <c r="B521" t="str">
        <f>"20200130192017134985"</f>
        <v>20200130192017134985</v>
      </c>
      <c r="C521">
        <v>1</v>
      </c>
      <c r="D521">
        <v>1</v>
      </c>
      <c r="E521" t="s">
        <v>3886</v>
      </c>
      <c r="F521">
        <v>2</v>
      </c>
      <c r="G521">
        <v>0</v>
      </c>
      <c r="H521" t="s">
        <v>66</v>
      </c>
      <c r="I521">
        <v>0</v>
      </c>
      <c r="J521" t="s">
        <v>66</v>
      </c>
      <c r="K521">
        <v>1</v>
      </c>
      <c r="L521" t="s">
        <v>1627</v>
      </c>
      <c r="M521" t="s">
        <v>4963</v>
      </c>
      <c r="N521">
        <v>1</v>
      </c>
      <c r="O521" t="s">
        <v>1627</v>
      </c>
      <c r="P521" t="s">
        <v>4956</v>
      </c>
      <c r="Q521">
        <v>0</v>
      </c>
      <c r="R521" t="s">
        <v>66</v>
      </c>
      <c r="S521" t="s">
        <v>56</v>
      </c>
      <c r="T521" t="s">
        <v>56</v>
      </c>
      <c r="U521" t="s">
        <v>56</v>
      </c>
      <c r="V521" t="s">
        <v>56</v>
      </c>
      <c r="W521">
        <v>0</v>
      </c>
      <c r="X521" t="s">
        <v>66</v>
      </c>
      <c r="Y521" t="s">
        <v>56</v>
      </c>
      <c r="Z521">
        <v>0</v>
      </c>
      <c r="AA521" t="s">
        <v>66</v>
      </c>
      <c r="AB521" t="s">
        <v>56</v>
      </c>
      <c r="AC521">
        <v>0</v>
      </c>
      <c r="AD521" t="s">
        <v>66</v>
      </c>
      <c r="AE521" t="s">
        <v>56</v>
      </c>
      <c r="AF521">
        <v>0</v>
      </c>
      <c r="AG521" t="s">
        <v>66</v>
      </c>
      <c r="AH521" t="s">
        <v>56</v>
      </c>
      <c r="AI521">
        <v>1</v>
      </c>
      <c r="AJ521" t="s">
        <v>1627</v>
      </c>
      <c r="AK521" t="s">
        <v>56</v>
      </c>
      <c r="AL521" t="s">
        <v>56</v>
      </c>
      <c r="AM521" t="s">
        <v>56</v>
      </c>
      <c r="AN521" t="s">
        <v>56</v>
      </c>
      <c r="AO521" t="s">
        <v>5349</v>
      </c>
      <c r="AP521" t="s">
        <v>3962</v>
      </c>
      <c r="AQ521" t="s">
        <v>3963</v>
      </c>
      <c r="AR521" t="s">
        <v>3941</v>
      </c>
      <c r="AS521" t="s">
        <v>3942</v>
      </c>
      <c r="AT521" t="s">
        <v>5350</v>
      </c>
      <c r="AU521" t="s">
        <v>3944</v>
      </c>
      <c r="AV521" t="s">
        <v>3945</v>
      </c>
      <c r="AW521" t="s">
        <v>3946</v>
      </c>
      <c r="AX521">
        <v>1</v>
      </c>
      <c r="AY521">
        <v>3</v>
      </c>
      <c r="AZ521" t="s">
        <v>3911</v>
      </c>
      <c r="BA521">
        <v>10</v>
      </c>
      <c r="BB521" t="s">
        <v>3898</v>
      </c>
      <c r="BC521">
        <v>2</v>
      </c>
      <c r="BD521">
        <v>5</v>
      </c>
      <c r="BE521" t="s">
        <v>3899</v>
      </c>
      <c r="BF521">
        <v>60</v>
      </c>
      <c r="BG521">
        <v>66</v>
      </c>
      <c r="BH521" t="s">
        <v>3965</v>
      </c>
      <c r="BI521" t="s">
        <v>5351</v>
      </c>
      <c r="BJ521">
        <v>1</v>
      </c>
      <c r="BK521" t="s">
        <v>3902</v>
      </c>
    </row>
    <row r="522" spans="1:63" x14ac:dyDescent="0.25">
      <c r="A522">
        <v>4448</v>
      </c>
      <c r="B522" t="str">
        <f>"20200129173017121425"</f>
        <v>20200129173017121425</v>
      </c>
      <c r="C522">
        <v>1</v>
      </c>
      <c r="D522">
        <v>1</v>
      </c>
      <c r="E522" t="s">
        <v>3886</v>
      </c>
      <c r="F522">
        <v>2</v>
      </c>
      <c r="G522">
        <v>0</v>
      </c>
      <c r="H522" t="s">
        <v>66</v>
      </c>
      <c r="I522">
        <v>0</v>
      </c>
      <c r="J522" t="s">
        <v>66</v>
      </c>
      <c r="K522">
        <v>0</v>
      </c>
      <c r="L522" t="s">
        <v>66</v>
      </c>
      <c r="M522" t="s">
        <v>56</v>
      </c>
      <c r="N522">
        <v>0</v>
      </c>
      <c r="O522" t="s">
        <v>66</v>
      </c>
      <c r="P522" t="s">
        <v>56</v>
      </c>
      <c r="Q522">
        <v>0</v>
      </c>
      <c r="R522" t="s">
        <v>66</v>
      </c>
      <c r="S522" t="s">
        <v>56</v>
      </c>
      <c r="T522">
        <v>1</v>
      </c>
      <c r="U522" t="s">
        <v>1627</v>
      </c>
      <c r="V522" t="s">
        <v>56</v>
      </c>
      <c r="W522">
        <v>0</v>
      </c>
      <c r="X522" t="s">
        <v>66</v>
      </c>
      <c r="Y522" t="s">
        <v>56</v>
      </c>
      <c r="Z522">
        <v>0</v>
      </c>
      <c r="AA522" t="s">
        <v>66</v>
      </c>
      <c r="AB522" t="s">
        <v>56</v>
      </c>
      <c r="AC522">
        <v>1</v>
      </c>
      <c r="AD522" t="s">
        <v>1627</v>
      </c>
      <c r="AE522" t="s">
        <v>3887</v>
      </c>
      <c r="AF522">
        <v>0</v>
      </c>
      <c r="AG522" t="s">
        <v>66</v>
      </c>
      <c r="AH522" t="s">
        <v>56</v>
      </c>
      <c r="AI522">
        <v>1</v>
      </c>
      <c r="AJ522" t="s">
        <v>1627</v>
      </c>
      <c r="AK522" t="s">
        <v>56</v>
      </c>
      <c r="AL522" t="s">
        <v>56</v>
      </c>
      <c r="AM522" t="s">
        <v>56</v>
      </c>
      <c r="AN522" t="s">
        <v>56</v>
      </c>
      <c r="AO522" t="s">
        <v>5352</v>
      </c>
      <c r="AP522" t="s">
        <v>3962</v>
      </c>
      <c r="AQ522" t="s">
        <v>3963</v>
      </c>
      <c r="AR522" t="s">
        <v>3941</v>
      </c>
      <c r="AS522" t="s">
        <v>3942</v>
      </c>
      <c r="AT522" t="s">
        <v>5353</v>
      </c>
      <c r="AU522" t="s">
        <v>3929</v>
      </c>
      <c r="AV522" t="s">
        <v>3930</v>
      </c>
      <c r="AW522" t="s">
        <v>3931</v>
      </c>
      <c r="AX522">
        <v>24</v>
      </c>
      <c r="AY522">
        <v>2</v>
      </c>
      <c r="AZ522" t="s">
        <v>3897</v>
      </c>
      <c r="BA522">
        <v>10</v>
      </c>
      <c r="BB522" t="s">
        <v>3898</v>
      </c>
      <c r="BC522">
        <v>90</v>
      </c>
      <c r="BD522">
        <v>3</v>
      </c>
      <c r="BE522" t="s">
        <v>3911</v>
      </c>
      <c r="BF522">
        <v>360</v>
      </c>
      <c r="BG522">
        <v>66</v>
      </c>
      <c r="BH522" t="s">
        <v>3965</v>
      </c>
      <c r="BI522" t="s">
        <v>5354</v>
      </c>
      <c r="BJ522">
        <v>1</v>
      </c>
      <c r="BK522" t="s">
        <v>3902</v>
      </c>
    </row>
    <row r="523" spans="1:63" x14ac:dyDescent="0.25">
      <c r="A523">
        <v>4507</v>
      </c>
      <c r="B523" t="str">
        <f>"20200130192017134985"</f>
        <v>20200130192017134985</v>
      </c>
      <c r="C523">
        <v>2</v>
      </c>
      <c r="D523">
        <v>1</v>
      </c>
      <c r="E523" t="s">
        <v>3886</v>
      </c>
      <c r="F523">
        <v>2</v>
      </c>
      <c r="G523">
        <v>0</v>
      </c>
      <c r="H523" t="s">
        <v>66</v>
      </c>
      <c r="I523">
        <v>0</v>
      </c>
      <c r="J523" t="s">
        <v>66</v>
      </c>
      <c r="K523">
        <v>1</v>
      </c>
      <c r="L523" t="s">
        <v>1627</v>
      </c>
      <c r="M523" t="s">
        <v>4859</v>
      </c>
      <c r="N523">
        <v>1</v>
      </c>
      <c r="O523" t="s">
        <v>1627</v>
      </c>
      <c r="P523" t="s">
        <v>4956</v>
      </c>
      <c r="Q523">
        <v>0</v>
      </c>
      <c r="R523" t="s">
        <v>66</v>
      </c>
      <c r="S523" t="s">
        <v>56</v>
      </c>
      <c r="T523" t="s">
        <v>56</v>
      </c>
      <c r="U523" t="s">
        <v>56</v>
      </c>
      <c r="V523" t="s">
        <v>56</v>
      </c>
      <c r="W523">
        <v>0</v>
      </c>
      <c r="X523" t="s">
        <v>66</v>
      </c>
      <c r="Y523" t="s">
        <v>56</v>
      </c>
      <c r="Z523">
        <v>0</v>
      </c>
      <c r="AA523" t="s">
        <v>66</v>
      </c>
      <c r="AB523" t="s">
        <v>56</v>
      </c>
      <c r="AC523">
        <v>0</v>
      </c>
      <c r="AD523" t="s">
        <v>66</v>
      </c>
      <c r="AE523" t="s">
        <v>56</v>
      </c>
      <c r="AF523">
        <v>0</v>
      </c>
      <c r="AG523" t="s">
        <v>66</v>
      </c>
      <c r="AH523" t="s">
        <v>56</v>
      </c>
      <c r="AI523">
        <v>1</v>
      </c>
      <c r="AJ523" t="s">
        <v>1627</v>
      </c>
      <c r="AK523" t="s">
        <v>56</v>
      </c>
      <c r="AL523" t="s">
        <v>56</v>
      </c>
      <c r="AM523" t="s">
        <v>56</v>
      </c>
      <c r="AN523" t="s">
        <v>56</v>
      </c>
      <c r="AO523" t="s">
        <v>4860</v>
      </c>
      <c r="AP523" t="s">
        <v>3934</v>
      </c>
      <c r="AQ523" t="s">
        <v>3935</v>
      </c>
      <c r="AR523">
        <v>502</v>
      </c>
      <c r="AS523" t="s">
        <v>4688</v>
      </c>
      <c r="AT523" t="s">
        <v>5355</v>
      </c>
      <c r="AU523" t="s">
        <v>3907</v>
      </c>
      <c r="AV523" t="s">
        <v>3908</v>
      </c>
      <c r="AW523" t="s">
        <v>3909</v>
      </c>
      <c r="AX523">
        <v>1</v>
      </c>
      <c r="AY523">
        <v>3</v>
      </c>
      <c r="AZ523" t="s">
        <v>3911</v>
      </c>
      <c r="BA523">
        <v>10</v>
      </c>
      <c r="BB523" t="s">
        <v>3898</v>
      </c>
      <c r="BC523">
        <v>3</v>
      </c>
      <c r="BD523">
        <v>5</v>
      </c>
      <c r="BE523" t="s">
        <v>3899</v>
      </c>
      <c r="BF523">
        <v>3</v>
      </c>
      <c r="BG523">
        <v>58</v>
      </c>
      <c r="BH523" t="s">
        <v>4245</v>
      </c>
      <c r="BI523" t="s">
        <v>5356</v>
      </c>
      <c r="BJ523">
        <v>1</v>
      </c>
      <c r="BK523" t="s">
        <v>3902</v>
      </c>
    </row>
    <row r="524" spans="1:63" x14ac:dyDescent="0.25">
      <c r="A524">
        <v>4508</v>
      </c>
      <c r="B524" t="str">
        <f>"20200130192017134985"</f>
        <v>20200130192017134985</v>
      </c>
      <c r="C524">
        <v>3</v>
      </c>
      <c r="D524">
        <v>1</v>
      </c>
      <c r="E524" t="s">
        <v>3886</v>
      </c>
      <c r="F524">
        <v>2</v>
      </c>
      <c r="G524">
        <v>0</v>
      </c>
      <c r="H524" t="s">
        <v>66</v>
      </c>
      <c r="I524">
        <v>0</v>
      </c>
      <c r="J524" t="s">
        <v>66</v>
      </c>
      <c r="K524">
        <v>1</v>
      </c>
      <c r="L524" t="s">
        <v>1627</v>
      </c>
      <c r="M524" t="s">
        <v>4729</v>
      </c>
      <c r="N524">
        <v>1</v>
      </c>
      <c r="O524" t="s">
        <v>1627</v>
      </c>
      <c r="P524" t="s">
        <v>5357</v>
      </c>
      <c r="Q524">
        <v>0</v>
      </c>
      <c r="R524" t="s">
        <v>66</v>
      </c>
      <c r="S524" t="s">
        <v>56</v>
      </c>
      <c r="T524" t="s">
        <v>56</v>
      </c>
      <c r="U524" t="s">
        <v>56</v>
      </c>
      <c r="V524" t="s">
        <v>56</v>
      </c>
      <c r="W524">
        <v>0</v>
      </c>
      <c r="X524" t="s">
        <v>66</v>
      </c>
      <c r="Y524" t="s">
        <v>56</v>
      </c>
      <c r="Z524">
        <v>0</v>
      </c>
      <c r="AA524" t="s">
        <v>66</v>
      </c>
      <c r="AB524" t="s">
        <v>56</v>
      </c>
      <c r="AC524">
        <v>0</v>
      </c>
      <c r="AD524" t="s">
        <v>66</v>
      </c>
      <c r="AE524" t="s">
        <v>56</v>
      </c>
      <c r="AF524">
        <v>0</v>
      </c>
      <c r="AG524" t="s">
        <v>66</v>
      </c>
      <c r="AH524" t="s">
        <v>56</v>
      </c>
      <c r="AI524">
        <v>1</v>
      </c>
      <c r="AJ524" t="s">
        <v>1627</v>
      </c>
      <c r="AK524" t="s">
        <v>56</v>
      </c>
      <c r="AL524" t="s">
        <v>56</v>
      </c>
      <c r="AM524" t="s">
        <v>56</v>
      </c>
      <c r="AN524" t="s">
        <v>56</v>
      </c>
      <c r="AO524" t="s">
        <v>4731</v>
      </c>
      <c r="AP524" t="s">
        <v>4069</v>
      </c>
      <c r="AQ524" t="s">
        <v>4070</v>
      </c>
      <c r="AR524" t="s">
        <v>4071</v>
      </c>
      <c r="AS524" t="s">
        <v>4072</v>
      </c>
      <c r="AT524" t="s">
        <v>5358</v>
      </c>
      <c r="AU524" t="s">
        <v>3929</v>
      </c>
      <c r="AV524" t="s">
        <v>3930</v>
      </c>
      <c r="AW524" t="s">
        <v>3931</v>
      </c>
      <c r="AX524">
        <v>12</v>
      </c>
      <c r="AY524">
        <v>2</v>
      </c>
      <c r="AZ524" t="s">
        <v>3897</v>
      </c>
      <c r="BA524">
        <v>10</v>
      </c>
      <c r="BB524" t="s">
        <v>3898</v>
      </c>
      <c r="BC524">
        <v>21</v>
      </c>
      <c r="BD524">
        <v>3</v>
      </c>
      <c r="BE524" t="s">
        <v>3911</v>
      </c>
      <c r="BF524">
        <v>1</v>
      </c>
      <c r="BG524">
        <v>73</v>
      </c>
      <c r="BH524" t="s">
        <v>3999</v>
      </c>
      <c r="BI524" t="s">
        <v>5359</v>
      </c>
      <c r="BJ524">
        <v>1</v>
      </c>
      <c r="BK524" t="s">
        <v>3902</v>
      </c>
    </row>
    <row r="525" spans="1:63" x14ac:dyDescent="0.25">
      <c r="A525">
        <v>4509</v>
      </c>
      <c r="B525" t="str">
        <f>"20200130190017135393"</f>
        <v>20200130190017135393</v>
      </c>
      <c r="C525">
        <v>1</v>
      </c>
      <c r="D525">
        <v>1</v>
      </c>
      <c r="E525" t="s">
        <v>3886</v>
      </c>
      <c r="F525">
        <v>1</v>
      </c>
      <c r="G525">
        <v>0</v>
      </c>
      <c r="H525" t="s">
        <v>66</v>
      </c>
      <c r="I525">
        <v>0</v>
      </c>
      <c r="J525" t="s">
        <v>66</v>
      </c>
      <c r="K525">
        <v>1</v>
      </c>
      <c r="L525" t="s">
        <v>1627</v>
      </c>
      <c r="M525" t="s">
        <v>4584</v>
      </c>
      <c r="N525">
        <v>1</v>
      </c>
      <c r="O525" t="s">
        <v>1627</v>
      </c>
      <c r="P525" t="s">
        <v>4257</v>
      </c>
      <c r="Q525">
        <v>0</v>
      </c>
      <c r="R525" t="s">
        <v>66</v>
      </c>
      <c r="S525" t="s">
        <v>56</v>
      </c>
      <c r="T525" t="s">
        <v>56</v>
      </c>
      <c r="U525" t="s">
        <v>56</v>
      </c>
      <c r="V525" t="s">
        <v>56</v>
      </c>
      <c r="W525">
        <v>0</v>
      </c>
      <c r="X525" t="s">
        <v>66</v>
      </c>
      <c r="Y525" t="s">
        <v>56</v>
      </c>
      <c r="Z525">
        <v>0</v>
      </c>
      <c r="AA525" t="s">
        <v>66</v>
      </c>
      <c r="AB525" t="s">
        <v>56</v>
      </c>
      <c r="AC525">
        <v>0</v>
      </c>
      <c r="AD525" t="s">
        <v>66</v>
      </c>
      <c r="AE525" t="s">
        <v>56</v>
      </c>
      <c r="AF525">
        <v>0</v>
      </c>
      <c r="AG525" t="s">
        <v>66</v>
      </c>
      <c r="AH525" t="s">
        <v>56</v>
      </c>
      <c r="AI525">
        <v>1</v>
      </c>
      <c r="AJ525" t="s">
        <v>1627</v>
      </c>
      <c r="AK525" t="s">
        <v>56</v>
      </c>
      <c r="AL525" t="s">
        <v>56</v>
      </c>
      <c r="AM525" t="s">
        <v>56</v>
      </c>
      <c r="AN525" t="s">
        <v>56</v>
      </c>
      <c r="AO525" t="s">
        <v>5360</v>
      </c>
      <c r="AP525" t="s">
        <v>3962</v>
      </c>
      <c r="AQ525" t="s">
        <v>3963</v>
      </c>
      <c r="AR525" t="s">
        <v>3941</v>
      </c>
      <c r="AS525" t="s">
        <v>3942</v>
      </c>
      <c r="AT525" t="s">
        <v>5361</v>
      </c>
      <c r="AU525" t="s">
        <v>3944</v>
      </c>
      <c r="AV525" t="s">
        <v>3945</v>
      </c>
      <c r="AW525" t="s">
        <v>3946</v>
      </c>
      <c r="AX525">
        <v>24</v>
      </c>
      <c r="AY525">
        <v>2</v>
      </c>
      <c r="AZ525" t="s">
        <v>3897</v>
      </c>
      <c r="BA525">
        <v>10</v>
      </c>
      <c r="BB525" t="s">
        <v>3898</v>
      </c>
      <c r="BC525">
        <v>90</v>
      </c>
      <c r="BD525">
        <v>3</v>
      </c>
      <c r="BE525" t="s">
        <v>3911</v>
      </c>
      <c r="BF525">
        <v>90</v>
      </c>
      <c r="BG525">
        <v>66</v>
      </c>
      <c r="BH525" t="s">
        <v>3965</v>
      </c>
      <c r="BI525" t="s">
        <v>5362</v>
      </c>
      <c r="BJ525">
        <v>1</v>
      </c>
      <c r="BK525" t="s">
        <v>3902</v>
      </c>
    </row>
    <row r="526" spans="1:63" x14ac:dyDescent="0.25">
      <c r="A526">
        <v>4510</v>
      </c>
      <c r="B526" t="str">
        <f>"20200130117017135507"</f>
        <v>20200130117017135507</v>
      </c>
      <c r="C526">
        <v>1</v>
      </c>
      <c r="D526">
        <v>1</v>
      </c>
      <c r="E526" t="s">
        <v>3886</v>
      </c>
      <c r="F526">
        <v>2</v>
      </c>
      <c r="G526">
        <v>0</v>
      </c>
      <c r="H526" t="s">
        <v>66</v>
      </c>
      <c r="I526">
        <v>0</v>
      </c>
      <c r="J526" t="s">
        <v>66</v>
      </c>
      <c r="K526">
        <v>0</v>
      </c>
      <c r="L526" t="s">
        <v>66</v>
      </c>
      <c r="M526" t="s">
        <v>56</v>
      </c>
      <c r="N526">
        <v>0</v>
      </c>
      <c r="O526" t="s">
        <v>66</v>
      </c>
      <c r="P526" t="s">
        <v>56</v>
      </c>
      <c r="Q526">
        <v>0</v>
      </c>
      <c r="R526" t="s">
        <v>66</v>
      </c>
      <c r="S526" t="s">
        <v>56</v>
      </c>
      <c r="T526">
        <v>1</v>
      </c>
      <c r="U526" t="s">
        <v>1627</v>
      </c>
      <c r="V526" t="s">
        <v>56</v>
      </c>
      <c r="W526">
        <v>0</v>
      </c>
      <c r="X526" t="s">
        <v>66</v>
      </c>
      <c r="Y526" t="s">
        <v>56</v>
      </c>
      <c r="Z526">
        <v>0</v>
      </c>
      <c r="AA526" t="s">
        <v>66</v>
      </c>
      <c r="AB526" t="s">
        <v>56</v>
      </c>
      <c r="AC526">
        <v>1</v>
      </c>
      <c r="AD526" t="s">
        <v>1627</v>
      </c>
      <c r="AE526" t="s">
        <v>3887</v>
      </c>
      <c r="AF526">
        <v>0</v>
      </c>
      <c r="AG526" t="s">
        <v>66</v>
      </c>
      <c r="AH526" t="s">
        <v>56</v>
      </c>
      <c r="AI526">
        <v>1</v>
      </c>
      <c r="AJ526" t="s">
        <v>1627</v>
      </c>
      <c r="AK526" t="s">
        <v>56</v>
      </c>
      <c r="AL526" t="s">
        <v>56</v>
      </c>
      <c r="AM526" t="s">
        <v>56</v>
      </c>
      <c r="AN526" t="s">
        <v>56</v>
      </c>
      <c r="AO526" t="s">
        <v>3949</v>
      </c>
      <c r="AP526" t="s">
        <v>3889</v>
      </c>
      <c r="AQ526" t="s">
        <v>3890</v>
      </c>
      <c r="AR526" t="s">
        <v>3926</v>
      </c>
      <c r="AS526" t="s">
        <v>3927</v>
      </c>
      <c r="AT526" t="s">
        <v>5363</v>
      </c>
      <c r="AU526" t="s">
        <v>3894</v>
      </c>
      <c r="AV526" t="s">
        <v>3895</v>
      </c>
      <c r="AW526" t="s">
        <v>3896</v>
      </c>
      <c r="AX526">
        <v>8</v>
      </c>
      <c r="AY526">
        <v>2</v>
      </c>
      <c r="AZ526" t="s">
        <v>3897</v>
      </c>
      <c r="BA526">
        <v>10</v>
      </c>
      <c r="BB526" t="s">
        <v>3898</v>
      </c>
      <c r="BC526">
        <v>1</v>
      </c>
      <c r="BD526">
        <v>5</v>
      </c>
      <c r="BE526" t="s">
        <v>3899</v>
      </c>
      <c r="BF526">
        <v>1</v>
      </c>
      <c r="BG526">
        <v>13</v>
      </c>
      <c r="BH526" t="s">
        <v>3900</v>
      </c>
      <c r="BI526" t="s">
        <v>4576</v>
      </c>
      <c r="BJ526">
        <v>1</v>
      </c>
      <c r="BK526" t="s">
        <v>3902</v>
      </c>
    </row>
    <row r="527" spans="1:63" x14ac:dyDescent="0.25">
      <c r="A527">
        <v>4511</v>
      </c>
      <c r="B527" t="str">
        <f t="shared" ref="B527:B532" si="0">"20200130159017135517"</f>
        <v>20200130159017135517</v>
      </c>
      <c r="C527">
        <v>1</v>
      </c>
      <c r="D527">
        <v>1</v>
      </c>
      <c r="E527" t="s">
        <v>3886</v>
      </c>
      <c r="F527">
        <v>2</v>
      </c>
      <c r="G527">
        <v>0</v>
      </c>
      <c r="H527" t="s">
        <v>66</v>
      </c>
      <c r="I527">
        <v>0</v>
      </c>
      <c r="J527" t="s">
        <v>66</v>
      </c>
      <c r="K527">
        <v>0</v>
      </c>
      <c r="L527" t="s">
        <v>66</v>
      </c>
      <c r="M527" t="s">
        <v>56</v>
      </c>
      <c r="N527">
        <v>0</v>
      </c>
      <c r="O527" t="s">
        <v>66</v>
      </c>
      <c r="P527" t="s">
        <v>56</v>
      </c>
      <c r="Q527">
        <v>0</v>
      </c>
      <c r="R527" t="s">
        <v>66</v>
      </c>
      <c r="S527" t="s">
        <v>56</v>
      </c>
      <c r="T527">
        <v>1</v>
      </c>
      <c r="U527" t="s">
        <v>1627</v>
      </c>
      <c r="V527" t="s">
        <v>56</v>
      </c>
      <c r="W527">
        <v>0</v>
      </c>
      <c r="X527" t="s">
        <v>66</v>
      </c>
      <c r="Y527" t="s">
        <v>56</v>
      </c>
      <c r="Z527">
        <v>0</v>
      </c>
      <c r="AA527" t="s">
        <v>66</v>
      </c>
      <c r="AB527" t="s">
        <v>56</v>
      </c>
      <c r="AC527">
        <v>1</v>
      </c>
      <c r="AD527" t="s">
        <v>1627</v>
      </c>
      <c r="AE527" t="s">
        <v>3887</v>
      </c>
      <c r="AF527">
        <v>0</v>
      </c>
      <c r="AG527" t="s">
        <v>66</v>
      </c>
      <c r="AH527" t="s">
        <v>56</v>
      </c>
      <c r="AI527">
        <v>1</v>
      </c>
      <c r="AJ527" t="s">
        <v>1627</v>
      </c>
      <c r="AK527" t="s">
        <v>56</v>
      </c>
      <c r="AL527" t="s">
        <v>56</v>
      </c>
      <c r="AM527" t="s">
        <v>56</v>
      </c>
      <c r="AN527" t="s">
        <v>56</v>
      </c>
      <c r="AO527" t="s">
        <v>4109</v>
      </c>
      <c r="AP527" t="s">
        <v>3962</v>
      </c>
      <c r="AQ527" t="s">
        <v>3963</v>
      </c>
      <c r="AR527" t="s">
        <v>3941</v>
      </c>
      <c r="AS527" t="s">
        <v>3942</v>
      </c>
      <c r="AT527" t="s">
        <v>5364</v>
      </c>
      <c r="AU527" t="s">
        <v>3944</v>
      </c>
      <c r="AV527" t="s">
        <v>3945</v>
      </c>
      <c r="AW527" t="s">
        <v>3946</v>
      </c>
      <c r="AX527">
        <v>24</v>
      </c>
      <c r="AY527">
        <v>2</v>
      </c>
      <c r="AZ527" t="s">
        <v>3897</v>
      </c>
      <c r="BA527">
        <v>10</v>
      </c>
      <c r="BB527" t="s">
        <v>3898</v>
      </c>
      <c r="BC527">
        <v>6</v>
      </c>
      <c r="BD527">
        <v>5</v>
      </c>
      <c r="BE527" t="s">
        <v>3899</v>
      </c>
      <c r="BF527">
        <v>180</v>
      </c>
      <c r="BG527">
        <v>66</v>
      </c>
      <c r="BH527" t="s">
        <v>3965</v>
      </c>
      <c r="BI527" t="s">
        <v>5365</v>
      </c>
      <c r="BJ527">
        <v>1</v>
      </c>
      <c r="BK527" t="s">
        <v>3902</v>
      </c>
    </row>
    <row r="528" spans="1:63" x14ac:dyDescent="0.25">
      <c r="A528">
        <v>4512</v>
      </c>
      <c r="B528" t="str">
        <f t="shared" si="0"/>
        <v>20200130159017135517</v>
      </c>
      <c r="C528">
        <v>2</v>
      </c>
      <c r="D528">
        <v>1</v>
      </c>
      <c r="E528" t="s">
        <v>3886</v>
      </c>
      <c r="F528">
        <v>2</v>
      </c>
      <c r="G528">
        <v>0</v>
      </c>
      <c r="H528" t="s">
        <v>66</v>
      </c>
      <c r="I528">
        <v>0</v>
      </c>
      <c r="J528" t="s">
        <v>66</v>
      </c>
      <c r="K528">
        <v>0</v>
      </c>
      <c r="L528" t="s">
        <v>66</v>
      </c>
      <c r="M528" t="s">
        <v>56</v>
      </c>
      <c r="N528">
        <v>0</v>
      </c>
      <c r="O528" t="s">
        <v>66</v>
      </c>
      <c r="P528" t="s">
        <v>56</v>
      </c>
      <c r="Q528">
        <v>0</v>
      </c>
      <c r="R528" t="s">
        <v>66</v>
      </c>
      <c r="S528" t="s">
        <v>56</v>
      </c>
      <c r="T528">
        <v>1</v>
      </c>
      <c r="U528" t="s">
        <v>1627</v>
      </c>
      <c r="V528" t="s">
        <v>56</v>
      </c>
      <c r="W528">
        <v>0</v>
      </c>
      <c r="X528" t="s">
        <v>66</v>
      </c>
      <c r="Y528" t="s">
        <v>56</v>
      </c>
      <c r="Z528">
        <v>0</v>
      </c>
      <c r="AA528" t="s">
        <v>66</v>
      </c>
      <c r="AB528" t="s">
        <v>56</v>
      </c>
      <c r="AC528">
        <v>1</v>
      </c>
      <c r="AD528" t="s">
        <v>1627</v>
      </c>
      <c r="AE528" t="s">
        <v>3887</v>
      </c>
      <c r="AF528">
        <v>0</v>
      </c>
      <c r="AG528" t="s">
        <v>66</v>
      </c>
      <c r="AH528" t="s">
        <v>56</v>
      </c>
      <c r="AI528">
        <v>1</v>
      </c>
      <c r="AJ528" t="s">
        <v>1627</v>
      </c>
      <c r="AK528" t="s">
        <v>56</v>
      </c>
      <c r="AL528" t="s">
        <v>56</v>
      </c>
      <c r="AM528" t="s">
        <v>56</v>
      </c>
      <c r="AN528" t="s">
        <v>56</v>
      </c>
      <c r="AO528" t="s">
        <v>5313</v>
      </c>
      <c r="AP528" t="s">
        <v>3939</v>
      </c>
      <c r="AQ528" t="s">
        <v>3940</v>
      </c>
      <c r="AR528" t="s">
        <v>3941</v>
      </c>
      <c r="AS528" t="s">
        <v>3942</v>
      </c>
      <c r="AT528" t="s">
        <v>5364</v>
      </c>
      <c r="AU528" t="s">
        <v>3944</v>
      </c>
      <c r="AV528" t="s">
        <v>3945</v>
      </c>
      <c r="AW528" t="s">
        <v>3946</v>
      </c>
      <c r="AX528">
        <v>24</v>
      </c>
      <c r="AY528">
        <v>2</v>
      </c>
      <c r="AZ528" t="s">
        <v>3897</v>
      </c>
      <c r="BA528">
        <v>10</v>
      </c>
      <c r="BB528" t="s">
        <v>3898</v>
      </c>
      <c r="BC528">
        <v>5</v>
      </c>
      <c r="BD528">
        <v>5</v>
      </c>
      <c r="BE528" t="s">
        <v>3899</v>
      </c>
      <c r="BF528">
        <v>168</v>
      </c>
      <c r="BG528">
        <v>14</v>
      </c>
      <c r="BH528" t="s">
        <v>3947</v>
      </c>
      <c r="BI528" t="s">
        <v>5366</v>
      </c>
      <c r="BJ528">
        <v>1</v>
      </c>
      <c r="BK528" t="s">
        <v>3902</v>
      </c>
    </row>
    <row r="529" spans="1:63" x14ac:dyDescent="0.25">
      <c r="A529">
        <v>4513</v>
      </c>
      <c r="B529" t="str">
        <f t="shared" si="0"/>
        <v>20200130159017135517</v>
      </c>
      <c r="C529">
        <v>3</v>
      </c>
      <c r="D529">
        <v>1</v>
      </c>
      <c r="E529" t="s">
        <v>3886</v>
      </c>
      <c r="F529">
        <v>2</v>
      </c>
      <c r="G529">
        <v>0</v>
      </c>
      <c r="H529" t="s">
        <v>66</v>
      </c>
      <c r="I529">
        <v>0</v>
      </c>
      <c r="J529" t="s">
        <v>66</v>
      </c>
      <c r="K529">
        <v>0</v>
      </c>
      <c r="L529" t="s">
        <v>66</v>
      </c>
      <c r="M529" t="s">
        <v>56</v>
      </c>
      <c r="N529">
        <v>0</v>
      </c>
      <c r="O529" t="s">
        <v>66</v>
      </c>
      <c r="P529" t="s">
        <v>56</v>
      </c>
      <c r="Q529">
        <v>0</v>
      </c>
      <c r="R529" t="s">
        <v>66</v>
      </c>
      <c r="S529" t="s">
        <v>56</v>
      </c>
      <c r="T529">
        <v>1</v>
      </c>
      <c r="U529" t="s">
        <v>1627</v>
      </c>
      <c r="V529" t="s">
        <v>56</v>
      </c>
      <c r="W529">
        <v>0</v>
      </c>
      <c r="X529" t="s">
        <v>66</v>
      </c>
      <c r="Y529" t="s">
        <v>56</v>
      </c>
      <c r="Z529">
        <v>0</v>
      </c>
      <c r="AA529" t="s">
        <v>66</v>
      </c>
      <c r="AB529" t="s">
        <v>56</v>
      </c>
      <c r="AC529">
        <v>1</v>
      </c>
      <c r="AD529" t="s">
        <v>1627</v>
      </c>
      <c r="AE529" t="s">
        <v>3887</v>
      </c>
      <c r="AF529">
        <v>0</v>
      </c>
      <c r="AG529" t="s">
        <v>66</v>
      </c>
      <c r="AH529" t="s">
        <v>56</v>
      </c>
      <c r="AI529">
        <v>1</v>
      </c>
      <c r="AJ529" t="s">
        <v>1627</v>
      </c>
      <c r="AK529" t="s">
        <v>56</v>
      </c>
      <c r="AL529" t="s">
        <v>56</v>
      </c>
      <c r="AM529" t="s">
        <v>56</v>
      </c>
      <c r="AN529" t="s">
        <v>56</v>
      </c>
      <c r="AO529" t="s">
        <v>5367</v>
      </c>
      <c r="AP529" t="s">
        <v>3939</v>
      </c>
      <c r="AQ529" t="s">
        <v>3940</v>
      </c>
      <c r="AR529" t="s">
        <v>3941</v>
      </c>
      <c r="AS529" t="s">
        <v>3942</v>
      </c>
      <c r="AT529" t="s">
        <v>5364</v>
      </c>
      <c r="AU529" t="s">
        <v>3944</v>
      </c>
      <c r="AV529" t="s">
        <v>3945</v>
      </c>
      <c r="AW529" t="s">
        <v>3946</v>
      </c>
      <c r="AX529">
        <v>24</v>
      </c>
      <c r="AY529">
        <v>2</v>
      </c>
      <c r="AZ529" t="s">
        <v>3897</v>
      </c>
      <c r="BA529">
        <v>10</v>
      </c>
      <c r="BB529" t="s">
        <v>3898</v>
      </c>
      <c r="BC529">
        <v>5</v>
      </c>
      <c r="BD529">
        <v>5</v>
      </c>
      <c r="BE529" t="s">
        <v>3899</v>
      </c>
      <c r="BF529">
        <v>168</v>
      </c>
      <c r="BG529">
        <v>14</v>
      </c>
      <c r="BH529" t="s">
        <v>3947</v>
      </c>
      <c r="BI529" t="s">
        <v>5368</v>
      </c>
      <c r="BJ529">
        <v>1</v>
      </c>
      <c r="BK529" t="s">
        <v>3902</v>
      </c>
    </row>
    <row r="530" spans="1:63" x14ac:dyDescent="0.25">
      <c r="A530">
        <v>4514</v>
      </c>
      <c r="B530" t="str">
        <f t="shared" si="0"/>
        <v>20200130159017135517</v>
      </c>
      <c r="C530">
        <v>4</v>
      </c>
      <c r="D530">
        <v>1</v>
      </c>
      <c r="E530" t="s">
        <v>3886</v>
      </c>
      <c r="F530">
        <v>2</v>
      </c>
      <c r="G530">
        <v>0</v>
      </c>
      <c r="H530" t="s">
        <v>66</v>
      </c>
      <c r="I530">
        <v>0</v>
      </c>
      <c r="J530" t="s">
        <v>66</v>
      </c>
      <c r="K530">
        <v>0</v>
      </c>
      <c r="L530" t="s">
        <v>66</v>
      </c>
      <c r="M530" t="s">
        <v>56</v>
      </c>
      <c r="N530">
        <v>0</v>
      </c>
      <c r="O530" t="s">
        <v>66</v>
      </c>
      <c r="P530" t="s">
        <v>56</v>
      </c>
      <c r="Q530">
        <v>0</v>
      </c>
      <c r="R530" t="s">
        <v>66</v>
      </c>
      <c r="S530" t="s">
        <v>56</v>
      </c>
      <c r="T530">
        <v>1</v>
      </c>
      <c r="U530" t="s">
        <v>1627</v>
      </c>
      <c r="V530" t="s">
        <v>56</v>
      </c>
      <c r="W530">
        <v>0</v>
      </c>
      <c r="X530" t="s">
        <v>66</v>
      </c>
      <c r="Y530" t="s">
        <v>56</v>
      </c>
      <c r="Z530">
        <v>0</v>
      </c>
      <c r="AA530" t="s">
        <v>66</v>
      </c>
      <c r="AB530" t="s">
        <v>56</v>
      </c>
      <c r="AC530">
        <v>1</v>
      </c>
      <c r="AD530" t="s">
        <v>1627</v>
      </c>
      <c r="AE530" t="s">
        <v>3887</v>
      </c>
      <c r="AF530">
        <v>0</v>
      </c>
      <c r="AG530" t="s">
        <v>66</v>
      </c>
      <c r="AH530" t="s">
        <v>56</v>
      </c>
      <c r="AI530">
        <v>1</v>
      </c>
      <c r="AJ530" t="s">
        <v>1627</v>
      </c>
      <c r="AK530" t="s">
        <v>56</v>
      </c>
      <c r="AL530" t="s">
        <v>56</v>
      </c>
      <c r="AM530" t="s">
        <v>56</v>
      </c>
      <c r="AN530" t="s">
        <v>56</v>
      </c>
      <c r="AO530" t="s">
        <v>5369</v>
      </c>
      <c r="AP530" t="s">
        <v>4762</v>
      </c>
      <c r="AQ530" t="s">
        <v>4763</v>
      </c>
      <c r="AR530" t="s">
        <v>3941</v>
      </c>
      <c r="AS530" t="s">
        <v>3942</v>
      </c>
      <c r="AT530" t="s">
        <v>5370</v>
      </c>
      <c r="AU530" t="s">
        <v>3944</v>
      </c>
      <c r="AV530" t="s">
        <v>3945</v>
      </c>
      <c r="AW530" t="s">
        <v>3946</v>
      </c>
      <c r="AX530">
        <v>12</v>
      </c>
      <c r="AY530">
        <v>2</v>
      </c>
      <c r="AZ530" t="s">
        <v>3897</v>
      </c>
      <c r="BA530">
        <v>10</v>
      </c>
      <c r="BB530" t="s">
        <v>3898</v>
      </c>
      <c r="BC530">
        <v>6</v>
      </c>
      <c r="BD530">
        <v>5</v>
      </c>
      <c r="BE530" t="s">
        <v>3899</v>
      </c>
      <c r="BF530">
        <v>360</v>
      </c>
      <c r="BG530">
        <v>14</v>
      </c>
      <c r="BH530" t="s">
        <v>3947</v>
      </c>
      <c r="BI530" t="s">
        <v>5371</v>
      </c>
      <c r="BJ530">
        <v>1</v>
      </c>
      <c r="BK530" t="s">
        <v>3902</v>
      </c>
    </row>
    <row r="531" spans="1:63" x14ac:dyDescent="0.25">
      <c r="A531">
        <v>4515</v>
      </c>
      <c r="B531" t="str">
        <f t="shared" si="0"/>
        <v>20200130159017135517</v>
      </c>
      <c r="C531">
        <v>5</v>
      </c>
      <c r="D531">
        <v>1</v>
      </c>
      <c r="E531" t="s">
        <v>3886</v>
      </c>
      <c r="F531">
        <v>2</v>
      </c>
      <c r="G531">
        <v>0</v>
      </c>
      <c r="H531" t="s">
        <v>66</v>
      </c>
      <c r="I531">
        <v>0</v>
      </c>
      <c r="J531" t="s">
        <v>66</v>
      </c>
      <c r="K531">
        <v>0</v>
      </c>
      <c r="L531" t="s">
        <v>66</v>
      </c>
      <c r="M531" t="s">
        <v>56</v>
      </c>
      <c r="N531">
        <v>0</v>
      </c>
      <c r="O531" t="s">
        <v>66</v>
      </c>
      <c r="P531" t="s">
        <v>56</v>
      </c>
      <c r="Q531">
        <v>0</v>
      </c>
      <c r="R531" t="s">
        <v>66</v>
      </c>
      <c r="S531" t="s">
        <v>56</v>
      </c>
      <c r="T531">
        <v>1</v>
      </c>
      <c r="U531" t="s">
        <v>1627</v>
      </c>
      <c r="V531" t="s">
        <v>56</v>
      </c>
      <c r="W531">
        <v>0</v>
      </c>
      <c r="X531" t="s">
        <v>66</v>
      </c>
      <c r="Y531" t="s">
        <v>56</v>
      </c>
      <c r="Z531">
        <v>0</v>
      </c>
      <c r="AA531" t="s">
        <v>66</v>
      </c>
      <c r="AB531" t="s">
        <v>56</v>
      </c>
      <c r="AC531">
        <v>1</v>
      </c>
      <c r="AD531" t="s">
        <v>1627</v>
      </c>
      <c r="AE531" t="s">
        <v>3887</v>
      </c>
      <c r="AF531">
        <v>0</v>
      </c>
      <c r="AG531" t="s">
        <v>66</v>
      </c>
      <c r="AH531" t="s">
        <v>56</v>
      </c>
      <c r="AI531">
        <v>1</v>
      </c>
      <c r="AJ531" t="s">
        <v>1627</v>
      </c>
      <c r="AK531" t="s">
        <v>56</v>
      </c>
      <c r="AL531" t="s">
        <v>56</v>
      </c>
      <c r="AM531" t="s">
        <v>56</v>
      </c>
      <c r="AN531" t="s">
        <v>56</v>
      </c>
      <c r="AO531" t="s">
        <v>5372</v>
      </c>
      <c r="AP531" t="s">
        <v>3939</v>
      </c>
      <c r="AQ531" t="s">
        <v>3940</v>
      </c>
      <c r="AR531" t="s">
        <v>3941</v>
      </c>
      <c r="AS531" t="s">
        <v>3942</v>
      </c>
      <c r="AT531" t="s">
        <v>5373</v>
      </c>
      <c r="AU531" t="s">
        <v>4026</v>
      </c>
      <c r="AV531" t="s">
        <v>4027</v>
      </c>
      <c r="AW531" t="s">
        <v>4028</v>
      </c>
      <c r="AX531">
        <v>24</v>
      </c>
      <c r="AY531">
        <v>2</v>
      </c>
      <c r="AZ531" t="s">
        <v>3897</v>
      </c>
      <c r="BA531">
        <v>10</v>
      </c>
      <c r="BB531" t="s">
        <v>3898</v>
      </c>
      <c r="BC531">
        <v>6</v>
      </c>
      <c r="BD531">
        <v>5</v>
      </c>
      <c r="BE531" t="s">
        <v>3899</v>
      </c>
      <c r="BF531">
        <v>180</v>
      </c>
      <c r="BG531">
        <v>14</v>
      </c>
      <c r="BH531" t="s">
        <v>3947</v>
      </c>
      <c r="BI531" t="s">
        <v>5374</v>
      </c>
      <c r="BJ531">
        <v>1</v>
      </c>
      <c r="BK531" t="s">
        <v>3902</v>
      </c>
    </row>
    <row r="532" spans="1:63" x14ac:dyDescent="0.25">
      <c r="A532">
        <v>4516</v>
      </c>
      <c r="B532" t="str">
        <f t="shared" si="0"/>
        <v>20200130159017135517</v>
      </c>
      <c r="C532">
        <v>6</v>
      </c>
      <c r="D532">
        <v>1</v>
      </c>
      <c r="E532" t="s">
        <v>3886</v>
      </c>
      <c r="F532">
        <v>2</v>
      </c>
      <c r="G532">
        <v>0</v>
      </c>
      <c r="H532" t="s">
        <v>66</v>
      </c>
      <c r="I532">
        <v>0</v>
      </c>
      <c r="J532" t="s">
        <v>66</v>
      </c>
      <c r="K532">
        <v>0</v>
      </c>
      <c r="L532" t="s">
        <v>66</v>
      </c>
      <c r="M532" t="s">
        <v>56</v>
      </c>
      <c r="N532">
        <v>0</v>
      </c>
      <c r="O532" t="s">
        <v>66</v>
      </c>
      <c r="P532" t="s">
        <v>56</v>
      </c>
      <c r="Q532">
        <v>0</v>
      </c>
      <c r="R532" t="s">
        <v>66</v>
      </c>
      <c r="S532" t="s">
        <v>56</v>
      </c>
      <c r="T532">
        <v>1</v>
      </c>
      <c r="U532" t="s">
        <v>1627</v>
      </c>
      <c r="V532" t="s">
        <v>56</v>
      </c>
      <c r="W532">
        <v>0</v>
      </c>
      <c r="X532" t="s">
        <v>66</v>
      </c>
      <c r="Y532" t="s">
        <v>56</v>
      </c>
      <c r="Z532">
        <v>0</v>
      </c>
      <c r="AA532" t="s">
        <v>66</v>
      </c>
      <c r="AB532" t="s">
        <v>56</v>
      </c>
      <c r="AC532">
        <v>1</v>
      </c>
      <c r="AD532" t="s">
        <v>1627</v>
      </c>
      <c r="AE532" t="s">
        <v>3887</v>
      </c>
      <c r="AF532">
        <v>0</v>
      </c>
      <c r="AG532" t="s">
        <v>66</v>
      </c>
      <c r="AH532" t="s">
        <v>56</v>
      </c>
      <c r="AI532">
        <v>1</v>
      </c>
      <c r="AJ532" t="s">
        <v>1627</v>
      </c>
      <c r="AK532" t="s">
        <v>56</v>
      </c>
      <c r="AL532" t="s">
        <v>56</v>
      </c>
      <c r="AM532" t="s">
        <v>56</v>
      </c>
      <c r="AN532" t="s">
        <v>56</v>
      </c>
      <c r="AO532" t="s">
        <v>4191</v>
      </c>
      <c r="AP532" t="s">
        <v>3889</v>
      </c>
      <c r="AQ532" t="s">
        <v>3890</v>
      </c>
      <c r="AR532" t="s">
        <v>3941</v>
      </c>
      <c r="AS532" t="s">
        <v>3942</v>
      </c>
      <c r="AT532" t="s">
        <v>5375</v>
      </c>
      <c r="AU532" t="s">
        <v>3894</v>
      </c>
      <c r="AV532" t="s">
        <v>3895</v>
      </c>
      <c r="AW532" t="s">
        <v>3896</v>
      </c>
      <c r="AX532">
        <v>24</v>
      </c>
      <c r="AY532">
        <v>2</v>
      </c>
      <c r="AZ532" t="s">
        <v>3897</v>
      </c>
      <c r="BA532">
        <v>10</v>
      </c>
      <c r="BB532" t="s">
        <v>3898</v>
      </c>
      <c r="BC532">
        <v>6</v>
      </c>
      <c r="BD532">
        <v>5</v>
      </c>
      <c r="BE532" t="s">
        <v>3899</v>
      </c>
      <c r="BF532">
        <v>12</v>
      </c>
      <c r="BG532">
        <v>13</v>
      </c>
      <c r="BH532" t="s">
        <v>3900</v>
      </c>
      <c r="BI532" t="s">
        <v>5376</v>
      </c>
      <c r="BJ532">
        <v>1</v>
      </c>
      <c r="BK532" t="s">
        <v>3902</v>
      </c>
    </row>
    <row r="533" spans="1:63" x14ac:dyDescent="0.25">
      <c r="A533">
        <v>4517</v>
      </c>
      <c r="B533" t="str">
        <f>"20200130151017135552"</f>
        <v>20200130151017135552</v>
      </c>
      <c r="C533">
        <v>1</v>
      </c>
      <c r="D533">
        <v>1</v>
      </c>
      <c r="E533" t="s">
        <v>3886</v>
      </c>
      <c r="F533">
        <v>2</v>
      </c>
      <c r="G533">
        <v>0</v>
      </c>
      <c r="H533" t="s">
        <v>66</v>
      </c>
      <c r="I533">
        <v>0</v>
      </c>
      <c r="J533" t="s">
        <v>66</v>
      </c>
      <c r="K533">
        <v>0</v>
      </c>
      <c r="L533" t="s">
        <v>66</v>
      </c>
      <c r="M533" t="s">
        <v>56</v>
      </c>
      <c r="N533">
        <v>0</v>
      </c>
      <c r="O533" t="s">
        <v>66</v>
      </c>
      <c r="P533" t="s">
        <v>56</v>
      </c>
      <c r="Q533">
        <v>0</v>
      </c>
      <c r="R533" t="s">
        <v>66</v>
      </c>
      <c r="S533" t="s">
        <v>56</v>
      </c>
      <c r="T533">
        <v>1</v>
      </c>
      <c r="U533" t="s">
        <v>1627</v>
      </c>
      <c r="V533" t="s">
        <v>56</v>
      </c>
      <c r="W533">
        <v>0</v>
      </c>
      <c r="X533" t="s">
        <v>66</v>
      </c>
      <c r="Y533" t="s">
        <v>56</v>
      </c>
      <c r="Z533">
        <v>0</v>
      </c>
      <c r="AA533" t="s">
        <v>66</v>
      </c>
      <c r="AB533" t="s">
        <v>56</v>
      </c>
      <c r="AC533">
        <v>1</v>
      </c>
      <c r="AD533" t="s">
        <v>1627</v>
      </c>
      <c r="AE533" t="s">
        <v>3887</v>
      </c>
      <c r="AF533">
        <v>0</v>
      </c>
      <c r="AG533" t="s">
        <v>66</v>
      </c>
      <c r="AH533" t="s">
        <v>56</v>
      </c>
      <c r="AI533">
        <v>1</v>
      </c>
      <c r="AJ533" t="s">
        <v>1627</v>
      </c>
      <c r="AK533" t="s">
        <v>56</v>
      </c>
      <c r="AL533" t="s">
        <v>56</v>
      </c>
      <c r="AM533" t="s">
        <v>56</v>
      </c>
      <c r="AN533" t="s">
        <v>56</v>
      </c>
      <c r="AO533" t="s">
        <v>4160</v>
      </c>
      <c r="AP533" t="s">
        <v>3962</v>
      </c>
      <c r="AQ533" t="s">
        <v>3963</v>
      </c>
      <c r="AR533" t="s">
        <v>3941</v>
      </c>
      <c r="AS533" t="s">
        <v>3942</v>
      </c>
      <c r="AT533" t="s">
        <v>5377</v>
      </c>
      <c r="AU533" t="s">
        <v>3944</v>
      </c>
      <c r="AV533" t="s">
        <v>3945</v>
      </c>
      <c r="AW533" t="s">
        <v>3946</v>
      </c>
      <c r="AX533">
        <v>24</v>
      </c>
      <c r="AY533">
        <v>2</v>
      </c>
      <c r="AZ533" t="s">
        <v>3897</v>
      </c>
      <c r="BA533">
        <v>10</v>
      </c>
      <c r="BB533" t="s">
        <v>3898</v>
      </c>
      <c r="BC533">
        <v>90</v>
      </c>
      <c r="BD533">
        <v>3</v>
      </c>
      <c r="BE533" t="s">
        <v>3911</v>
      </c>
      <c r="BF533">
        <v>90</v>
      </c>
      <c r="BG533">
        <v>66</v>
      </c>
      <c r="BH533" t="s">
        <v>3965</v>
      </c>
      <c r="BI533" t="s">
        <v>5378</v>
      </c>
      <c r="BJ533">
        <v>1</v>
      </c>
      <c r="BK533" t="s">
        <v>3902</v>
      </c>
    </row>
    <row r="534" spans="1:63" x14ac:dyDescent="0.25">
      <c r="A534">
        <v>4518</v>
      </c>
      <c r="B534" t="str">
        <f>"20200130138017135749"</f>
        <v>20200130138017135749</v>
      </c>
      <c r="C534">
        <v>1</v>
      </c>
      <c r="D534">
        <v>1</v>
      </c>
      <c r="E534" t="s">
        <v>3886</v>
      </c>
      <c r="F534">
        <v>2</v>
      </c>
      <c r="G534">
        <v>0</v>
      </c>
      <c r="H534" t="s">
        <v>66</v>
      </c>
      <c r="I534">
        <v>0</v>
      </c>
      <c r="J534" t="s">
        <v>66</v>
      </c>
      <c r="K534">
        <v>0</v>
      </c>
      <c r="L534" t="s">
        <v>66</v>
      </c>
      <c r="M534" t="s">
        <v>56</v>
      </c>
      <c r="N534">
        <v>0</v>
      </c>
      <c r="O534" t="s">
        <v>66</v>
      </c>
      <c r="P534" t="s">
        <v>56</v>
      </c>
      <c r="Q534">
        <v>0</v>
      </c>
      <c r="R534" t="s">
        <v>66</v>
      </c>
      <c r="S534" t="s">
        <v>56</v>
      </c>
      <c r="T534">
        <v>1</v>
      </c>
      <c r="U534" t="s">
        <v>1627</v>
      </c>
      <c r="V534" t="s">
        <v>56</v>
      </c>
      <c r="W534">
        <v>0</v>
      </c>
      <c r="X534" t="s">
        <v>66</v>
      </c>
      <c r="Y534" t="s">
        <v>56</v>
      </c>
      <c r="Z534">
        <v>0</v>
      </c>
      <c r="AA534" t="s">
        <v>66</v>
      </c>
      <c r="AB534" t="s">
        <v>56</v>
      </c>
      <c r="AC534">
        <v>1</v>
      </c>
      <c r="AD534" t="s">
        <v>1627</v>
      </c>
      <c r="AE534" t="s">
        <v>3887</v>
      </c>
      <c r="AF534">
        <v>0</v>
      </c>
      <c r="AG534" t="s">
        <v>66</v>
      </c>
      <c r="AH534" t="s">
        <v>56</v>
      </c>
      <c r="AI534">
        <v>1</v>
      </c>
      <c r="AJ534" t="s">
        <v>1627</v>
      </c>
      <c r="AK534" t="s">
        <v>56</v>
      </c>
      <c r="AL534" t="s">
        <v>56</v>
      </c>
      <c r="AM534" t="s">
        <v>56</v>
      </c>
      <c r="AN534" t="s">
        <v>56</v>
      </c>
      <c r="AO534" t="s">
        <v>5379</v>
      </c>
      <c r="AP534" t="s">
        <v>3962</v>
      </c>
      <c r="AQ534" t="s">
        <v>3963</v>
      </c>
      <c r="AR534" t="s">
        <v>3941</v>
      </c>
      <c r="AS534" t="s">
        <v>3942</v>
      </c>
      <c r="AT534" t="s">
        <v>5380</v>
      </c>
      <c r="AU534">
        <v>9000</v>
      </c>
      <c r="AV534" t="s">
        <v>3956</v>
      </c>
      <c r="AW534" t="s">
        <v>3956</v>
      </c>
      <c r="AX534">
        <v>24</v>
      </c>
      <c r="AY534">
        <v>2</v>
      </c>
      <c r="AZ534" t="s">
        <v>3897</v>
      </c>
      <c r="BA534">
        <v>10</v>
      </c>
      <c r="BB534" t="s">
        <v>3898</v>
      </c>
      <c r="BC534">
        <v>3</v>
      </c>
      <c r="BD534">
        <v>5</v>
      </c>
      <c r="BE534" t="s">
        <v>3899</v>
      </c>
      <c r="BF534">
        <v>270</v>
      </c>
      <c r="BG534">
        <v>66</v>
      </c>
      <c r="BH534" t="s">
        <v>3965</v>
      </c>
      <c r="BI534" t="s">
        <v>4914</v>
      </c>
      <c r="BJ534">
        <v>1</v>
      </c>
      <c r="BK534" t="s">
        <v>3902</v>
      </c>
    </row>
    <row r="535" spans="1:63" x14ac:dyDescent="0.25">
      <c r="A535">
        <v>4519</v>
      </c>
      <c r="B535" t="str">
        <f>"20200130138017135749"</f>
        <v>20200130138017135749</v>
      </c>
      <c r="C535">
        <v>2</v>
      </c>
      <c r="D535">
        <v>1</v>
      </c>
      <c r="E535" t="s">
        <v>3886</v>
      </c>
      <c r="F535">
        <v>2</v>
      </c>
      <c r="G535">
        <v>0</v>
      </c>
      <c r="H535" t="s">
        <v>66</v>
      </c>
      <c r="I535">
        <v>0</v>
      </c>
      <c r="J535" t="s">
        <v>66</v>
      </c>
      <c r="K535">
        <v>0</v>
      </c>
      <c r="L535" t="s">
        <v>66</v>
      </c>
      <c r="M535" t="s">
        <v>56</v>
      </c>
      <c r="N535">
        <v>0</v>
      </c>
      <c r="O535" t="s">
        <v>66</v>
      </c>
      <c r="P535" t="s">
        <v>56</v>
      </c>
      <c r="Q535">
        <v>0</v>
      </c>
      <c r="R535" t="s">
        <v>66</v>
      </c>
      <c r="S535" t="s">
        <v>56</v>
      </c>
      <c r="T535">
        <v>1</v>
      </c>
      <c r="U535" t="s">
        <v>1627</v>
      </c>
      <c r="V535" t="s">
        <v>56</v>
      </c>
      <c r="W535">
        <v>0</v>
      </c>
      <c r="X535" t="s">
        <v>66</v>
      </c>
      <c r="Y535" t="s">
        <v>56</v>
      </c>
      <c r="Z535">
        <v>0</v>
      </c>
      <c r="AA535" t="s">
        <v>66</v>
      </c>
      <c r="AB535" t="s">
        <v>56</v>
      </c>
      <c r="AC535">
        <v>1</v>
      </c>
      <c r="AD535" t="s">
        <v>1627</v>
      </c>
      <c r="AE535" t="s">
        <v>3887</v>
      </c>
      <c r="AF535">
        <v>0</v>
      </c>
      <c r="AG535" t="s">
        <v>66</v>
      </c>
      <c r="AH535" t="s">
        <v>56</v>
      </c>
      <c r="AI535">
        <v>1</v>
      </c>
      <c r="AJ535" t="s">
        <v>1627</v>
      </c>
      <c r="AK535" t="s">
        <v>56</v>
      </c>
      <c r="AL535" t="s">
        <v>56</v>
      </c>
      <c r="AM535" t="s">
        <v>56</v>
      </c>
      <c r="AN535" t="s">
        <v>56</v>
      </c>
      <c r="AO535" t="s">
        <v>4163</v>
      </c>
      <c r="AP535" t="s">
        <v>3962</v>
      </c>
      <c r="AQ535" t="s">
        <v>3963</v>
      </c>
      <c r="AR535" t="s">
        <v>3941</v>
      </c>
      <c r="AS535" t="s">
        <v>3942</v>
      </c>
      <c r="AT535" t="s">
        <v>5381</v>
      </c>
      <c r="AU535">
        <v>9000</v>
      </c>
      <c r="AV535" t="s">
        <v>3956</v>
      </c>
      <c r="AW535" t="s">
        <v>3956</v>
      </c>
      <c r="AX535">
        <v>24</v>
      </c>
      <c r="AY535">
        <v>2</v>
      </c>
      <c r="AZ535" t="s">
        <v>3897</v>
      </c>
      <c r="BA535">
        <v>10</v>
      </c>
      <c r="BB535" t="s">
        <v>3898</v>
      </c>
      <c r="BC535">
        <v>3</v>
      </c>
      <c r="BD535">
        <v>5</v>
      </c>
      <c r="BE535" t="s">
        <v>3899</v>
      </c>
      <c r="BF535">
        <v>270</v>
      </c>
      <c r="BG535">
        <v>66</v>
      </c>
      <c r="BH535" t="s">
        <v>3965</v>
      </c>
      <c r="BI535" t="s">
        <v>4914</v>
      </c>
      <c r="BJ535">
        <v>1</v>
      </c>
      <c r="BK535" t="s">
        <v>3902</v>
      </c>
    </row>
    <row r="536" spans="1:63" x14ac:dyDescent="0.25">
      <c r="A536">
        <v>4520</v>
      </c>
      <c r="B536" t="str">
        <f>"20200130136017136037"</f>
        <v>20200130136017136037</v>
      </c>
      <c r="C536">
        <v>1</v>
      </c>
      <c r="D536">
        <v>1</v>
      </c>
      <c r="E536" t="s">
        <v>3886</v>
      </c>
      <c r="F536">
        <v>2</v>
      </c>
      <c r="G536">
        <v>0</v>
      </c>
      <c r="H536" t="s">
        <v>66</v>
      </c>
      <c r="I536">
        <v>0</v>
      </c>
      <c r="J536" t="s">
        <v>66</v>
      </c>
      <c r="K536">
        <v>1</v>
      </c>
      <c r="L536" t="s">
        <v>1627</v>
      </c>
      <c r="M536" t="s">
        <v>5291</v>
      </c>
      <c r="N536">
        <v>1</v>
      </c>
      <c r="O536" t="s">
        <v>1627</v>
      </c>
      <c r="P536" t="s">
        <v>5382</v>
      </c>
      <c r="Q536">
        <v>0</v>
      </c>
      <c r="R536" t="s">
        <v>66</v>
      </c>
      <c r="S536" t="s">
        <v>56</v>
      </c>
      <c r="T536" t="s">
        <v>56</v>
      </c>
      <c r="U536" t="s">
        <v>56</v>
      </c>
      <c r="V536" t="s">
        <v>56</v>
      </c>
      <c r="W536">
        <v>0</v>
      </c>
      <c r="X536" t="s">
        <v>66</v>
      </c>
      <c r="Y536" t="s">
        <v>56</v>
      </c>
      <c r="Z536">
        <v>0</v>
      </c>
      <c r="AA536" t="s">
        <v>66</v>
      </c>
      <c r="AB536" t="s">
        <v>56</v>
      </c>
      <c r="AC536">
        <v>0</v>
      </c>
      <c r="AD536" t="s">
        <v>66</v>
      </c>
      <c r="AE536" t="s">
        <v>56</v>
      </c>
      <c r="AF536">
        <v>0</v>
      </c>
      <c r="AG536" t="s">
        <v>66</v>
      </c>
      <c r="AH536" t="s">
        <v>56</v>
      </c>
      <c r="AI536">
        <v>1</v>
      </c>
      <c r="AJ536" t="s">
        <v>1627</v>
      </c>
      <c r="AK536" t="s">
        <v>56</v>
      </c>
      <c r="AL536" t="s">
        <v>56</v>
      </c>
      <c r="AM536" t="s">
        <v>56</v>
      </c>
      <c r="AN536" t="s">
        <v>56</v>
      </c>
      <c r="AO536" t="s">
        <v>5383</v>
      </c>
      <c r="AP536" t="s">
        <v>3962</v>
      </c>
      <c r="AQ536" t="s">
        <v>3963</v>
      </c>
      <c r="AR536" t="s">
        <v>3941</v>
      </c>
      <c r="AS536" t="s">
        <v>3942</v>
      </c>
      <c r="AT536" t="s">
        <v>5384</v>
      </c>
      <c r="AU536" t="s">
        <v>3944</v>
      </c>
      <c r="AV536" t="s">
        <v>3945</v>
      </c>
      <c r="AW536" t="s">
        <v>3946</v>
      </c>
      <c r="AX536">
        <v>12</v>
      </c>
      <c r="AY536">
        <v>2</v>
      </c>
      <c r="AZ536" t="s">
        <v>3897</v>
      </c>
      <c r="BA536">
        <v>10</v>
      </c>
      <c r="BB536" t="s">
        <v>3898</v>
      </c>
      <c r="BC536">
        <v>90</v>
      </c>
      <c r="BD536">
        <v>3</v>
      </c>
      <c r="BE536" t="s">
        <v>3911</v>
      </c>
      <c r="BF536">
        <v>180</v>
      </c>
      <c r="BG536">
        <v>66</v>
      </c>
      <c r="BH536" t="s">
        <v>3965</v>
      </c>
      <c r="BI536" t="s">
        <v>5385</v>
      </c>
      <c r="BJ536">
        <v>1</v>
      </c>
      <c r="BK536" t="s">
        <v>3902</v>
      </c>
    </row>
    <row r="537" spans="1:63" x14ac:dyDescent="0.25">
      <c r="A537">
        <v>4521</v>
      </c>
      <c r="B537" t="str">
        <f>"20200130161017136236"</f>
        <v>20200130161017136236</v>
      </c>
      <c r="C537">
        <v>1</v>
      </c>
      <c r="D537">
        <v>1</v>
      </c>
      <c r="E537" t="s">
        <v>3886</v>
      </c>
      <c r="F537">
        <v>2</v>
      </c>
      <c r="G537">
        <v>0</v>
      </c>
      <c r="H537" t="s">
        <v>66</v>
      </c>
      <c r="I537">
        <v>0</v>
      </c>
      <c r="J537" t="s">
        <v>66</v>
      </c>
      <c r="K537">
        <v>0</v>
      </c>
      <c r="L537" t="s">
        <v>66</v>
      </c>
      <c r="M537" t="s">
        <v>56</v>
      </c>
      <c r="N537">
        <v>0</v>
      </c>
      <c r="O537" t="s">
        <v>66</v>
      </c>
      <c r="P537" t="s">
        <v>56</v>
      </c>
      <c r="Q537">
        <v>0</v>
      </c>
      <c r="R537" t="s">
        <v>66</v>
      </c>
      <c r="S537" t="s">
        <v>56</v>
      </c>
      <c r="T537">
        <v>1</v>
      </c>
      <c r="U537" t="s">
        <v>1627</v>
      </c>
      <c r="V537" t="s">
        <v>56</v>
      </c>
      <c r="W537">
        <v>0</v>
      </c>
      <c r="X537" t="s">
        <v>66</v>
      </c>
      <c r="Y537" t="s">
        <v>56</v>
      </c>
      <c r="Z537">
        <v>0</v>
      </c>
      <c r="AA537" t="s">
        <v>66</v>
      </c>
      <c r="AB537" t="s">
        <v>56</v>
      </c>
      <c r="AC537">
        <v>1</v>
      </c>
      <c r="AD537" t="s">
        <v>1627</v>
      </c>
      <c r="AE537" t="s">
        <v>3887</v>
      </c>
      <c r="AF537">
        <v>0</v>
      </c>
      <c r="AG537" t="s">
        <v>66</v>
      </c>
      <c r="AH537" t="s">
        <v>56</v>
      </c>
      <c r="AI537">
        <v>1</v>
      </c>
      <c r="AJ537" t="s">
        <v>1627</v>
      </c>
      <c r="AK537" t="s">
        <v>56</v>
      </c>
      <c r="AL537" t="s">
        <v>56</v>
      </c>
      <c r="AM537" t="s">
        <v>56</v>
      </c>
      <c r="AN537" t="s">
        <v>56</v>
      </c>
      <c r="AO537" t="s">
        <v>4139</v>
      </c>
      <c r="AP537" t="s">
        <v>3889</v>
      </c>
      <c r="AQ537" t="s">
        <v>3890</v>
      </c>
      <c r="AR537" t="s">
        <v>3891</v>
      </c>
      <c r="AS537" t="s">
        <v>3892</v>
      </c>
      <c r="AT537" t="s">
        <v>5386</v>
      </c>
      <c r="AU537" t="s">
        <v>3894</v>
      </c>
      <c r="AV537" t="s">
        <v>3895</v>
      </c>
      <c r="AW537" t="s">
        <v>3896</v>
      </c>
      <c r="AX537">
        <v>12</v>
      </c>
      <c r="AY537">
        <v>2</v>
      </c>
      <c r="AZ537" t="s">
        <v>3897</v>
      </c>
      <c r="BA537">
        <v>10</v>
      </c>
      <c r="BB537" t="s">
        <v>3898</v>
      </c>
      <c r="BC537">
        <v>3</v>
      </c>
      <c r="BD537">
        <v>5</v>
      </c>
      <c r="BE537" t="s">
        <v>3899</v>
      </c>
      <c r="BF537">
        <v>3</v>
      </c>
      <c r="BG537">
        <v>13</v>
      </c>
      <c r="BH537" t="s">
        <v>3900</v>
      </c>
      <c r="BI537" t="s">
        <v>5387</v>
      </c>
      <c r="BJ537">
        <v>1</v>
      </c>
      <c r="BK537" t="s">
        <v>3902</v>
      </c>
    </row>
    <row r="538" spans="1:63" x14ac:dyDescent="0.25">
      <c r="A538">
        <v>4522</v>
      </c>
      <c r="B538" t="str">
        <f>"20200130123017136460"</f>
        <v>20200130123017136460</v>
      </c>
      <c r="C538">
        <v>1</v>
      </c>
      <c r="D538">
        <v>1</v>
      </c>
      <c r="E538" t="s">
        <v>3886</v>
      </c>
      <c r="F538">
        <v>2</v>
      </c>
      <c r="G538">
        <v>0</v>
      </c>
      <c r="H538" t="s">
        <v>66</v>
      </c>
      <c r="I538">
        <v>0</v>
      </c>
      <c r="J538" t="s">
        <v>66</v>
      </c>
      <c r="K538">
        <v>1</v>
      </c>
      <c r="L538" t="s">
        <v>1627</v>
      </c>
      <c r="M538" t="s">
        <v>4963</v>
      </c>
      <c r="N538">
        <v>0</v>
      </c>
      <c r="O538" t="s">
        <v>66</v>
      </c>
      <c r="P538" t="s">
        <v>56</v>
      </c>
      <c r="Q538">
        <v>1</v>
      </c>
      <c r="R538" t="s">
        <v>1627</v>
      </c>
      <c r="S538" t="s">
        <v>5388</v>
      </c>
      <c r="T538" t="s">
        <v>56</v>
      </c>
      <c r="U538" t="s">
        <v>56</v>
      </c>
      <c r="V538" t="s">
        <v>56</v>
      </c>
      <c r="W538">
        <v>0</v>
      </c>
      <c r="X538" t="s">
        <v>66</v>
      </c>
      <c r="Y538" t="s">
        <v>56</v>
      </c>
      <c r="Z538">
        <v>0</v>
      </c>
      <c r="AA538" t="s">
        <v>66</v>
      </c>
      <c r="AB538" t="s">
        <v>56</v>
      </c>
      <c r="AC538">
        <v>0</v>
      </c>
      <c r="AD538" t="s">
        <v>66</v>
      </c>
      <c r="AE538" t="s">
        <v>56</v>
      </c>
      <c r="AF538">
        <v>0</v>
      </c>
      <c r="AG538" t="s">
        <v>66</v>
      </c>
      <c r="AH538" t="s">
        <v>56</v>
      </c>
      <c r="AI538">
        <v>1</v>
      </c>
      <c r="AJ538" t="s">
        <v>1627</v>
      </c>
      <c r="AK538" t="s">
        <v>56</v>
      </c>
      <c r="AL538" t="s">
        <v>56</v>
      </c>
      <c r="AM538" t="s">
        <v>56</v>
      </c>
      <c r="AN538" t="s">
        <v>56</v>
      </c>
      <c r="AO538" t="s">
        <v>5389</v>
      </c>
      <c r="AP538" t="s">
        <v>3962</v>
      </c>
      <c r="AQ538" t="s">
        <v>3963</v>
      </c>
      <c r="AR538" t="s">
        <v>3941</v>
      </c>
      <c r="AS538" t="s">
        <v>3942</v>
      </c>
      <c r="AT538" t="s">
        <v>5390</v>
      </c>
      <c r="AU538" t="s">
        <v>3944</v>
      </c>
      <c r="AV538" t="s">
        <v>3945</v>
      </c>
      <c r="AW538" t="s">
        <v>3946</v>
      </c>
      <c r="AX538">
        <v>12</v>
      </c>
      <c r="AY538">
        <v>2</v>
      </c>
      <c r="AZ538" t="s">
        <v>3897</v>
      </c>
      <c r="BA538">
        <v>10</v>
      </c>
      <c r="BB538" t="s">
        <v>3898</v>
      </c>
      <c r="BC538">
        <v>30</v>
      </c>
      <c r="BD538">
        <v>3</v>
      </c>
      <c r="BE538" t="s">
        <v>3911</v>
      </c>
      <c r="BF538">
        <v>60</v>
      </c>
      <c r="BG538">
        <v>66</v>
      </c>
      <c r="BH538" t="s">
        <v>3965</v>
      </c>
      <c r="BI538" t="s">
        <v>5391</v>
      </c>
      <c r="BJ538">
        <v>1</v>
      </c>
      <c r="BK538" t="s">
        <v>3902</v>
      </c>
    </row>
    <row r="539" spans="1:63" x14ac:dyDescent="0.25">
      <c r="A539">
        <v>4523</v>
      </c>
      <c r="B539" t="str">
        <f>"20200130196017136512"</f>
        <v>20200130196017136512</v>
      </c>
      <c r="C539">
        <v>1</v>
      </c>
      <c r="D539">
        <v>1</v>
      </c>
      <c r="E539" t="s">
        <v>3886</v>
      </c>
      <c r="F539">
        <v>2</v>
      </c>
      <c r="G539">
        <v>0</v>
      </c>
      <c r="H539" t="s">
        <v>66</v>
      </c>
      <c r="I539">
        <v>0</v>
      </c>
      <c r="J539" t="s">
        <v>66</v>
      </c>
      <c r="K539">
        <v>0</v>
      </c>
      <c r="L539" t="s">
        <v>66</v>
      </c>
      <c r="M539" t="s">
        <v>56</v>
      </c>
      <c r="N539">
        <v>0</v>
      </c>
      <c r="O539" t="s">
        <v>66</v>
      </c>
      <c r="P539" t="s">
        <v>56</v>
      </c>
      <c r="Q539">
        <v>0</v>
      </c>
      <c r="R539" t="s">
        <v>66</v>
      </c>
      <c r="S539" t="s">
        <v>56</v>
      </c>
      <c r="T539">
        <v>1</v>
      </c>
      <c r="U539" t="s">
        <v>1627</v>
      </c>
      <c r="V539" t="s">
        <v>56</v>
      </c>
      <c r="W539">
        <v>0</v>
      </c>
      <c r="X539" t="s">
        <v>66</v>
      </c>
      <c r="Y539" t="s">
        <v>56</v>
      </c>
      <c r="Z539">
        <v>0</v>
      </c>
      <c r="AA539" t="s">
        <v>66</v>
      </c>
      <c r="AB539" t="s">
        <v>56</v>
      </c>
      <c r="AC539">
        <v>1</v>
      </c>
      <c r="AD539" t="s">
        <v>1627</v>
      </c>
      <c r="AE539" t="s">
        <v>3887</v>
      </c>
      <c r="AF539">
        <v>0</v>
      </c>
      <c r="AG539" t="s">
        <v>66</v>
      </c>
      <c r="AH539" t="s">
        <v>56</v>
      </c>
      <c r="AI539">
        <v>1</v>
      </c>
      <c r="AJ539" t="s">
        <v>1627</v>
      </c>
      <c r="AK539" t="s">
        <v>56</v>
      </c>
      <c r="AL539" t="s">
        <v>56</v>
      </c>
      <c r="AM539" t="s">
        <v>56</v>
      </c>
      <c r="AN539" t="s">
        <v>56</v>
      </c>
      <c r="AO539" t="s">
        <v>4598</v>
      </c>
      <c r="AP539" t="s">
        <v>3962</v>
      </c>
      <c r="AQ539" t="s">
        <v>3963</v>
      </c>
      <c r="AR539" t="s">
        <v>3941</v>
      </c>
      <c r="AS539" t="s">
        <v>3942</v>
      </c>
      <c r="AT539" t="s">
        <v>5392</v>
      </c>
      <c r="AU539">
        <v>9000</v>
      </c>
      <c r="AV539" t="s">
        <v>3956</v>
      </c>
      <c r="AW539" t="s">
        <v>3956</v>
      </c>
      <c r="AX539">
        <v>24</v>
      </c>
      <c r="AY539">
        <v>2</v>
      </c>
      <c r="AZ539" t="s">
        <v>3897</v>
      </c>
      <c r="BA539">
        <v>10</v>
      </c>
      <c r="BB539" t="s">
        <v>3898</v>
      </c>
      <c r="BC539">
        <v>4</v>
      </c>
      <c r="BD539">
        <v>5</v>
      </c>
      <c r="BE539" t="s">
        <v>3899</v>
      </c>
      <c r="BF539">
        <v>360</v>
      </c>
      <c r="BG539">
        <v>66</v>
      </c>
      <c r="BH539" t="s">
        <v>3965</v>
      </c>
      <c r="BI539" t="s">
        <v>4600</v>
      </c>
      <c r="BJ539">
        <v>1</v>
      </c>
      <c r="BK539" t="s">
        <v>3902</v>
      </c>
    </row>
    <row r="540" spans="1:63" x14ac:dyDescent="0.25">
      <c r="A540">
        <v>4524</v>
      </c>
      <c r="B540" t="str">
        <f>"20200130161017137527"</f>
        <v>20200130161017137527</v>
      </c>
      <c r="C540">
        <v>1</v>
      </c>
      <c r="D540">
        <v>1</v>
      </c>
      <c r="E540" t="s">
        <v>3886</v>
      </c>
      <c r="F540">
        <v>2</v>
      </c>
      <c r="G540">
        <v>0</v>
      </c>
      <c r="H540" t="s">
        <v>66</v>
      </c>
      <c r="I540">
        <v>0</v>
      </c>
      <c r="J540" t="s">
        <v>66</v>
      </c>
      <c r="K540">
        <v>0</v>
      </c>
      <c r="L540" t="s">
        <v>66</v>
      </c>
      <c r="M540" t="s">
        <v>56</v>
      </c>
      <c r="N540">
        <v>0</v>
      </c>
      <c r="O540" t="s">
        <v>66</v>
      </c>
      <c r="P540" t="s">
        <v>56</v>
      </c>
      <c r="Q540">
        <v>0</v>
      </c>
      <c r="R540" t="s">
        <v>66</v>
      </c>
      <c r="S540" t="s">
        <v>56</v>
      </c>
      <c r="T540">
        <v>1</v>
      </c>
      <c r="U540" t="s">
        <v>1627</v>
      </c>
      <c r="V540" t="s">
        <v>56</v>
      </c>
      <c r="W540">
        <v>0</v>
      </c>
      <c r="X540" t="s">
        <v>66</v>
      </c>
      <c r="Y540" t="s">
        <v>56</v>
      </c>
      <c r="Z540">
        <v>0</v>
      </c>
      <c r="AA540" t="s">
        <v>66</v>
      </c>
      <c r="AB540" t="s">
        <v>56</v>
      </c>
      <c r="AC540">
        <v>1</v>
      </c>
      <c r="AD540" t="s">
        <v>1627</v>
      </c>
      <c r="AE540" t="s">
        <v>3887</v>
      </c>
      <c r="AF540">
        <v>0</v>
      </c>
      <c r="AG540" t="s">
        <v>66</v>
      </c>
      <c r="AH540" t="s">
        <v>56</v>
      </c>
      <c r="AI540">
        <v>1</v>
      </c>
      <c r="AJ540" t="s">
        <v>1627</v>
      </c>
      <c r="AK540" t="s">
        <v>56</v>
      </c>
      <c r="AL540" t="s">
        <v>56</v>
      </c>
      <c r="AM540" t="s">
        <v>56</v>
      </c>
      <c r="AN540" t="s">
        <v>56</v>
      </c>
      <c r="AO540" t="s">
        <v>3949</v>
      </c>
      <c r="AP540" t="s">
        <v>3889</v>
      </c>
      <c r="AQ540" t="s">
        <v>3890</v>
      </c>
      <c r="AR540" t="s">
        <v>3891</v>
      </c>
      <c r="AS540" t="s">
        <v>3892</v>
      </c>
      <c r="AT540" t="s">
        <v>4143</v>
      </c>
      <c r="AU540" t="s">
        <v>3894</v>
      </c>
      <c r="AV540" t="s">
        <v>3895</v>
      </c>
      <c r="AW540" t="s">
        <v>3896</v>
      </c>
      <c r="AX540">
        <v>6</v>
      </c>
      <c r="AY540">
        <v>2</v>
      </c>
      <c r="AZ540" t="s">
        <v>3897</v>
      </c>
      <c r="BA540">
        <v>10</v>
      </c>
      <c r="BB540" t="s">
        <v>3898</v>
      </c>
      <c r="BC540">
        <v>3</v>
      </c>
      <c r="BD540">
        <v>5</v>
      </c>
      <c r="BE540" t="s">
        <v>3899</v>
      </c>
      <c r="BF540">
        <v>3</v>
      </c>
      <c r="BG540">
        <v>13</v>
      </c>
      <c r="BH540" t="s">
        <v>3900</v>
      </c>
      <c r="BI540" t="s">
        <v>5393</v>
      </c>
      <c r="BJ540">
        <v>1</v>
      </c>
      <c r="BK540" t="s">
        <v>3902</v>
      </c>
    </row>
    <row r="541" spans="1:63" x14ac:dyDescent="0.25">
      <c r="A541">
        <v>4525</v>
      </c>
      <c r="B541" t="str">
        <f>"20200130119017137645"</f>
        <v>20200130119017137645</v>
      </c>
      <c r="C541">
        <v>1</v>
      </c>
      <c r="D541">
        <v>1</v>
      </c>
      <c r="E541" t="s">
        <v>3886</v>
      </c>
      <c r="F541">
        <v>1</v>
      </c>
      <c r="G541">
        <v>0</v>
      </c>
      <c r="H541" t="s">
        <v>66</v>
      </c>
      <c r="I541">
        <v>0</v>
      </c>
      <c r="J541" t="s">
        <v>66</v>
      </c>
      <c r="K541">
        <v>1</v>
      </c>
      <c r="L541" t="s">
        <v>1627</v>
      </c>
      <c r="M541" t="s">
        <v>5394</v>
      </c>
      <c r="N541">
        <v>1</v>
      </c>
      <c r="O541" t="s">
        <v>1627</v>
      </c>
      <c r="P541" t="s">
        <v>5395</v>
      </c>
      <c r="Q541">
        <v>0</v>
      </c>
      <c r="R541" t="s">
        <v>66</v>
      </c>
      <c r="S541" t="s">
        <v>56</v>
      </c>
      <c r="T541" t="s">
        <v>56</v>
      </c>
      <c r="U541" t="s">
        <v>56</v>
      </c>
      <c r="V541" t="s">
        <v>56</v>
      </c>
      <c r="W541">
        <v>0</v>
      </c>
      <c r="X541" t="s">
        <v>66</v>
      </c>
      <c r="Y541" t="s">
        <v>56</v>
      </c>
      <c r="Z541">
        <v>0</v>
      </c>
      <c r="AA541" t="s">
        <v>66</v>
      </c>
      <c r="AB541" t="s">
        <v>56</v>
      </c>
      <c r="AC541">
        <v>0</v>
      </c>
      <c r="AD541" t="s">
        <v>66</v>
      </c>
      <c r="AE541" t="s">
        <v>56</v>
      </c>
      <c r="AF541">
        <v>0</v>
      </c>
      <c r="AG541" t="s">
        <v>66</v>
      </c>
      <c r="AH541" t="s">
        <v>56</v>
      </c>
      <c r="AI541">
        <v>1</v>
      </c>
      <c r="AJ541" t="s">
        <v>1627</v>
      </c>
      <c r="AK541">
        <v>0</v>
      </c>
      <c r="AL541" t="s">
        <v>66</v>
      </c>
      <c r="AM541" t="s">
        <v>56</v>
      </c>
      <c r="AN541" t="s">
        <v>56</v>
      </c>
      <c r="AO541" t="s">
        <v>5396</v>
      </c>
      <c r="AP541" t="s">
        <v>3889</v>
      </c>
      <c r="AQ541" t="s">
        <v>3890</v>
      </c>
      <c r="AR541" t="s">
        <v>3904</v>
      </c>
      <c r="AS541" t="s">
        <v>3905</v>
      </c>
      <c r="AT541" t="s">
        <v>5397</v>
      </c>
      <c r="AU541" t="s">
        <v>3944</v>
      </c>
      <c r="AV541" t="s">
        <v>3945</v>
      </c>
      <c r="AW541" t="s">
        <v>3946</v>
      </c>
      <c r="AX541">
        <v>7</v>
      </c>
      <c r="AY541">
        <v>3</v>
      </c>
      <c r="AZ541" t="s">
        <v>3911</v>
      </c>
      <c r="BA541">
        <v>10</v>
      </c>
      <c r="BB541" t="s">
        <v>3898</v>
      </c>
      <c r="BC541">
        <v>30</v>
      </c>
      <c r="BD541">
        <v>3</v>
      </c>
      <c r="BE541" t="s">
        <v>3911</v>
      </c>
      <c r="BF541">
        <v>24</v>
      </c>
      <c r="BG541" t="s">
        <v>3912</v>
      </c>
      <c r="BH541" t="s">
        <v>3913</v>
      </c>
      <c r="BI541" t="s">
        <v>5398</v>
      </c>
      <c r="BJ541">
        <v>1</v>
      </c>
      <c r="BK541" t="s">
        <v>3902</v>
      </c>
    </row>
    <row r="542" spans="1:63" x14ac:dyDescent="0.25">
      <c r="A542">
        <v>4526</v>
      </c>
      <c r="B542" t="str">
        <f>"20200130183017137934"</f>
        <v>20200130183017137934</v>
      </c>
      <c r="C542">
        <v>1</v>
      </c>
      <c r="D542">
        <v>1</v>
      </c>
      <c r="E542" t="s">
        <v>3886</v>
      </c>
      <c r="F542">
        <v>1</v>
      </c>
      <c r="G542">
        <v>0</v>
      </c>
      <c r="H542" t="s">
        <v>66</v>
      </c>
      <c r="I542">
        <v>0</v>
      </c>
      <c r="J542" t="s">
        <v>66</v>
      </c>
      <c r="K542">
        <v>1</v>
      </c>
      <c r="L542" t="s">
        <v>1627</v>
      </c>
      <c r="M542" t="s">
        <v>4551</v>
      </c>
      <c r="N542">
        <v>1</v>
      </c>
      <c r="O542" t="s">
        <v>1627</v>
      </c>
      <c r="P542" t="s">
        <v>4257</v>
      </c>
      <c r="Q542">
        <v>0</v>
      </c>
      <c r="R542" t="s">
        <v>66</v>
      </c>
      <c r="S542" t="s">
        <v>56</v>
      </c>
      <c r="T542" t="s">
        <v>56</v>
      </c>
      <c r="U542" t="s">
        <v>56</v>
      </c>
      <c r="V542" t="s">
        <v>56</v>
      </c>
      <c r="W542">
        <v>0</v>
      </c>
      <c r="X542" t="s">
        <v>66</v>
      </c>
      <c r="Y542" t="s">
        <v>56</v>
      </c>
      <c r="Z542">
        <v>0</v>
      </c>
      <c r="AA542" t="s">
        <v>66</v>
      </c>
      <c r="AB542" t="s">
        <v>56</v>
      </c>
      <c r="AC542">
        <v>0</v>
      </c>
      <c r="AD542" t="s">
        <v>66</v>
      </c>
      <c r="AE542" t="s">
        <v>56</v>
      </c>
      <c r="AF542">
        <v>0</v>
      </c>
      <c r="AG542" t="s">
        <v>66</v>
      </c>
      <c r="AH542" t="s">
        <v>56</v>
      </c>
      <c r="AI542">
        <v>1</v>
      </c>
      <c r="AJ542" t="s">
        <v>1627</v>
      </c>
      <c r="AK542" t="s">
        <v>56</v>
      </c>
      <c r="AL542" t="s">
        <v>56</v>
      </c>
      <c r="AM542" t="s">
        <v>56</v>
      </c>
      <c r="AN542" t="s">
        <v>56</v>
      </c>
      <c r="AO542" t="s">
        <v>4553</v>
      </c>
      <c r="AP542" t="s">
        <v>4077</v>
      </c>
      <c r="AQ542" t="s">
        <v>4078</v>
      </c>
      <c r="AR542" t="s">
        <v>3941</v>
      </c>
      <c r="AS542" t="s">
        <v>3942</v>
      </c>
      <c r="AT542" t="s">
        <v>5399</v>
      </c>
      <c r="AU542" t="s">
        <v>3944</v>
      </c>
      <c r="AV542" t="s">
        <v>3945</v>
      </c>
      <c r="AW542" t="s">
        <v>3946</v>
      </c>
      <c r="AX542">
        <v>12</v>
      </c>
      <c r="AY542">
        <v>2</v>
      </c>
      <c r="AZ542" t="s">
        <v>3897</v>
      </c>
      <c r="BA542">
        <v>10</v>
      </c>
      <c r="BB542" t="s">
        <v>3898</v>
      </c>
      <c r="BC542">
        <v>90</v>
      </c>
      <c r="BD542">
        <v>3</v>
      </c>
      <c r="BE542" t="s">
        <v>3911</v>
      </c>
      <c r="BF542">
        <v>180</v>
      </c>
      <c r="BG542">
        <v>66</v>
      </c>
      <c r="BH542" t="s">
        <v>3965</v>
      </c>
      <c r="BI542" t="s">
        <v>5400</v>
      </c>
      <c r="BJ542">
        <v>1</v>
      </c>
      <c r="BK542" t="s">
        <v>3902</v>
      </c>
    </row>
    <row r="543" spans="1:63" x14ac:dyDescent="0.25">
      <c r="A543">
        <v>4527</v>
      </c>
      <c r="B543" t="str">
        <f>"20200130186017138019"</f>
        <v>20200130186017138019</v>
      </c>
      <c r="C543">
        <v>1</v>
      </c>
      <c r="D543">
        <v>1</v>
      </c>
      <c r="E543" t="s">
        <v>3886</v>
      </c>
      <c r="F543">
        <v>2</v>
      </c>
      <c r="G543">
        <v>0</v>
      </c>
      <c r="H543" t="s">
        <v>66</v>
      </c>
      <c r="I543">
        <v>0</v>
      </c>
      <c r="J543" t="s">
        <v>66</v>
      </c>
      <c r="K543">
        <v>1</v>
      </c>
      <c r="L543" t="s">
        <v>1627</v>
      </c>
      <c r="M543" t="s">
        <v>4899</v>
      </c>
      <c r="N543">
        <v>1</v>
      </c>
      <c r="O543" t="s">
        <v>1627</v>
      </c>
      <c r="P543" t="s">
        <v>5401</v>
      </c>
      <c r="Q543">
        <v>0</v>
      </c>
      <c r="R543" t="s">
        <v>66</v>
      </c>
      <c r="S543" t="s">
        <v>56</v>
      </c>
      <c r="T543" t="s">
        <v>56</v>
      </c>
      <c r="U543" t="s">
        <v>56</v>
      </c>
      <c r="V543" t="s">
        <v>56</v>
      </c>
      <c r="W543">
        <v>0</v>
      </c>
      <c r="X543" t="s">
        <v>66</v>
      </c>
      <c r="Y543" t="s">
        <v>56</v>
      </c>
      <c r="Z543">
        <v>0</v>
      </c>
      <c r="AA543" t="s">
        <v>66</v>
      </c>
      <c r="AB543" t="s">
        <v>56</v>
      </c>
      <c r="AC543">
        <v>0</v>
      </c>
      <c r="AD543" t="s">
        <v>66</v>
      </c>
      <c r="AE543" t="s">
        <v>56</v>
      </c>
      <c r="AF543">
        <v>0</v>
      </c>
      <c r="AG543" t="s">
        <v>66</v>
      </c>
      <c r="AH543" t="s">
        <v>56</v>
      </c>
      <c r="AI543">
        <v>1</v>
      </c>
      <c r="AJ543" t="s">
        <v>1627</v>
      </c>
      <c r="AK543" t="s">
        <v>56</v>
      </c>
      <c r="AL543" t="s">
        <v>56</v>
      </c>
      <c r="AM543" t="s">
        <v>56</v>
      </c>
      <c r="AN543" t="s">
        <v>56</v>
      </c>
      <c r="AO543" t="s">
        <v>3970</v>
      </c>
      <c r="AP543" t="s">
        <v>3971</v>
      </c>
      <c r="AQ543" t="s">
        <v>3972</v>
      </c>
      <c r="AR543" t="s">
        <v>3904</v>
      </c>
      <c r="AS543" t="s">
        <v>3905</v>
      </c>
      <c r="AT543" t="s">
        <v>5402</v>
      </c>
      <c r="AU543" t="s">
        <v>3944</v>
      </c>
      <c r="AV543" t="s">
        <v>3945</v>
      </c>
      <c r="AW543" t="s">
        <v>3946</v>
      </c>
      <c r="AX543">
        <v>12</v>
      </c>
      <c r="AY543">
        <v>2</v>
      </c>
      <c r="AZ543" t="s">
        <v>3897</v>
      </c>
      <c r="BA543">
        <v>4</v>
      </c>
      <c r="BB543" t="s">
        <v>4530</v>
      </c>
      <c r="BC543">
        <v>10</v>
      </c>
      <c r="BD543">
        <v>3</v>
      </c>
      <c r="BE543" t="s">
        <v>3911</v>
      </c>
      <c r="BF543">
        <v>20</v>
      </c>
      <c r="BG543" t="s">
        <v>3912</v>
      </c>
      <c r="BH543" t="s">
        <v>3913</v>
      </c>
      <c r="BI543" t="s">
        <v>5403</v>
      </c>
      <c r="BJ543">
        <v>1</v>
      </c>
      <c r="BK543" t="s">
        <v>3902</v>
      </c>
    </row>
    <row r="544" spans="1:63" x14ac:dyDescent="0.25">
      <c r="A544">
        <v>4528</v>
      </c>
      <c r="B544" t="str">
        <f>"20200130172017138025"</f>
        <v>20200130172017138025</v>
      </c>
      <c r="C544">
        <v>1</v>
      </c>
      <c r="D544">
        <v>1</v>
      </c>
      <c r="E544" t="s">
        <v>3886</v>
      </c>
      <c r="F544">
        <v>1</v>
      </c>
      <c r="G544">
        <v>0</v>
      </c>
      <c r="H544" t="s">
        <v>66</v>
      </c>
      <c r="I544">
        <v>0</v>
      </c>
      <c r="J544" t="s">
        <v>66</v>
      </c>
      <c r="K544">
        <v>1</v>
      </c>
      <c r="L544" t="s">
        <v>1627</v>
      </c>
      <c r="M544" t="s">
        <v>5291</v>
      </c>
      <c r="N544">
        <v>1</v>
      </c>
      <c r="O544" t="s">
        <v>1627</v>
      </c>
      <c r="P544" t="s">
        <v>4257</v>
      </c>
      <c r="Q544">
        <v>0</v>
      </c>
      <c r="R544" t="s">
        <v>66</v>
      </c>
      <c r="S544" t="s">
        <v>56</v>
      </c>
      <c r="T544" t="s">
        <v>56</v>
      </c>
      <c r="U544" t="s">
        <v>56</v>
      </c>
      <c r="V544" t="s">
        <v>56</v>
      </c>
      <c r="W544">
        <v>0</v>
      </c>
      <c r="X544" t="s">
        <v>66</v>
      </c>
      <c r="Y544" t="s">
        <v>56</v>
      </c>
      <c r="Z544">
        <v>0</v>
      </c>
      <c r="AA544" t="s">
        <v>66</v>
      </c>
      <c r="AB544" t="s">
        <v>56</v>
      </c>
      <c r="AC544">
        <v>0</v>
      </c>
      <c r="AD544" t="s">
        <v>66</v>
      </c>
      <c r="AE544" t="s">
        <v>56</v>
      </c>
      <c r="AF544">
        <v>0</v>
      </c>
      <c r="AG544" t="s">
        <v>66</v>
      </c>
      <c r="AH544" t="s">
        <v>56</v>
      </c>
      <c r="AI544">
        <v>1</v>
      </c>
      <c r="AJ544" t="s">
        <v>1627</v>
      </c>
      <c r="AK544" t="s">
        <v>56</v>
      </c>
      <c r="AL544" t="s">
        <v>56</v>
      </c>
      <c r="AM544" t="s">
        <v>56</v>
      </c>
      <c r="AN544" t="s">
        <v>56</v>
      </c>
      <c r="AO544" t="s">
        <v>4481</v>
      </c>
      <c r="AP544" t="s">
        <v>3971</v>
      </c>
      <c r="AQ544" t="s">
        <v>3972</v>
      </c>
      <c r="AR544" t="s">
        <v>4146</v>
      </c>
      <c r="AS544" t="s">
        <v>4147</v>
      </c>
      <c r="AT544" t="s">
        <v>5404</v>
      </c>
      <c r="AU544" t="s">
        <v>4316</v>
      </c>
      <c r="AV544" t="s">
        <v>4317</v>
      </c>
      <c r="AW544" t="s">
        <v>4318</v>
      </c>
      <c r="AX544">
        <v>1</v>
      </c>
      <c r="AY544">
        <v>3</v>
      </c>
      <c r="AZ544" t="s">
        <v>3911</v>
      </c>
      <c r="BA544">
        <v>10</v>
      </c>
      <c r="BB544" t="s">
        <v>3898</v>
      </c>
      <c r="BC544">
        <v>1</v>
      </c>
      <c r="BD544">
        <v>3</v>
      </c>
      <c r="BE544" t="s">
        <v>3911</v>
      </c>
      <c r="BF544">
        <v>1</v>
      </c>
      <c r="BG544" t="s">
        <v>3912</v>
      </c>
      <c r="BH544" t="s">
        <v>3913</v>
      </c>
      <c r="BI544" t="s">
        <v>5405</v>
      </c>
      <c r="BJ544">
        <v>1</v>
      </c>
      <c r="BK544" t="s">
        <v>3902</v>
      </c>
    </row>
    <row r="545" spans="1:63" x14ac:dyDescent="0.25">
      <c r="A545">
        <v>4529</v>
      </c>
      <c r="B545" t="str">
        <f>"20200130174017138790"</f>
        <v>20200130174017138790</v>
      </c>
      <c r="C545">
        <v>1</v>
      </c>
      <c r="D545">
        <v>1</v>
      </c>
      <c r="E545" t="s">
        <v>3886</v>
      </c>
      <c r="F545">
        <v>1</v>
      </c>
      <c r="G545">
        <v>0</v>
      </c>
      <c r="H545" t="s">
        <v>66</v>
      </c>
      <c r="I545">
        <v>0</v>
      </c>
      <c r="J545" t="s">
        <v>66</v>
      </c>
      <c r="K545">
        <v>0</v>
      </c>
      <c r="L545" t="s">
        <v>66</v>
      </c>
      <c r="M545" t="s">
        <v>56</v>
      </c>
      <c r="N545">
        <v>0</v>
      </c>
      <c r="O545" t="s">
        <v>66</v>
      </c>
      <c r="P545" t="s">
        <v>56</v>
      </c>
      <c r="Q545">
        <v>0</v>
      </c>
      <c r="R545" t="s">
        <v>66</v>
      </c>
      <c r="S545" t="s">
        <v>56</v>
      </c>
      <c r="T545">
        <v>1</v>
      </c>
      <c r="U545" t="s">
        <v>1627</v>
      </c>
      <c r="V545" t="s">
        <v>56</v>
      </c>
      <c r="W545">
        <v>0</v>
      </c>
      <c r="X545" t="s">
        <v>66</v>
      </c>
      <c r="Y545" t="s">
        <v>56</v>
      </c>
      <c r="Z545">
        <v>0</v>
      </c>
      <c r="AA545" t="s">
        <v>66</v>
      </c>
      <c r="AB545" t="s">
        <v>56</v>
      </c>
      <c r="AC545">
        <v>1</v>
      </c>
      <c r="AD545" t="s">
        <v>1627</v>
      </c>
      <c r="AE545" t="s">
        <v>3887</v>
      </c>
      <c r="AF545">
        <v>0</v>
      </c>
      <c r="AG545" t="s">
        <v>66</v>
      </c>
      <c r="AH545" t="s">
        <v>56</v>
      </c>
      <c r="AI545">
        <v>1</v>
      </c>
      <c r="AJ545" t="s">
        <v>1627</v>
      </c>
      <c r="AK545" t="s">
        <v>56</v>
      </c>
      <c r="AL545" t="s">
        <v>56</v>
      </c>
      <c r="AM545" t="s">
        <v>56</v>
      </c>
      <c r="AN545" t="s">
        <v>56</v>
      </c>
      <c r="AO545" t="s">
        <v>5406</v>
      </c>
      <c r="AP545" t="s">
        <v>3971</v>
      </c>
      <c r="AQ545" t="s">
        <v>3972</v>
      </c>
      <c r="AR545" t="s">
        <v>3941</v>
      </c>
      <c r="AS545" t="s">
        <v>3942</v>
      </c>
      <c r="AT545" t="s">
        <v>5407</v>
      </c>
      <c r="AU545">
        <v>9000</v>
      </c>
      <c r="AV545" t="s">
        <v>3956</v>
      </c>
      <c r="AW545" t="s">
        <v>3956</v>
      </c>
      <c r="AX545">
        <v>1</v>
      </c>
      <c r="AY545">
        <v>3</v>
      </c>
      <c r="AZ545" t="s">
        <v>3911</v>
      </c>
      <c r="BA545">
        <v>10</v>
      </c>
      <c r="BB545" t="s">
        <v>3898</v>
      </c>
      <c r="BC545">
        <v>3</v>
      </c>
      <c r="BD545">
        <v>5</v>
      </c>
      <c r="BE545" t="s">
        <v>3899</v>
      </c>
      <c r="BF545">
        <v>90</v>
      </c>
      <c r="BG545">
        <v>78</v>
      </c>
      <c r="BH545" t="s">
        <v>4333</v>
      </c>
      <c r="BI545" t="s">
        <v>5408</v>
      </c>
      <c r="BJ545">
        <v>1</v>
      </c>
      <c r="BK545" t="s">
        <v>3902</v>
      </c>
    </row>
    <row r="546" spans="1:63" x14ac:dyDescent="0.25">
      <c r="A546">
        <v>4530</v>
      </c>
      <c r="B546" t="str">
        <f>"20200130156017138896"</f>
        <v>20200130156017138896</v>
      </c>
      <c r="C546">
        <v>1</v>
      </c>
      <c r="D546">
        <v>1</v>
      </c>
      <c r="E546" t="s">
        <v>3886</v>
      </c>
      <c r="F546">
        <v>1</v>
      </c>
      <c r="G546">
        <v>0</v>
      </c>
      <c r="H546" t="s">
        <v>66</v>
      </c>
      <c r="I546">
        <v>0</v>
      </c>
      <c r="J546" t="s">
        <v>66</v>
      </c>
      <c r="K546">
        <v>1</v>
      </c>
      <c r="L546" t="s">
        <v>1627</v>
      </c>
      <c r="M546" t="s">
        <v>4450</v>
      </c>
      <c r="N546">
        <v>1</v>
      </c>
      <c r="O546" t="s">
        <v>1627</v>
      </c>
      <c r="P546" t="s">
        <v>5409</v>
      </c>
      <c r="Q546">
        <v>0</v>
      </c>
      <c r="R546" t="s">
        <v>66</v>
      </c>
      <c r="S546" t="s">
        <v>56</v>
      </c>
      <c r="T546" t="s">
        <v>56</v>
      </c>
      <c r="U546" t="s">
        <v>56</v>
      </c>
      <c r="V546" t="s">
        <v>56</v>
      </c>
      <c r="W546">
        <v>0</v>
      </c>
      <c r="X546" t="s">
        <v>66</v>
      </c>
      <c r="Y546" t="s">
        <v>56</v>
      </c>
      <c r="Z546">
        <v>0</v>
      </c>
      <c r="AA546" t="s">
        <v>66</v>
      </c>
      <c r="AB546" t="s">
        <v>56</v>
      </c>
      <c r="AC546">
        <v>0</v>
      </c>
      <c r="AD546" t="s">
        <v>66</v>
      </c>
      <c r="AE546" t="s">
        <v>56</v>
      </c>
      <c r="AF546">
        <v>0</v>
      </c>
      <c r="AG546" t="s">
        <v>66</v>
      </c>
      <c r="AH546" t="s">
        <v>56</v>
      </c>
      <c r="AI546">
        <v>1</v>
      </c>
      <c r="AJ546" t="s">
        <v>1627</v>
      </c>
      <c r="AK546" t="s">
        <v>56</v>
      </c>
      <c r="AL546" t="s">
        <v>56</v>
      </c>
      <c r="AM546" t="s">
        <v>56</v>
      </c>
      <c r="AN546" t="s">
        <v>56</v>
      </c>
      <c r="AO546" t="s">
        <v>4602</v>
      </c>
      <c r="AP546" t="s">
        <v>3971</v>
      </c>
      <c r="AQ546" t="s">
        <v>3972</v>
      </c>
      <c r="AR546" t="s">
        <v>3941</v>
      </c>
      <c r="AS546" t="s">
        <v>3942</v>
      </c>
      <c r="AT546" t="s">
        <v>5410</v>
      </c>
      <c r="AU546" t="s">
        <v>3944</v>
      </c>
      <c r="AV546" t="s">
        <v>3945</v>
      </c>
      <c r="AW546" t="s">
        <v>3946</v>
      </c>
      <c r="AX546">
        <v>12</v>
      </c>
      <c r="AY546">
        <v>2</v>
      </c>
      <c r="AZ546" t="s">
        <v>3897</v>
      </c>
      <c r="BA546">
        <v>10</v>
      </c>
      <c r="BB546" t="s">
        <v>3898</v>
      </c>
      <c r="BC546">
        <v>3</v>
      </c>
      <c r="BD546">
        <v>3</v>
      </c>
      <c r="BE546" t="s">
        <v>3911</v>
      </c>
      <c r="BF546">
        <v>2</v>
      </c>
      <c r="BG546">
        <v>13</v>
      </c>
      <c r="BH546" t="s">
        <v>3900</v>
      </c>
      <c r="BI546" t="s">
        <v>5411</v>
      </c>
      <c r="BJ546">
        <v>1</v>
      </c>
      <c r="BK546" t="s">
        <v>3902</v>
      </c>
    </row>
    <row r="547" spans="1:63" x14ac:dyDescent="0.25">
      <c r="A547">
        <v>4531</v>
      </c>
      <c r="B547" t="str">
        <f>"20200130168017138985"</f>
        <v>20200130168017138985</v>
      </c>
      <c r="C547">
        <v>1</v>
      </c>
      <c r="D547">
        <v>1</v>
      </c>
      <c r="E547" t="s">
        <v>3886</v>
      </c>
      <c r="F547">
        <v>2</v>
      </c>
      <c r="G547">
        <v>0</v>
      </c>
      <c r="H547" t="s">
        <v>66</v>
      </c>
      <c r="I547">
        <v>0</v>
      </c>
      <c r="J547" t="s">
        <v>66</v>
      </c>
      <c r="K547">
        <v>0</v>
      </c>
      <c r="L547" t="s">
        <v>66</v>
      </c>
      <c r="M547" t="s">
        <v>56</v>
      </c>
      <c r="N547">
        <v>0</v>
      </c>
      <c r="O547" t="s">
        <v>66</v>
      </c>
      <c r="P547" t="s">
        <v>56</v>
      </c>
      <c r="Q547">
        <v>0</v>
      </c>
      <c r="R547" t="s">
        <v>66</v>
      </c>
      <c r="S547" t="s">
        <v>56</v>
      </c>
      <c r="T547">
        <v>1</v>
      </c>
      <c r="U547" t="s">
        <v>1627</v>
      </c>
      <c r="V547" t="s">
        <v>56</v>
      </c>
      <c r="W547">
        <v>0</v>
      </c>
      <c r="X547" t="s">
        <v>66</v>
      </c>
      <c r="Y547" t="s">
        <v>56</v>
      </c>
      <c r="Z547">
        <v>0</v>
      </c>
      <c r="AA547" t="s">
        <v>66</v>
      </c>
      <c r="AB547" t="s">
        <v>56</v>
      </c>
      <c r="AC547">
        <v>1</v>
      </c>
      <c r="AD547" t="s">
        <v>1627</v>
      </c>
      <c r="AE547" t="s">
        <v>3887</v>
      </c>
      <c r="AF547">
        <v>0</v>
      </c>
      <c r="AG547" t="s">
        <v>66</v>
      </c>
      <c r="AH547" t="s">
        <v>56</v>
      </c>
      <c r="AI547">
        <v>1</v>
      </c>
      <c r="AJ547" t="s">
        <v>1627</v>
      </c>
      <c r="AK547" t="s">
        <v>56</v>
      </c>
      <c r="AL547" t="s">
        <v>56</v>
      </c>
      <c r="AM547" t="s">
        <v>56</v>
      </c>
      <c r="AN547" t="s">
        <v>56</v>
      </c>
      <c r="AO547" t="s">
        <v>4687</v>
      </c>
      <c r="AP547" t="s">
        <v>3934</v>
      </c>
      <c r="AQ547" t="s">
        <v>3935</v>
      </c>
      <c r="AR547">
        <v>502</v>
      </c>
      <c r="AS547" t="s">
        <v>4688</v>
      </c>
      <c r="AT547" t="s">
        <v>5412</v>
      </c>
      <c r="AU547">
        <v>9000</v>
      </c>
      <c r="AV547" t="s">
        <v>3956</v>
      </c>
      <c r="AW547" t="s">
        <v>3956</v>
      </c>
      <c r="AX547">
        <v>24</v>
      </c>
      <c r="AY547">
        <v>2</v>
      </c>
      <c r="AZ547" t="s">
        <v>3897</v>
      </c>
      <c r="BA547">
        <v>10</v>
      </c>
      <c r="BB547" t="s">
        <v>3898</v>
      </c>
      <c r="BC547">
        <v>4</v>
      </c>
      <c r="BD547">
        <v>5</v>
      </c>
      <c r="BE547" t="s">
        <v>3899</v>
      </c>
      <c r="BF547">
        <v>2</v>
      </c>
      <c r="BG547">
        <v>58</v>
      </c>
      <c r="BH547" t="s">
        <v>4245</v>
      </c>
      <c r="BI547" t="s">
        <v>5413</v>
      </c>
      <c r="BJ547">
        <v>1</v>
      </c>
      <c r="BK547" t="s">
        <v>3902</v>
      </c>
    </row>
    <row r="548" spans="1:63" x14ac:dyDescent="0.25">
      <c r="A548">
        <v>4532</v>
      </c>
      <c r="B548" t="str">
        <f>"20200130194017139830"</f>
        <v>20200130194017139830</v>
      </c>
      <c r="C548">
        <v>1</v>
      </c>
      <c r="D548">
        <v>1</v>
      </c>
      <c r="E548" t="s">
        <v>3886</v>
      </c>
      <c r="F548">
        <v>2</v>
      </c>
      <c r="G548">
        <v>0</v>
      </c>
      <c r="H548" t="s">
        <v>66</v>
      </c>
      <c r="I548">
        <v>0</v>
      </c>
      <c r="J548" t="s">
        <v>66</v>
      </c>
      <c r="K548">
        <v>1</v>
      </c>
      <c r="L548" t="s">
        <v>1627</v>
      </c>
      <c r="M548" t="s">
        <v>5414</v>
      </c>
      <c r="N548">
        <v>1</v>
      </c>
      <c r="O548" t="s">
        <v>1627</v>
      </c>
      <c r="P548" t="s">
        <v>5415</v>
      </c>
      <c r="Q548">
        <v>0</v>
      </c>
      <c r="R548" t="s">
        <v>66</v>
      </c>
      <c r="S548" t="s">
        <v>56</v>
      </c>
      <c r="T548" t="s">
        <v>56</v>
      </c>
      <c r="U548" t="s">
        <v>56</v>
      </c>
      <c r="V548" t="s">
        <v>56</v>
      </c>
      <c r="W548">
        <v>0</v>
      </c>
      <c r="X548" t="s">
        <v>66</v>
      </c>
      <c r="Y548" t="s">
        <v>56</v>
      </c>
      <c r="Z548">
        <v>0</v>
      </c>
      <c r="AA548" t="s">
        <v>66</v>
      </c>
      <c r="AB548" t="s">
        <v>56</v>
      </c>
      <c r="AC548">
        <v>0</v>
      </c>
      <c r="AD548" t="s">
        <v>66</v>
      </c>
      <c r="AE548" t="s">
        <v>56</v>
      </c>
      <c r="AF548">
        <v>0</v>
      </c>
      <c r="AG548" t="s">
        <v>66</v>
      </c>
      <c r="AH548" t="s">
        <v>56</v>
      </c>
      <c r="AI548">
        <v>1</v>
      </c>
      <c r="AJ548" t="s">
        <v>1627</v>
      </c>
      <c r="AK548" t="s">
        <v>56</v>
      </c>
      <c r="AL548" t="s">
        <v>56</v>
      </c>
      <c r="AM548" t="s">
        <v>56</v>
      </c>
      <c r="AN548" t="s">
        <v>56</v>
      </c>
      <c r="AO548" t="s">
        <v>5416</v>
      </c>
      <c r="AP548" t="s">
        <v>3939</v>
      </c>
      <c r="AQ548" t="s">
        <v>3940</v>
      </c>
      <c r="AR548" t="s">
        <v>3941</v>
      </c>
      <c r="AS548" t="s">
        <v>3942</v>
      </c>
      <c r="AT548" t="s">
        <v>5417</v>
      </c>
      <c r="AU548" t="s">
        <v>3944</v>
      </c>
      <c r="AV548" t="s">
        <v>3945</v>
      </c>
      <c r="AW548" t="s">
        <v>3946</v>
      </c>
      <c r="AX548">
        <v>1</v>
      </c>
      <c r="AY548">
        <v>3</v>
      </c>
      <c r="AZ548" t="s">
        <v>3911</v>
      </c>
      <c r="BA548">
        <v>10</v>
      </c>
      <c r="BB548" t="s">
        <v>3898</v>
      </c>
      <c r="BC548">
        <v>3</v>
      </c>
      <c r="BD548">
        <v>5</v>
      </c>
      <c r="BE548" t="s">
        <v>3899</v>
      </c>
      <c r="BF548">
        <v>90</v>
      </c>
      <c r="BG548">
        <v>14</v>
      </c>
      <c r="BH548" t="s">
        <v>3947</v>
      </c>
      <c r="BI548" t="s">
        <v>5418</v>
      </c>
      <c r="BJ548">
        <v>1</v>
      </c>
      <c r="BK548" t="s">
        <v>3902</v>
      </c>
    </row>
    <row r="549" spans="1:63" x14ac:dyDescent="0.25">
      <c r="A549">
        <v>4533</v>
      </c>
      <c r="B549" t="str">
        <f>"20200130194017139830"</f>
        <v>20200130194017139830</v>
      </c>
      <c r="C549">
        <v>2</v>
      </c>
      <c r="D549">
        <v>1</v>
      </c>
      <c r="E549" t="s">
        <v>3886</v>
      </c>
      <c r="F549">
        <v>2</v>
      </c>
      <c r="G549">
        <v>0</v>
      </c>
      <c r="H549" t="s">
        <v>66</v>
      </c>
      <c r="I549">
        <v>0</v>
      </c>
      <c r="J549" t="s">
        <v>66</v>
      </c>
      <c r="K549">
        <v>1</v>
      </c>
      <c r="L549" t="s">
        <v>1627</v>
      </c>
      <c r="M549" t="s">
        <v>4366</v>
      </c>
      <c r="N549">
        <v>1</v>
      </c>
      <c r="O549" t="s">
        <v>1627</v>
      </c>
      <c r="P549" t="s">
        <v>5415</v>
      </c>
      <c r="Q549">
        <v>0</v>
      </c>
      <c r="R549" t="s">
        <v>66</v>
      </c>
      <c r="S549" t="s">
        <v>56</v>
      </c>
      <c r="T549" t="s">
        <v>56</v>
      </c>
      <c r="U549" t="s">
        <v>56</v>
      </c>
      <c r="V549" t="s">
        <v>56</v>
      </c>
      <c r="W549">
        <v>0</v>
      </c>
      <c r="X549" t="s">
        <v>66</v>
      </c>
      <c r="Y549" t="s">
        <v>56</v>
      </c>
      <c r="Z549">
        <v>0</v>
      </c>
      <c r="AA549" t="s">
        <v>66</v>
      </c>
      <c r="AB549" t="s">
        <v>56</v>
      </c>
      <c r="AC549">
        <v>0</v>
      </c>
      <c r="AD549" t="s">
        <v>66</v>
      </c>
      <c r="AE549" t="s">
        <v>56</v>
      </c>
      <c r="AF549">
        <v>0</v>
      </c>
      <c r="AG549" t="s">
        <v>66</v>
      </c>
      <c r="AH549" t="s">
        <v>56</v>
      </c>
      <c r="AI549">
        <v>1</v>
      </c>
      <c r="AJ549" t="s">
        <v>1627</v>
      </c>
      <c r="AK549" t="s">
        <v>56</v>
      </c>
      <c r="AL549" t="s">
        <v>56</v>
      </c>
      <c r="AM549" t="s">
        <v>56</v>
      </c>
      <c r="AN549" t="s">
        <v>56</v>
      </c>
      <c r="AO549" t="s">
        <v>4118</v>
      </c>
      <c r="AP549" t="s">
        <v>3962</v>
      </c>
      <c r="AQ549" t="s">
        <v>3963</v>
      </c>
      <c r="AR549" t="s">
        <v>3941</v>
      </c>
      <c r="AS549" t="s">
        <v>3942</v>
      </c>
      <c r="AT549" t="s">
        <v>5419</v>
      </c>
      <c r="AU549" t="s">
        <v>4026</v>
      </c>
      <c r="AV549" t="s">
        <v>4027</v>
      </c>
      <c r="AW549" t="s">
        <v>4028</v>
      </c>
      <c r="AX549">
        <v>12</v>
      </c>
      <c r="AY549">
        <v>2</v>
      </c>
      <c r="AZ549" t="s">
        <v>3897</v>
      </c>
      <c r="BA549">
        <v>10</v>
      </c>
      <c r="BB549" t="s">
        <v>3898</v>
      </c>
      <c r="BC549">
        <v>3</v>
      </c>
      <c r="BD549">
        <v>5</v>
      </c>
      <c r="BE549" t="s">
        <v>3899</v>
      </c>
      <c r="BF549">
        <v>180</v>
      </c>
      <c r="BG549">
        <v>66</v>
      </c>
      <c r="BH549" t="s">
        <v>3965</v>
      </c>
      <c r="BI549" t="s">
        <v>4369</v>
      </c>
      <c r="BJ549">
        <v>1</v>
      </c>
      <c r="BK549" t="s">
        <v>3902</v>
      </c>
    </row>
    <row r="550" spans="1:63" x14ac:dyDescent="0.25">
      <c r="A550">
        <v>4534</v>
      </c>
      <c r="B550" t="str">
        <f>"20200130122017140337"</f>
        <v>20200130122017140337</v>
      </c>
      <c r="C550">
        <v>1</v>
      </c>
      <c r="D550">
        <v>1</v>
      </c>
      <c r="E550" t="s">
        <v>3886</v>
      </c>
      <c r="F550">
        <v>2</v>
      </c>
      <c r="G550">
        <v>0</v>
      </c>
      <c r="H550" t="s">
        <v>66</v>
      </c>
      <c r="I550">
        <v>0</v>
      </c>
      <c r="J550" t="s">
        <v>66</v>
      </c>
      <c r="K550">
        <v>0</v>
      </c>
      <c r="L550" t="s">
        <v>66</v>
      </c>
      <c r="M550" t="s">
        <v>56</v>
      </c>
      <c r="N550">
        <v>0</v>
      </c>
      <c r="O550" t="s">
        <v>66</v>
      </c>
      <c r="P550" t="s">
        <v>56</v>
      </c>
      <c r="Q550">
        <v>0</v>
      </c>
      <c r="R550" t="s">
        <v>66</v>
      </c>
      <c r="S550" t="s">
        <v>56</v>
      </c>
      <c r="T550">
        <v>1</v>
      </c>
      <c r="U550" t="s">
        <v>1627</v>
      </c>
      <c r="V550" t="s">
        <v>56</v>
      </c>
      <c r="W550">
        <v>0</v>
      </c>
      <c r="X550" t="s">
        <v>66</v>
      </c>
      <c r="Y550" t="s">
        <v>56</v>
      </c>
      <c r="Z550">
        <v>0</v>
      </c>
      <c r="AA550" t="s">
        <v>66</v>
      </c>
      <c r="AB550" t="s">
        <v>56</v>
      </c>
      <c r="AC550">
        <v>1</v>
      </c>
      <c r="AD550" t="s">
        <v>1627</v>
      </c>
      <c r="AE550" t="s">
        <v>3887</v>
      </c>
      <c r="AF550">
        <v>0</v>
      </c>
      <c r="AG550" t="s">
        <v>66</v>
      </c>
      <c r="AH550" t="s">
        <v>56</v>
      </c>
      <c r="AI550">
        <v>1</v>
      </c>
      <c r="AJ550" t="s">
        <v>1627</v>
      </c>
      <c r="AK550" t="s">
        <v>56</v>
      </c>
      <c r="AL550" t="s">
        <v>56</v>
      </c>
      <c r="AM550" t="s">
        <v>56</v>
      </c>
      <c r="AN550" t="s">
        <v>56</v>
      </c>
      <c r="AO550" t="s">
        <v>4118</v>
      </c>
      <c r="AP550" t="s">
        <v>3962</v>
      </c>
      <c r="AQ550" t="s">
        <v>3963</v>
      </c>
      <c r="AR550" t="s">
        <v>3941</v>
      </c>
      <c r="AS550" t="s">
        <v>3942</v>
      </c>
      <c r="AT550" t="s">
        <v>5209</v>
      </c>
      <c r="AU550">
        <v>9000</v>
      </c>
      <c r="AV550" t="s">
        <v>3956</v>
      </c>
      <c r="AW550" t="s">
        <v>3956</v>
      </c>
      <c r="AX550">
        <v>12</v>
      </c>
      <c r="AY550">
        <v>2</v>
      </c>
      <c r="AZ550" t="s">
        <v>3897</v>
      </c>
      <c r="BA550">
        <v>10</v>
      </c>
      <c r="BB550" t="s">
        <v>3898</v>
      </c>
      <c r="BC550">
        <v>60</v>
      </c>
      <c r="BD550">
        <v>3</v>
      </c>
      <c r="BE550" t="s">
        <v>3911</v>
      </c>
      <c r="BF550">
        <v>120</v>
      </c>
      <c r="BG550">
        <v>66</v>
      </c>
      <c r="BH550" t="s">
        <v>3965</v>
      </c>
      <c r="BI550" t="s">
        <v>5420</v>
      </c>
      <c r="BJ550">
        <v>1</v>
      </c>
      <c r="BK550" t="s">
        <v>3902</v>
      </c>
    </row>
    <row r="551" spans="1:63" x14ac:dyDescent="0.25">
      <c r="A551">
        <v>4535</v>
      </c>
      <c r="B551" t="str">
        <f>"20200130135017140619"</f>
        <v>20200130135017140619</v>
      </c>
      <c r="C551">
        <v>1</v>
      </c>
      <c r="D551">
        <v>1</v>
      </c>
      <c r="E551" t="s">
        <v>3886</v>
      </c>
      <c r="F551">
        <v>2</v>
      </c>
      <c r="G551">
        <v>0</v>
      </c>
      <c r="H551" t="s">
        <v>66</v>
      </c>
      <c r="I551">
        <v>0</v>
      </c>
      <c r="J551" t="s">
        <v>66</v>
      </c>
      <c r="K551">
        <v>1</v>
      </c>
      <c r="L551" t="s">
        <v>1627</v>
      </c>
      <c r="M551" t="s">
        <v>5421</v>
      </c>
      <c r="N551">
        <v>1</v>
      </c>
      <c r="O551" t="s">
        <v>1627</v>
      </c>
      <c r="P551" t="s">
        <v>4451</v>
      </c>
      <c r="Q551">
        <v>0</v>
      </c>
      <c r="R551" t="s">
        <v>66</v>
      </c>
      <c r="S551" t="s">
        <v>56</v>
      </c>
      <c r="T551" t="s">
        <v>56</v>
      </c>
      <c r="U551" t="s">
        <v>56</v>
      </c>
      <c r="V551" t="s">
        <v>56</v>
      </c>
      <c r="W551">
        <v>0</v>
      </c>
      <c r="X551" t="s">
        <v>66</v>
      </c>
      <c r="Y551" t="s">
        <v>56</v>
      </c>
      <c r="Z551">
        <v>0</v>
      </c>
      <c r="AA551" t="s">
        <v>66</v>
      </c>
      <c r="AB551" t="s">
        <v>56</v>
      </c>
      <c r="AC551">
        <v>0</v>
      </c>
      <c r="AD551" t="s">
        <v>66</v>
      </c>
      <c r="AE551" t="s">
        <v>56</v>
      </c>
      <c r="AF551">
        <v>0</v>
      </c>
      <c r="AG551" t="s">
        <v>66</v>
      </c>
      <c r="AH551" t="s">
        <v>56</v>
      </c>
      <c r="AI551">
        <v>1</v>
      </c>
      <c r="AJ551" t="s">
        <v>1627</v>
      </c>
      <c r="AK551" t="s">
        <v>56</v>
      </c>
      <c r="AL551" t="s">
        <v>56</v>
      </c>
      <c r="AM551" t="s">
        <v>56</v>
      </c>
      <c r="AN551" t="s">
        <v>56</v>
      </c>
      <c r="AO551" t="s">
        <v>5422</v>
      </c>
      <c r="AP551" t="s">
        <v>3962</v>
      </c>
      <c r="AQ551" t="s">
        <v>3963</v>
      </c>
      <c r="AR551" t="s">
        <v>3941</v>
      </c>
      <c r="AS551" t="s">
        <v>3942</v>
      </c>
      <c r="AT551" t="s">
        <v>5423</v>
      </c>
      <c r="AU551" t="s">
        <v>3944</v>
      </c>
      <c r="AV551" t="s">
        <v>3945</v>
      </c>
      <c r="AW551" t="s">
        <v>3946</v>
      </c>
      <c r="AX551">
        <v>30</v>
      </c>
      <c r="AY551">
        <v>3</v>
      </c>
      <c r="AZ551" t="s">
        <v>3911</v>
      </c>
      <c r="BA551">
        <v>1</v>
      </c>
      <c r="BB551" t="s">
        <v>4149</v>
      </c>
      <c r="BC551">
        <v>6</v>
      </c>
      <c r="BD551">
        <v>5</v>
      </c>
      <c r="BE551" t="s">
        <v>3899</v>
      </c>
      <c r="BF551">
        <v>6</v>
      </c>
      <c r="BG551">
        <v>66</v>
      </c>
      <c r="BH551" t="s">
        <v>3965</v>
      </c>
      <c r="BI551" t="s">
        <v>5424</v>
      </c>
      <c r="BJ551">
        <v>1</v>
      </c>
      <c r="BK551" t="s">
        <v>3902</v>
      </c>
    </row>
    <row r="552" spans="1:63" x14ac:dyDescent="0.25">
      <c r="A552">
        <v>4536</v>
      </c>
      <c r="B552" t="str">
        <f>"20200130140017140683"</f>
        <v>20200130140017140683</v>
      </c>
      <c r="C552">
        <v>1</v>
      </c>
      <c r="D552">
        <v>1</v>
      </c>
      <c r="E552" t="s">
        <v>3886</v>
      </c>
      <c r="F552">
        <v>2</v>
      </c>
      <c r="G552">
        <v>0</v>
      </c>
      <c r="H552" t="s">
        <v>66</v>
      </c>
      <c r="I552">
        <v>0</v>
      </c>
      <c r="J552" t="s">
        <v>66</v>
      </c>
      <c r="K552">
        <v>1</v>
      </c>
      <c r="L552" t="s">
        <v>1627</v>
      </c>
      <c r="M552" t="s">
        <v>4771</v>
      </c>
      <c r="N552">
        <v>1</v>
      </c>
      <c r="O552" t="s">
        <v>1627</v>
      </c>
      <c r="P552" t="s">
        <v>5425</v>
      </c>
      <c r="Q552">
        <v>0</v>
      </c>
      <c r="R552" t="s">
        <v>66</v>
      </c>
      <c r="S552" t="s">
        <v>56</v>
      </c>
      <c r="T552" t="s">
        <v>56</v>
      </c>
      <c r="U552" t="s">
        <v>56</v>
      </c>
      <c r="V552" t="s">
        <v>56</v>
      </c>
      <c r="W552">
        <v>0</v>
      </c>
      <c r="X552" t="s">
        <v>66</v>
      </c>
      <c r="Y552" t="s">
        <v>56</v>
      </c>
      <c r="Z552">
        <v>0</v>
      </c>
      <c r="AA552" t="s">
        <v>66</v>
      </c>
      <c r="AB552" t="s">
        <v>56</v>
      </c>
      <c r="AC552">
        <v>0</v>
      </c>
      <c r="AD552" t="s">
        <v>66</v>
      </c>
      <c r="AE552" t="s">
        <v>56</v>
      </c>
      <c r="AF552">
        <v>0</v>
      </c>
      <c r="AG552" t="s">
        <v>66</v>
      </c>
      <c r="AH552" t="s">
        <v>56</v>
      </c>
      <c r="AI552">
        <v>1</v>
      </c>
      <c r="AJ552" t="s">
        <v>1627</v>
      </c>
      <c r="AK552" t="s">
        <v>56</v>
      </c>
      <c r="AL552" t="s">
        <v>56</v>
      </c>
      <c r="AM552" t="s">
        <v>56</v>
      </c>
      <c r="AN552" t="s">
        <v>56</v>
      </c>
      <c r="AO552" t="s">
        <v>5426</v>
      </c>
      <c r="AP552" t="s">
        <v>3962</v>
      </c>
      <c r="AQ552" t="s">
        <v>3963</v>
      </c>
      <c r="AR552" t="s">
        <v>3941</v>
      </c>
      <c r="AS552" t="s">
        <v>3942</v>
      </c>
      <c r="AT552" t="s">
        <v>5427</v>
      </c>
      <c r="AU552" t="s">
        <v>3944</v>
      </c>
      <c r="AV552" t="s">
        <v>3945</v>
      </c>
      <c r="AW552" t="s">
        <v>3946</v>
      </c>
      <c r="AX552">
        <v>12</v>
      </c>
      <c r="AY552">
        <v>2</v>
      </c>
      <c r="AZ552" t="s">
        <v>3897</v>
      </c>
      <c r="BA552">
        <v>10</v>
      </c>
      <c r="BB552" t="s">
        <v>3898</v>
      </c>
      <c r="BC552">
        <v>90</v>
      </c>
      <c r="BD552">
        <v>3</v>
      </c>
      <c r="BE552" t="s">
        <v>3911</v>
      </c>
      <c r="BF552">
        <v>180</v>
      </c>
      <c r="BG552">
        <v>66</v>
      </c>
      <c r="BH552" t="s">
        <v>3965</v>
      </c>
      <c r="BI552" t="s">
        <v>5428</v>
      </c>
      <c r="BJ552">
        <v>1</v>
      </c>
      <c r="BK552" t="s">
        <v>3902</v>
      </c>
    </row>
    <row r="553" spans="1:63" x14ac:dyDescent="0.25">
      <c r="A553">
        <v>4537</v>
      </c>
      <c r="B553" t="str">
        <f>"20200130140017140683"</f>
        <v>20200130140017140683</v>
      </c>
      <c r="C553">
        <v>2</v>
      </c>
      <c r="D553">
        <v>1</v>
      </c>
      <c r="E553" t="s">
        <v>3886</v>
      </c>
      <c r="F553">
        <v>2</v>
      </c>
      <c r="G553">
        <v>0</v>
      </c>
      <c r="H553" t="s">
        <v>66</v>
      </c>
      <c r="I553">
        <v>0</v>
      </c>
      <c r="J553" t="s">
        <v>66</v>
      </c>
      <c r="K553">
        <v>1</v>
      </c>
      <c r="L553" t="s">
        <v>1627</v>
      </c>
      <c r="M553" t="s">
        <v>5429</v>
      </c>
      <c r="N553">
        <v>0</v>
      </c>
      <c r="O553" t="s">
        <v>66</v>
      </c>
      <c r="P553" t="s">
        <v>56</v>
      </c>
      <c r="Q553">
        <v>1</v>
      </c>
      <c r="R553" t="s">
        <v>1627</v>
      </c>
      <c r="S553" t="s">
        <v>5430</v>
      </c>
      <c r="T553" t="s">
        <v>56</v>
      </c>
      <c r="U553" t="s">
        <v>56</v>
      </c>
      <c r="V553" t="s">
        <v>56</v>
      </c>
      <c r="W553">
        <v>0</v>
      </c>
      <c r="X553" t="s">
        <v>66</v>
      </c>
      <c r="Y553" t="s">
        <v>56</v>
      </c>
      <c r="Z553">
        <v>0</v>
      </c>
      <c r="AA553" t="s">
        <v>66</v>
      </c>
      <c r="AB553" t="s">
        <v>56</v>
      </c>
      <c r="AC553">
        <v>0</v>
      </c>
      <c r="AD553" t="s">
        <v>66</v>
      </c>
      <c r="AE553" t="s">
        <v>56</v>
      </c>
      <c r="AF553">
        <v>0</v>
      </c>
      <c r="AG553" t="s">
        <v>66</v>
      </c>
      <c r="AH553" t="s">
        <v>56</v>
      </c>
      <c r="AI553">
        <v>1</v>
      </c>
      <c r="AJ553" t="s">
        <v>1627</v>
      </c>
      <c r="AK553" t="s">
        <v>56</v>
      </c>
      <c r="AL553" t="s">
        <v>56</v>
      </c>
      <c r="AM553" t="s">
        <v>56</v>
      </c>
      <c r="AN553" t="s">
        <v>56</v>
      </c>
      <c r="AO553" t="s">
        <v>4335</v>
      </c>
      <c r="AP553" t="s">
        <v>3962</v>
      </c>
      <c r="AQ553" t="s">
        <v>3963</v>
      </c>
      <c r="AR553" t="s">
        <v>3941</v>
      </c>
      <c r="AS553" t="s">
        <v>3942</v>
      </c>
      <c r="AT553" t="s">
        <v>5431</v>
      </c>
      <c r="AU553" t="s">
        <v>3944</v>
      </c>
      <c r="AV553" t="s">
        <v>3945</v>
      </c>
      <c r="AW553" t="s">
        <v>3946</v>
      </c>
      <c r="AX553">
        <v>12</v>
      </c>
      <c r="AY553">
        <v>2</v>
      </c>
      <c r="AZ553" t="s">
        <v>3897</v>
      </c>
      <c r="BA553">
        <v>10</v>
      </c>
      <c r="BB553" t="s">
        <v>3898</v>
      </c>
      <c r="BC553">
        <v>90</v>
      </c>
      <c r="BD553">
        <v>3</v>
      </c>
      <c r="BE553" t="s">
        <v>3911</v>
      </c>
      <c r="BF553">
        <v>180</v>
      </c>
      <c r="BG553">
        <v>66</v>
      </c>
      <c r="BH553" t="s">
        <v>3965</v>
      </c>
      <c r="BI553" t="s">
        <v>5332</v>
      </c>
      <c r="BJ553">
        <v>1</v>
      </c>
      <c r="BK553" t="s">
        <v>3902</v>
      </c>
    </row>
    <row r="554" spans="1:63" x14ac:dyDescent="0.25">
      <c r="A554">
        <v>4538</v>
      </c>
      <c r="B554" t="str">
        <f>"20200130187017140753"</f>
        <v>20200130187017140753</v>
      </c>
      <c r="C554">
        <v>1</v>
      </c>
      <c r="D554">
        <v>1</v>
      </c>
      <c r="E554" t="s">
        <v>3886</v>
      </c>
      <c r="F554">
        <v>2</v>
      </c>
      <c r="G554">
        <v>0</v>
      </c>
      <c r="H554" t="s">
        <v>66</v>
      </c>
      <c r="I554">
        <v>0</v>
      </c>
      <c r="J554" t="s">
        <v>66</v>
      </c>
      <c r="K554">
        <v>0</v>
      </c>
      <c r="L554" t="s">
        <v>66</v>
      </c>
      <c r="M554" t="s">
        <v>56</v>
      </c>
      <c r="N554">
        <v>0</v>
      </c>
      <c r="O554" t="s">
        <v>66</v>
      </c>
      <c r="P554" t="s">
        <v>56</v>
      </c>
      <c r="Q554">
        <v>0</v>
      </c>
      <c r="R554" t="s">
        <v>66</v>
      </c>
      <c r="S554" t="s">
        <v>56</v>
      </c>
      <c r="T554">
        <v>1</v>
      </c>
      <c r="U554" t="s">
        <v>1627</v>
      </c>
      <c r="V554" t="s">
        <v>56</v>
      </c>
      <c r="W554">
        <v>0</v>
      </c>
      <c r="X554" t="s">
        <v>66</v>
      </c>
      <c r="Y554" t="s">
        <v>56</v>
      </c>
      <c r="Z554">
        <v>0</v>
      </c>
      <c r="AA554" t="s">
        <v>66</v>
      </c>
      <c r="AB554" t="s">
        <v>56</v>
      </c>
      <c r="AC554">
        <v>1</v>
      </c>
      <c r="AD554" t="s">
        <v>1627</v>
      </c>
      <c r="AE554" t="s">
        <v>3887</v>
      </c>
      <c r="AF554">
        <v>0</v>
      </c>
      <c r="AG554" t="s">
        <v>66</v>
      </c>
      <c r="AH554" t="s">
        <v>56</v>
      </c>
      <c r="AI554">
        <v>1</v>
      </c>
      <c r="AJ554" t="s">
        <v>1627</v>
      </c>
      <c r="AK554" t="s">
        <v>56</v>
      </c>
      <c r="AL554" t="s">
        <v>56</v>
      </c>
      <c r="AM554" t="s">
        <v>56</v>
      </c>
      <c r="AN554" t="s">
        <v>56</v>
      </c>
      <c r="AO554" t="s">
        <v>5432</v>
      </c>
      <c r="AP554" t="s">
        <v>3962</v>
      </c>
      <c r="AQ554" t="s">
        <v>3963</v>
      </c>
      <c r="AR554" t="s">
        <v>3941</v>
      </c>
      <c r="AS554" t="s">
        <v>3942</v>
      </c>
      <c r="AT554" t="s">
        <v>5433</v>
      </c>
      <c r="AU554">
        <v>9000</v>
      </c>
      <c r="AV554" t="s">
        <v>3956</v>
      </c>
      <c r="AW554" t="s">
        <v>3956</v>
      </c>
      <c r="AX554">
        <v>24</v>
      </c>
      <c r="AY554">
        <v>2</v>
      </c>
      <c r="AZ554" t="s">
        <v>3897</v>
      </c>
      <c r="BA554">
        <v>10</v>
      </c>
      <c r="BB554" t="s">
        <v>3898</v>
      </c>
      <c r="BC554">
        <v>90</v>
      </c>
      <c r="BD554">
        <v>3</v>
      </c>
      <c r="BE554" t="s">
        <v>3911</v>
      </c>
      <c r="BF554">
        <v>90</v>
      </c>
      <c r="BG554">
        <v>66</v>
      </c>
      <c r="BH554" t="s">
        <v>3965</v>
      </c>
      <c r="BI554" t="s">
        <v>5434</v>
      </c>
      <c r="BJ554">
        <v>1</v>
      </c>
      <c r="BK554" t="s">
        <v>3902</v>
      </c>
    </row>
    <row r="555" spans="1:63" x14ac:dyDescent="0.25">
      <c r="A555">
        <v>4539</v>
      </c>
      <c r="B555" t="str">
        <f>"20200130126017140781"</f>
        <v>20200130126017140781</v>
      </c>
      <c r="C555">
        <v>1</v>
      </c>
      <c r="D555">
        <v>1</v>
      </c>
      <c r="E555" t="s">
        <v>3886</v>
      </c>
      <c r="F555">
        <v>1</v>
      </c>
      <c r="G555">
        <v>0</v>
      </c>
      <c r="H555" t="s">
        <v>66</v>
      </c>
      <c r="I555">
        <v>0</v>
      </c>
      <c r="J555" t="s">
        <v>66</v>
      </c>
      <c r="K555">
        <v>0</v>
      </c>
      <c r="L555" t="s">
        <v>66</v>
      </c>
      <c r="M555" t="s">
        <v>56</v>
      </c>
      <c r="N555">
        <v>0</v>
      </c>
      <c r="O555" t="s">
        <v>66</v>
      </c>
      <c r="P555" t="s">
        <v>56</v>
      </c>
      <c r="Q555">
        <v>0</v>
      </c>
      <c r="R555" t="s">
        <v>66</v>
      </c>
      <c r="S555" t="s">
        <v>56</v>
      </c>
      <c r="T555">
        <v>1</v>
      </c>
      <c r="U555" t="s">
        <v>1627</v>
      </c>
      <c r="V555" t="s">
        <v>56</v>
      </c>
      <c r="W555">
        <v>0</v>
      </c>
      <c r="X555" t="s">
        <v>66</v>
      </c>
      <c r="Y555" t="s">
        <v>56</v>
      </c>
      <c r="Z555">
        <v>0</v>
      </c>
      <c r="AA555" t="s">
        <v>66</v>
      </c>
      <c r="AB555" t="s">
        <v>56</v>
      </c>
      <c r="AC555">
        <v>1</v>
      </c>
      <c r="AD555" t="s">
        <v>1627</v>
      </c>
      <c r="AE555" t="s">
        <v>3887</v>
      </c>
      <c r="AF555">
        <v>0</v>
      </c>
      <c r="AG555" t="s">
        <v>66</v>
      </c>
      <c r="AH555" t="s">
        <v>56</v>
      </c>
      <c r="AI555">
        <v>1</v>
      </c>
      <c r="AJ555" t="s">
        <v>1627</v>
      </c>
      <c r="AK555" t="s">
        <v>56</v>
      </c>
      <c r="AL555" t="s">
        <v>56</v>
      </c>
      <c r="AM555" t="s">
        <v>56</v>
      </c>
      <c r="AN555" t="s">
        <v>56</v>
      </c>
      <c r="AO555" t="s">
        <v>3888</v>
      </c>
      <c r="AP555" t="s">
        <v>3889</v>
      </c>
      <c r="AQ555" t="s">
        <v>3890</v>
      </c>
      <c r="AR555" t="s">
        <v>3891</v>
      </c>
      <c r="AS555" t="s">
        <v>3892</v>
      </c>
      <c r="AT555" t="s">
        <v>4047</v>
      </c>
      <c r="AU555" t="s">
        <v>3894</v>
      </c>
      <c r="AV555" t="s">
        <v>3895</v>
      </c>
      <c r="AW555" t="s">
        <v>3896</v>
      </c>
      <c r="AX555">
        <v>8</v>
      </c>
      <c r="AY555">
        <v>2</v>
      </c>
      <c r="AZ555" t="s">
        <v>3897</v>
      </c>
      <c r="BA555">
        <v>10</v>
      </c>
      <c r="BB555" t="s">
        <v>3898</v>
      </c>
      <c r="BC555">
        <v>1</v>
      </c>
      <c r="BD555">
        <v>5</v>
      </c>
      <c r="BE555" t="s">
        <v>3899</v>
      </c>
      <c r="BF555">
        <v>1</v>
      </c>
      <c r="BG555">
        <v>13</v>
      </c>
      <c r="BH555" t="s">
        <v>3900</v>
      </c>
      <c r="BI555" t="s">
        <v>5435</v>
      </c>
      <c r="BJ555">
        <v>1</v>
      </c>
      <c r="BK555" t="s">
        <v>3902</v>
      </c>
    </row>
    <row r="556" spans="1:63" x14ac:dyDescent="0.25">
      <c r="A556">
        <v>4540</v>
      </c>
      <c r="B556" t="str">
        <f>"20200130131017140829"</f>
        <v>20200130131017140829</v>
      </c>
      <c r="C556">
        <v>1</v>
      </c>
      <c r="D556">
        <v>1</v>
      </c>
      <c r="E556" t="s">
        <v>3886</v>
      </c>
      <c r="F556">
        <v>2</v>
      </c>
      <c r="G556">
        <v>0</v>
      </c>
      <c r="H556" t="s">
        <v>66</v>
      </c>
      <c r="I556">
        <v>0</v>
      </c>
      <c r="J556" t="s">
        <v>66</v>
      </c>
      <c r="K556">
        <v>0</v>
      </c>
      <c r="L556" t="s">
        <v>66</v>
      </c>
      <c r="M556" t="s">
        <v>56</v>
      </c>
      <c r="N556">
        <v>0</v>
      </c>
      <c r="O556" t="s">
        <v>66</v>
      </c>
      <c r="P556" t="s">
        <v>56</v>
      </c>
      <c r="Q556">
        <v>0</v>
      </c>
      <c r="R556" t="s">
        <v>66</v>
      </c>
      <c r="S556" t="s">
        <v>56</v>
      </c>
      <c r="T556">
        <v>1</v>
      </c>
      <c r="U556" t="s">
        <v>1627</v>
      </c>
      <c r="V556" t="s">
        <v>56</v>
      </c>
      <c r="W556">
        <v>0</v>
      </c>
      <c r="X556" t="s">
        <v>66</v>
      </c>
      <c r="Y556" t="s">
        <v>56</v>
      </c>
      <c r="Z556">
        <v>0</v>
      </c>
      <c r="AA556" t="s">
        <v>66</v>
      </c>
      <c r="AB556" t="s">
        <v>56</v>
      </c>
      <c r="AC556">
        <v>1</v>
      </c>
      <c r="AD556" t="s">
        <v>1627</v>
      </c>
      <c r="AE556" t="s">
        <v>3887</v>
      </c>
      <c r="AF556">
        <v>0</v>
      </c>
      <c r="AG556" t="s">
        <v>66</v>
      </c>
      <c r="AH556" t="s">
        <v>56</v>
      </c>
      <c r="AI556">
        <v>1</v>
      </c>
      <c r="AJ556" t="s">
        <v>1627</v>
      </c>
      <c r="AK556" t="s">
        <v>56</v>
      </c>
      <c r="AL556" t="s">
        <v>56</v>
      </c>
      <c r="AM556" t="s">
        <v>56</v>
      </c>
      <c r="AN556" t="s">
        <v>56</v>
      </c>
      <c r="AO556" t="s">
        <v>3949</v>
      </c>
      <c r="AP556" t="s">
        <v>3889</v>
      </c>
      <c r="AQ556" t="s">
        <v>3890</v>
      </c>
      <c r="AR556" t="s">
        <v>3891</v>
      </c>
      <c r="AS556" t="s">
        <v>3892</v>
      </c>
      <c r="AT556" t="s">
        <v>4143</v>
      </c>
      <c r="AU556" t="s">
        <v>3894</v>
      </c>
      <c r="AV556" t="s">
        <v>3895</v>
      </c>
      <c r="AW556" t="s">
        <v>3896</v>
      </c>
      <c r="AX556">
        <v>6</v>
      </c>
      <c r="AY556">
        <v>2</v>
      </c>
      <c r="AZ556" t="s">
        <v>3897</v>
      </c>
      <c r="BA556">
        <v>10</v>
      </c>
      <c r="BB556" t="s">
        <v>3898</v>
      </c>
      <c r="BC556">
        <v>3</v>
      </c>
      <c r="BD556">
        <v>5</v>
      </c>
      <c r="BE556" t="s">
        <v>3899</v>
      </c>
      <c r="BF556">
        <v>3</v>
      </c>
      <c r="BG556">
        <v>13</v>
      </c>
      <c r="BH556" t="s">
        <v>3900</v>
      </c>
      <c r="BI556" t="s">
        <v>5436</v>
      </c>
      <c r="BJ556">
        <v>1</v>
      </c>
      <c r="BK556" t="s">
        <v>3902</v>
      </c>
    </row>
    <row r="557" spans="1:63" x14ac:dyDescent="0.25">
      <c r="A557">
        <v>4541</v>
      </c>
      <c r="B557" t="str">
        <f>"20200130153017141440"</f>
        <v>20200130153017141440</v>
      </c>
      <c r="C557">
        <v>1</v>
      </c>
      <c r="D557">
        <v>1</v>
      </c>
      <c r="E557" t="s">
        <v>3886</v>
      </c>
      <c r="F557">
        <v>2</v>
      </c>
      <c r="G557">
        <v>0</v>
      </c>
      <c r="H557" t="s">
        <v>66</v>
      </c>
      <c r="I557">
        <v>0</v>
      </c>
      <c r="J557" t="s">
        <v>66</v>
      </c>
      <c r="K557">
        <v>0</v>
      </c>
      <c r="L557" t="s">
        <v>66</v>
      </c>
      <c r="M557" t="s">
        <v>56</v>
      </c>
      <c r="N557">
        <v>0</v>
      </c>
      <c r="O557" t="s">
        <v>66</v>
      </c>
      <c r="P557" t="s">
        <v>56</v>
      </c>
      <c r="Q557">
        <v>0</v>
      </c>
      <c r="R557" t="s">
        <v>66</v>
      </c>
      <c r="S557" t="s">
        <v>56</v>
      </c>
      <c r="T557">
        <v>1</v>
      </c>
      <c r="U557" t="s">
        <v>1627</v>
      </c>
      <c r="V557" t="s">
        <v>56</v>
      </c>
      <c r="W557">
        <v>0</v>
      </c>
      <c r="X557" t="s">
        <v>66</v>
      </c>
      <c r="Y557" t="s">
        <v>56</v>
      </c>
      <c r="Z557">
        <v>0</v>
      </c>
      <c r="AA557" t="s">
        <v>66</v>
      </c>
      <c r="AB557" t="s">
        <v>56</v>
      </c>
      <c r="AC557">
        <v>1</v>
      </c>
      <c r="AD557" t="s">
        <v>1627</v>
      </c>
      <c r="AE557" t="s">
        <v>3887</v>
      </c>
      <c r="AF557">
        <v>0</v>
      </c>
      <c r="AG557" t="s">
        <v>66</v>
      </c>
      <c r="AH557" t="s">
        <v>56</v>
      </c>
      <c r="AI557">
        <v>1</v>
      </c>
      <c r="AJ557" t="s">
        <v>1627</v>
      </c>
      <c r="AK557" t="s">
        <v>56</v>
      </c>
      <c r="AL557" t="s">
        <v>56</v>
      </c>
      <c r="AM557" t="s">
        <v>56</v>
      </c>
      <c r="AN557" t="s">
        <v>56</v>
      </c>
      <c r="AO557" t="s">
        <v>4046</v>
      </c>
      <c r="AP557" t="s">
        <v>3889</v>
      </c>
      <c r="AQ557" t="s">
        <v>3890</v>
      </c>
      <c r="AR557" t="s">
        <v>3926</v>
      </c>
      <c r="AS557" t="s">
        <v>3927</v>
      </c>
      <c r="AT557" t="s">
        <v>5245</v>
      </c>
      <c r="AU557" t="s">
        <v>3894</v>
      </c>
      <c r="AV557" t="s">
        <v>3895</v>
      </c>
      <c r="AW557" t="s">
        <v>3896</v>
      </c>
      <c r="AX557">
        <v>12</v>
      </c>
      <c r="AY557">
        <v>2</v>
      </c>
      <c r="AZ557" t="s">
        <v>3897</v>
      </c>
      <c r="BA557">
        <v>10</v>
      </c>
      <c r="BB557" t="s">
        <v>3898</v>
      </c>
      <c r="BC557">
        <v>120</v>
      </c>
      <c r="BD557">
        <v>3</v>
      </c>
      <c r="BE557" t="s">
        <v>3911</v>
      </c>
      <c r="BF557">
        <v>4</v>
      </c>
      <c r="BG557">
        <v>13</v>
      </c>
      <c r="BH557" t="s">
        <v>3900</v>
      </c>
      <c r="BI557" t="s">
        <v>4371</v>
      </c>
      <c r="BJ557">
        <v>1</v>
      </c>
      <c r="BK557" t="s">
        <v>3902</v>
      </c>
    </row>
    <row r="558" spans="1:63" x14ac:dyDescent="0.25">
      <c r="A558">
        <v>4542</v>
      </c>
      <c r="B558" t="str">
        <f>"20200130180017141450"</f>
        <v>20200130180017141450</v>
      </c>
      <c r="C558">
        <v>1</v>
      </c>
      <c r="D558">
        <v>1</v>
      </c>
      <c r="E558" t="s">
        <v>3886</v>
      </c>
      <c r="F558">
        <v>2</v>
      </c>
      <c r="G558">
        <v>0</v>
      </c>
      <c r="H558" t="s">
        <v>66</v>
      </c>
      <c r="I558">
        <v>0</v>
      </c>
      <c r="J558" t="s">
        <v>66</v>
      </c>
      <c r="K558">
        <v>0</v>
      </c>
      <c r="L558" t="s">
        <v>66</v>
      </c>
      <c r="M558" t="s">
        <v>56</v>
      </c>
      <c r="N558">
        <v>0</v>
      </c>
      <c r="O558" t="s">
        <v>66</v>
      </c>
      <c r="P558" t="s">
        <v>56</v>
      </c>
      <c r="Q558">
        <v>0</v>
      </c>
      <c r="R558" t="s">
        <v>66</v>
      </c>
      <c r="S558" t="s">
        <v>56</v>
      </c>
      <c r="T558">
        <v>1</v>
      </c>
      <c r="U558" t="s">
        <v>1627</v>
      </c>
      <c r="V558" t="s">
        <v>56</v>
      </c>
      <c r="W558">
        <v>0</v>
      </c>
      <c r="X558" t="s">
        <v>66</v>
      </c>
      <c r="Y558" t="s">
        <v>56</v>
      </c>
      <c r="Z558">
        <v>0</v>
      </c>
      <c r="AA558" t="s">
        <v>66</v>
      </c>
      <c r="AB558" t="s">
        <v>56</v>
      </c>
      <c r="AC558">
        <v>1</v>
      </c>
      <c r="AD558" t="s">
        <v>1627</v>
      </c>
      <c r="AE558" t="s">
        <v>3887</v>
      </c>
      <c r="AF558">
        <v>0</v>
      </c>
      <c r="AG558" t="s">
        <v>66</v>
      </c>
      <c r="AH558" t="s">
        <v>56</v>
      </c>
      <c r="AI558">
        <v>1</v>
      </c>
      <c r="AJ558" t="s">
        <v>1627</v>
      </c>
      <c r="AK558" t="s">
        <v>56</v>
      </c>
      <c r="AL558" t="s">
        <v>56</v>
      </c>
      <c r="AM558" t="s">
        <v>56</v>
      </c>
      <c r="AN558" t="s">
        <v>56</v>
      </c>
      <c r="AO558" t="s">
        <v>3949</v>
      </c>
      <c r="AP558" t="s">
        <v>3889</v>
      </c>
      <c r="AQ558" t="s">
        <v>3890</v>
      </c>
      <c r="AR558" t="s">
        <v>3891</v>
      </c>
      <c r="AS558" t="s">
        <v>3892</v>
      </c>
      <c r="AT558" t="s">
        <v>4143</v>
      </c>
      <c r="AU558" t="s">
        <v>3894</v>
      </c>
      <c r="AV558" t="s">
        <v>3895</v>
      </c>
      <c r="AW558" t="s">
        <v>3896</v>
      </c>
      <c r="AX558">
        <v>6</v>
      </c>
      <c r="AY558">
        <v>2</v>
      </c>
      <c r="AZ558" t="s">
        <v>3897</v>
      </c>
      <c r="BA558">
        <v>10</v>
      </c>
      <c r="BB558" t="s">
        <v>3898</v>
      </c>
      <c r="BC558">
        <v>3</v>
      </c>
      <c r="BD558">
        <v>5</v>
      </c>
      <c r="BE558" t="s">
        <v>3899</v>
      </c>
      <c r="BF558">
        <v>3</v>
      </c>
      <c r="BG558">
        <v>13</v>
      </c>
      <c r="BH558" t="s">
        <v>3900</v>
      </c>
      <c r="BI558" t="s">
        <v>5436</v>
      </c>
      <c r="BJ558">
        <v>1</v>
      </c>
      <c r="BK558" t="s">
        <v>3902</v>
      </c>
    </row>
    <row r="559" spans="1:63" x14ac:dyDescent="0.25">
      <c r="A559">
        <v>4543</v>
      </c>
      <c r="B559" t="str">
        <f>"20200130165017141643"</f>
        <v>20200130165017141643</v>
      </c>
      <c r="C559">
        <v>1</v>
      </c>
      <c r="D559">
        <v>1</v>
      </c>
      <c r="E559" t="s">
        <v>3886</v>
      </c>
      <c r="F559">
        <v>2</v>
      </c>
      <c r="G559">
        <v>0</v>
      </c>
      <c r="H559" t="s">
        <v>66</v>
      </c>
      <c r="I559">
        <v>0</v>
      </c>
      <c r="J559" t="s">
        <v>66</v>
      </c>
      <c r="K559">
        <v>0</v>
      </c>
      <c r="L559" t="s">
        <v>66</v>
      </c>
      <c r="M559" t="s">
        <v>56</v>
      </c>
      <c r="N559">
        <v>0</v>
      </c>
      <c r="O559" t="s">
        <v>66</v>
      </c>
      <c r="P559" t="s">
        <v>56</v>
      </c>
      <c r="Q559">
        <v>0</v>
      </c>
      <c r="R559" t="s">
        <v>66</v>
      </c>
      <c r="S559" t="s">
        <v>56</v>
      </c>
      <c r="T559">
        <v>1</v>
      </c>
      <c r="U559" t="s">
        <v>1627</v>
      </c>
      <c r="V559" t="s">
        <v>56</v>
      </c>
      <c r="W559">
        <v>0</v>
      </c>
      <c r="X559" t="s">
        <v>66</v>
      </c>
      <c r="Y559" t="s">
        <v>56</v>
      </c>
      <c r="Z559">
        <v>0</v>
      </c>
      <c r="AA559" t="s">
        <v>66</v>
      </c>
      <c r="AB559" t="s">
        <v>56</v>
      </c>
      <c r="AC559">
        <v>1</v>
      </c>
      <c r="AD559" t="s">
        <v>1627</v>
      </c>
      <c r="AE559" t="s">
        <v>3887</v>
      </c>
      <c r="AF559">
        <v>0</v>
      </c>
      <c r="AG559" t="s">
        <v>66</v>
      </c>
      <c r="AH559" t="s">
        <v>56</v>
      </c>
      <c r="AI559">
        <v>1</v>
      </c>
      <c r="AJ559" t="s">
        <v>1627</v>
      </c>
      <c r="AK559" t="s">
        <v>56</v>
      </c>
      <c r="AL559" t="s">
        <v>56</v>
      </c>
      <c r="AM559" t="s">
        <v>56</v>
      </c>
      <c r="AN559" t="s">
        <v>56</v>
      </c>
      <c r="AO559" t="s">
        <v>5437</v>
      </c>
      <c r="AP559" t="s">
        <v>3939</v>
      </c>
      <c r="AQ559" t="s">
        <v>3940</v>
      </c>
      <c r="AR559" t="s">
        <v>3941</v>
      </c>
      <c r="AS559" t="s">
        <v>3942</v>
      </c>
      <c r="AT559" t="s">
        <v>5438</v>
      </c>
      <c r="AU559" t="s">
        <v>3944</v>
      </c>
      <c r="AV559" t="s">
        <v>3945</v>
      </c>
      <c r="AW559" t="s">
        <v>3946</v>
      </c>
      <c r="AX559">
        <v>12</v>
      </c>
      <c r="AY559">
        <v>2</v>
      </c>
      <c r="AZ559" t="s">
        <v>3897</v>
      </c>
      <c r="BA559">
        <v>10</v>
      </c>
      <c r="BB559" t="s">
        <v>3898</v>
      </c>
      <c r="BC559">
        <v>90</v>
      </c>
      <c r="BD559">
        <v>3</v>
      </c>
      <c r="BE559" t="s">
        <v>3911</v>
      </c>
      <c r="BF559">
        <v>360</v>
      </c>
      <c r="BG559">
        <v>14</v>
      </c>
      <c r="BH559" t="s">
        <v>3947</v>
      </c>
      <c r="BI559" t="s">
        <v>5439</v>
      </c>
      <c r="BJ559">
        <v>1</v>
      </c>
      <c r="BK559" t="s">
        <v>3902</v>
      </c>
    </row>
    <row r="560" spans="1:63" x14ac:dyDescent="0.25">
      <c r="A560">
        <v>4544</v>
      </c>
      <c r="B560" t="str">
        <f>"20200130191017141777"</f>
        <v>20200130191017141777</v>
      </c>
      <c r="C560">
        <v>1</v>
      </c>
      <c r="D560">
        <v>1</v>
      </c>
      <c r="E560" t="s">
        <v>3886</v>
      </c>
      <c r="F560">
        <v>2</v>
      </c>
      <c r="G560">
        <v>0</v>
      </c>
      <c r="H560" t="s">
        <v>66</v>
      </c>
      <c r="I560">
        <v>0</v>
      </c>
      <c r="J560" t="s">
        <v>66</v>
      </c>
      <c r="K560">
        <v>0</v>
      </c>
      <c r="L560" t="s">
        <v>66</v>
      </c>
      <c r="M560" t="s">
        <v>56</v>
      </c>
      <c r="N560">
        <v>0</v>
      </c>
      <c r="O560" t="s">
        <v>66</v>
      </c>
      <c r="P560" t="s">
        <v>56</v>
      </c>
      <c r="Q560">
        <v>0</v>
      </c>
      <c r="R560" t="s">
        <v>66</v>
      </c>
      <c r="S560" t="s">
        <v>56</v>
      </c>
      <c r="T560">
        <v>1</v>
      </c>
      <c r="U560" t="s">
        <v>1627</v>
      </c>
      <c r="V560" t="s">
        <v>56</v>
      </c>
      <c r="W560">
        <v>0</v>
      </c>
      <c r="X560" t="s">
        <v>66</v>
      </c>
      <c r="Y560" t="s">
        <v>56</v>
      </c>
      <c r="Z560">
        <v>0</v>
      </c>
      <c r="AA560" t="s">
        <v>66</v>
      </c>
      <c r="AB560" t="s">
        <v>56</v>
      </c>
      <c r="AC560">
        <v>1</v>
      </c>
      <c r="AD560" t="s">
        <v>1627</v>
      </c>
      <c r="AE560" t="s">
        <v>3887</v>
      </c>
      <c r="AF560">
        <v>0</v>
      </c>
      <c r="AG560" t="s">
        <v>66</v>
      </c>
      <c r="AH560" t="s">
        <v>56</v>
      </c>
      <c r="AI560">
        <v>1</v>
      </c>
      <c r="AJ560" t="s">
        <v>1627</v>
      </c>
      <c r="AK560" t="s">
        <v>56</v>
      </c>
      <c r="AL560" t="s">
        <v>56</v>
      </c>
      <c r="AM560" t="s">
        <v>56</v>
      </c>
      <c r="AN560" t="s">
        <v>56</v>
      </c>
      <c r="AO560" t="s">
        <v>4163</v>
      </c>
      <c r="AP560" t="s">
        <v>3962</v>
      </c>
      <c r="AQ560" t="s">
        <v>3963</v>
      </c>
      <c r="AR560" t="s">
        <v>3941</v>
      </c>
      <c r="AS560" t="s">
        <v>3942</v>
      </c>
      <c r="AT560" t="s">
        <v>5440</v>
      </c>
      <c r="AU560">
        <v>9000</v>
      </c>
      <c r="AV560" t="s">
        <v>3956</v>
      </c>
      <c r="AW560" t="s">
        <v>3956</v>
      </c>
      <c r="AX560">
        <v>24</v>
      </c>
      <c r="AY560">
        <v>2</v>
      </c>
      <c r="AZ560" t="s">
        <v>3897</v>
      </c>
      <c r="BA560">
        <v>10</v>
      </c>
      <c r="BB560" t="s">
        <v>3898</v>
      </c>
      <c r="BC560">
        <v>3</v>
      </c>
      <c r="BD560">
        <v>5</v>
      </c>
      <c r="BE560" t="s">
        <v>3899</v>
      </c>
      <c r="BF560">
        <v>270</v>
      </c>
      <c r="BG560">
        <v>66</v>
      </c>
      <c r="BH560" t="s">
        <v>3965</v>
      </c>
      <c r="BI560" t="s">
        <v>4914</v>
      </c>
      <c r="BJ560">
        <v>1</v>
      </c>
      <c r="BK560" t="s">
        <v>3902</v>
      </c>
    </row>
    <row r="561" spans="1:63" x14ac:dyDescent="0.25">
      <c r="A561">
        <v>4545</v>
      </c>
      <c r="B561" t="str">
        <f>"20200130110017142279"</f>
        <v>20200130110017142279</v>
      </c>
      <c r="C561">
        <v>1</v>
      </c>
      <c r="D561">
        <v>1</v>
      </c>
      <c r="E561" t="s">
        <v>3886</v>
      </c>
      <c r="F561">
        <v>2</v>
      </c>
      <c r="G561">
        <v>0</v>
      </c>
      <c r="H561" t="s">
        <v>66</v>
      </c>
      <c r="I561">
        <v>0</v>
      </c>
      <c r="J561" t="s">
        <v>66</v>
      </c>
      <c r="K561">
        <v>0</v>
      </c>
      <c r="L561" t="s">
        <v>66</v>
      </c>
      <c r="M561" t="s">
        <v>56</v>
      </c>
      <c r="N561">
        <v>0</v>
      </c>
      <c r="O561" t="s">
        <v>66</v>
      </c>
      <c r="P561" t="s">
        <v>56</v>
      </c>
      <c r="Q561">
        <v>0</v>
      </c>
      <c r="R561" t="s">
        <v>66</v>
      </c>
      <c r="S561" t="s">
        <v>56</v>
      </c>
      <c r="T561">
        <v>1</v>
      </c>
      <c r="U561" t="s">
        <v>1627</v>
      </c>
      <c r="V561" t="s">
        <v>56</v>
      </c>
      <c r="W561">
        <v>0</v>
      </c>
      <c r="X561" t="s">
        <v>66</v>
      </c>
      <c r="Y561" t="s">
        <v>56</v>
      </c>
      <c r="Z561">
        <v>0</v>
      </c>
      <c r="AA561" t="s">
        <v>66</v>
      </c>
      <c r="AB561" t="s">
        <v>56</v>
      </c>
      <c r="AC561">
        <v>1</v>
      </c>
      <c r="AD561" t="s">
        <v>1627</v>
      </c>
      <c r="AE561" t="s">
        <v>3887</v>
      </c>
      <c r="AF561">
        <v>0</v>
      </c>
      <c r="AG561" t="s">
        <v>66</v>
      </c>
      <c r="AH561" t="s">
        <v>56</v>
      </c>
      <c r="AI561">
        <v>1</v>
      </c>
      <c r="AJ561" t="s">
        <v>1627</v>
      </c>
      <c r="AK561" t="s">
        <v>56</v>
      </c>
      <c r="AL561" t="s">
        <v>56</v>
      </c>
      <c r="AM561" t="s">
        <v>56</v>
      </c>
      <c r="AN561" t="s">
        <v>56</v>
      </c>
      <c r="AO561" t="s">
        <v>4737</v>
      </c>
      <c r="AP561" t="s">
        <v>3962</v>
      </c>
      <c r="AQ561" t="s">
        <v>3963</v>
      </c>
      <c r="AR561" t="s">
        <v>3941</v>
      </c>
      <c r="AS561" t="s">
        <v>3942</v>
      </c>
      <c r="AT561" t="s">
        <v>5441</v>
      </c>
      <c r="AU561" t="s">
        <v>3907</v>
      </c>
      <c r="AV561" t="s">
        <v>3908</v>
      </c>
      <c r="AW561" t="s">
        <v>3909</v>
      </c>
      <c r="AX561">
        <v>12</v>
      </c>
      <c r="AY561">
        <v>2</v>
      </c>
      <c r="AZ561" t="s">
        <v>3897</v>
      </c>
      <c r="BA561">
        <v>10</v>
      </c>
      <c r="BB561" t="s">
        <v>3898</v>
      </c>
      <c r="BC561">
        <v>60</v>
      </c>
      <c r="BD561">
        <v>3</v>
      </c>
      <c r="BE561" t="s">
        <v>3911</v>
      </c>
      <c r="BF561">
        <v>120</v>
      </c>
      <c r="BG561">
        <v>66</v>
      </c>
      <c r="BH561" t="s">
        <v>3965</v>
      </c>
      <c r="BI561" t="s">
        <v>5442</v>
      </c>
      <c r="BJ561">
        <v>1</v>
      </c>
      <c r="BK561" t="s">
        <v>3902</v>
      </c>
    </row>
    <row r="562" spans="1:63" x14ac:dyDescent="0.25">
      <c r="A562">
        <v>4546</v>
      </c>
      <c r="B562" t="str">
        <f>"20200130110017142279"</f>
        <v>20200130110017142279</v>
      </c>
      <c r="C562">
        <v>2</v>
      </c>
      <c r="D562">
        <v>1</v>
      </c>
      <c r="E562" t="s">
        <v>3886</v>
      </c>
      <c r="F562">
        <v>2</v>
      </c>
      <c r="G562">
        <v>0</v>
      </c>
      <c r="H562" t="s">
        <v>66</v>
      </c>
      <c r="I562">
        <v>0</v>
      </c>
      <c r="J562" t="s">
        <v>66</v>
      </c>
      <c r="K562">
        <v>0</v>
      </c>
      <c r="L562" t="s">
        <v>66</v>
      </c>
      <c r="M562" t="s">
        <v>56</v>
      </c>
      <c r="N562">
        <v>0</v>
      </c>
      <c r="O562" t="s">
        <v>66</v>
      </c>
      <c r="P562" t="s">
        <v>56</v>
      </c>
      <c r="Q562">
        <v>0</v>
      </c>
      <c r="R562" t="s">
        <v>66</v>
      </c>
      <c r="S562" t="s">
        <v>56</v>
      </c>
      <c r="T562">
        <v>1</v>
      </c>
      <c r="U562" t="s">
        <v>1627</v>
      </c>
      <c r="V562" t="s">
        <v>56</v>
      </c>
      <c r="W562">
        <v>0</v>
      </c>
      <c r="X562" t="s">
        <v>66</v>
      </c>
      <c r="Y562" t="s">
        <v>56</v>
      </c>
      <c r="Z562">
        <v>0</v>
      </c>
      <c r="AA562" t="s">
        <v>66</v>
      </c>
      <c r="AB562" t="s">
        <v>56</v>
      </c>
      <c r="AC562">
        <v>1</v>
      </c>
      <c r="AD562" t="s">
        <v>1627</v>
      </c>
      <c r="AE562" t="s">
        <v>3887</v>
      </c>
      <c r="AF562">
        <v>0</v>
      </c>
      <c r="AG562" t="s">
        <v>66</v>
      </c>
      <c r="AH562" t="s">
        <v>56</v>
      </c>
      <c r="AI562">
        <v>1</v>
      </c>
      <c r="AJ562" t="s">
        <v>1627</v>
      </c>
      <c r="AK562" t="s">
        <v>56</v>
      </c>
      <c r="AL562" t="s">
        <v>56</v>
      </c>
      <c r="AM562" t="s">
        <v>56</v>
      </c>
      <c r="AN562" t="s">
        <v>56</v>
      </c>
      <c r="AO562" t="s">
        <v>4176</v>
      </c>
      <c r="AP562" t="s">
        <v>3889</v>
      </c>
      <c r="AQ562" t="s">
        <v>3890</v>
      </c>
      <c r="AR562" t="s">
        <v>3920</v>
      </c>
      <c r="AS562" t="s">
        <v>3921</v>
      </c>
      <c r="AT562" t="s">
        <v>5443</v>
      </c>
      <c r="AU562" t="s">
        <v>3907</v>
      </c>
      <c r="AV562" t="s">
        <v>3908</v>
      </c>
      <c r="AW562" t="s">
        <v>3909</v>
      </c>
      <c r="AX562">
        <v>24</v>
      </c>
      <c r="AY562">
        <v>2</v>
      </c>
      <c r="AZ562" t="s">
        <v>3897</v>
      </c>
      <c r="BA562">
        <v>10</v>
      </c>
      <c r="BB562" t="s">
        <v>3898</v>
      </c>
      <c r="BC562">
        <v>60</v>
      </c>
      <c r="BD562">
        <v>3</v>
      </c>
      <c r="BE562" t="s">
        <v>3911</v>
      </c>
      <c r="BF562">
        <v>2</v>
      </c>
      <c r="BG562">
        <v>37</v>
      </c>
      <c r="BH562" t="s">
        <v>4007</v>
      </c>
      <c r="BI562" t="s">
        <v>5444</v>
      </c>
      <c r="BJ562">
        <v>1</v>
      </c>
      <c r="BK562" t="s">
        <v>3902</v>
      </c>
    </row>
    <row r="563" spans="1:63" x14ac:dyDescent="0.25">
      <c r="A563">
        <v>4547</v>
      </c>
      <c r="B563" t="str">
        <f>"20200130192017142824"</f>
        <v>20200130192017142824</v>
      </c>
      <c r="C563">
        <v>1</v>
      </c>
      <c r="D563">
        <v>1</v>
      </c>
      <c r="E563" t="s">
        <v>3886</v>
      </c>
      <c r="F563">
        <v>2</v>
      </c>
      <c r="G563">
        <v>0</v>
      </c>
      <c r="H563" t="s">
        <v>66</v>
      </c>
      <c r="I563">
        <v>0</v>
      </c>
      <c r="J563" t="s">
        <v>66</v>
      </c>
      <c r="K563">
        <v>0</v>
      </c>
      <c r="L563" t="s">
        <v>66</v>
      </c>
      <c r="M563" t="s">
        <v>56</v>
      </c>
      <c r="N563">
        <v>0</v>
      </c>
      <c r="O563" t="s">
        <v>66</v>
      </c>
      <c r="P563" t="s">
        <v>56</v>
      </c>
      <c r="Q563">
        <v>0</v>
      </c>
      <c r="R563" t="s">
        <v>66</v>
      </c>
      <c r="S563" t="s">
        <v>56</v>
      </c>
      <c r="T563">
        <v>1</v>
      </c>
      <c r="U563" t="s">
        <v>1627</v>
      </c>
      <c r="V563" t="s">
        <v>56</v>
      </c>
      <c r="W563">
        <v>0</v>
      </c>
      <c r="X563" t="s">
        <v>66</v>
      </c>
      <c r="Y563" t="s">
        <v>56</v>
      </c>
      <c r="Z563">
        <v>0</v>
      </c>
      <c r="AA563" t="s">
        <v>66</v>
      </c>
      <c r="AB563" t="s">
        <v>56</v>
      </c>
      <c r="AC563">
        <v>1</v>
      </c>
      <c r="AD563" t="s">
        <v>1627</v>
      </c>
      <c r="AE563" t="s">
        <v>3887</v>
      </c>
      <c r="AF563">
        <v>0</v>
      </c>
      <c r="AG563" t="s">
        <v>66</v>
      </c>
      <c r="AH563" t="s">
        <v>56</v>
      </c>
      <c r="AI563">
        <v>1</v>
      </c>
      <c r="AJ563" t="s">
        <v>1627</v>
      </c>
      <c r="AK563" t="s">
        <v>56</v>
      </c>
      <c r="AL563" t="s">
        <v>56</v>
      </c>
      <c r="AM563" t="s">
        <v>56</v>
      </c>
      <c r="AN563" t="s">
        <v>56</v>
      </c>
      <c r="AO563" t="s">
        <v>4046</v>
      </c>
      <c r="AP563" t="s">
        <v>3889</v>
      </c>
      <c r="AQ563" t="s">
        <v>3890</v>
      </c>
      <c r="AR563" t="s">
        <v>3926</v>
      </c>
      <c r="AS563" t="s">
        <v>3927</v>
      </c>
      <c r="AT563" t="s">
        <v>5245</v>
      </c>
      <c r="AU563" t="s">
        <v>3894</v>
      </c>
      <c r="AV563" t="s">
        <v>3895</v>
      </c>
      <c r="AW563" t="s">
        <v>3896</v>
      </c>
      <c r="AX563">
        <v>12</v>
      </c>
      <c r="AY563">
        <v>2</v>
      </c>
      <c r="AZ563" t="s">
        <v>3897</v>
      </c>
      <c r="BA563">
        <v>10</v>
      </c>
      <c r="BB563" t="s">
        <v>3898</v>
      </c>
      <c r="BC563">
        <v>60</v>
      </c>
      <c r="BD563">
        <v>3</v>
      </c>
      <c r="BE563" t="s">
        <v>3911</v>
      </c>
      <c r="BF563">
        <v>2</v>
      </c>
      <c r="BG563">
        <v>13</v>
      </c>
      <c r="BH563" t="s">
        <v>3900</v>
      </c>
      <c r="BI563" t="s">
        <v>4371</v>
      </c>
      <c r="BJ563">
        <v>1</v>
      </c>
      <c r="BK563" t="s">
        <v>3902</v>
      </c>
    </row>
    <row r="564" spans="1:63" x14ac:dyDescent="0.25">
      <c r="A564">
        <v>4548</v>
      </c>
      <c r="B564" t="str">
        <f>"20200130115017143270"</f>
        <v>20200130115017143270</v>
      </c>
      <c r="C564">
        <v>1</v>
      </c>
      <c r="D564">
        <v>1</v>
      </c>
      <c r="E564" t="s">
        <v>3886</v>
      </c>
      <c r="F564">
        <v>2</v>
      </c>
      <c r="G564">
        <v>0</v>
      </c>
      <c r="H564" t="s">
        <v>66</v>
      </c>
      <c r="I564">
        <v>0</v>
      </c>
      <c r="J564" t="s">
        <v>66</v>
      </c>
      <c r="K564">
        <v>1</v>
      </c>
      <c r="L564" t="s">
        <v>1627</v>
      </c>
      <c r="M564" t="s">
        <v>5445</v>
      </c>
      <c r="N564">
        <v>1</v>
      </c>
      <c r="O564" t="s">
        <v>1627</v>
      </c>
      <c r="P564" t="s">
        <v>5446</v>
      </c>
      <c r="Q564">
        <v>0</v>
      </c>
      <c r="R564" t="s">
        <v>66</v>
      </c>
      <c r="S564" t="s">
        <v>56</v>
      </c>
      <c r="T564" t="s">
        <v>56</v>
      </c>
      <c r="U564" t="s">
        <v>56</v>
      </c>
      <c r="V564" t="s">
        <v>56</v>
      </c>
      <c r="W564">
        <v>0</v>
      </c>
      <c r="X564" t="s">
        <v>66</v>
      </c>
      <c r="Y564" t="s">
        <v>56</v>
      </c>
      <c r="Z564">
        <v>0</v>
      </c>
      <c r="AA564" t="s">
        <v>66</v>
      </c>
      <c r="AB564" t="s">
        <v>56</v>
      </c>
      <c r="AC564">
        <v>0</v>
      </c>
      <c r="AD564" t="s">
        <v>66</v>
      </c>
      <c r="AE564" t="s">
        <v>56</v>
      </c>
      <c r="AF564">
        <v>0</v>
      </c>
      <c r="AG564" t="s">
        <v>66</v>
      </c>
      <c r="AH564" t="s">
        <v>56</v>
      </c>
      <c r="AI564">
        <v>1</v>
      </c>
      <c r="AJ564" t="s">
        <v>1627</v>
      </c>
      <c r="AK564" t="s">
        <v>56</v>
      </c>
      <c r="AL564" t="s">
        <v>56</v>
      </c>
      <c r="AM564" t="s">
        <v>56</v>
      </c>
      <c r="AN564" t="s">
        <v>56</v>
      </c>
      <c r="AO564" t="s">
        <v>5447</v>
      </c>
      <c r="AP564" t="s">
        <v>3889</v>
      </c>
      <c r="AQ564" t="s">
        <v>3890</v>
      </c>
      <c r="AR564" t="s">
        <v>3904</v>
      </c>
      <c r="AS564" t="s">
        <v>3905</v>
      </c>
      <c r="AT564" t="s">
        <v>5448</v>
      </c>
      <c r="AU564" t="s">
        <v>4026</v>
      </c>
      <c r="AV564" t="s">
        <v>4027</v>
      </c>
      <c r="AW564" t="s">
        <v>4028</v>
      </c>
      <c r="AX564">
        <v>1</v>
      </c>
      <c r="AY564">
        <v>3</v>
      </c>
      <c r="AZ564" t="s">
        <v>3911</v>
      </c>
      <c r="BA564">
        <v>10</v>
      </c>
      <c r="BB564" t="s">
        <v>3898</v>
      </c>
      <c r="BC564">
        <v>1</v>
      </c>
      <c r="BD564">
        <v>3</v>
      </c>
      <c r="BE564" t="s">
        <v>3911</v>
      </c>
      <c r="BF564">
        <v>2</v>
      </c>
      <c r="BG564">
        <v>75</v>
      </c>
      <c r="BH564" t="s">
        <v>4017</v>
      </c>
      <c r="BI564" t="s">
        <v>5449</v>
      </c>
      <c r="BJ564">
        <v>1</v>
      </c>
      <c r="BK564" t="s">
        <v>3902</v>
      </c>
    </row>
    <row r="565" spans="1:63" x14ac:dyDescent="0.25">
      <c r="A565">
        <v>4549</v>
      </c>
      <c r="B565" t="str">
        <f>"20200130195017143330"</f>
        <v>20200130195017143330</v>
      </c>
      <c r="C565">
        <v>1</v>
      </c>
      <c r="D565">
        <v>1</v>
      </c>
      <c r="E565" t="s">
        <v>3886</v>
      </c>
      <c r="F565">
        <v>2</v>
      </c>
      <c r="G565">
        <v>0</v>
      </c>
      <c r="H565" t="s">
        <v>66</v>
      </c>
      <c r="I565">
        <v>0</v>
      </c>
      <c r="J565" t="s">
        <v>66</v>
      </c>
      <c r="K565">
        <v>1</v>
      </c>
      <c r="L565" t="s">
        <v>1627</v>
      </c>
      <c r="M565" t="s">
        <v>5450</v>
      </c>
      <c r="N565">
        <v>1</v>
      </c>
      <c r="O565" t="s">
        <v>1627</v>
      </c>
      <c r="P565" t="s">
        <v>5451</v>
      </c>
      <c r="Q565">
        <v>0</v>
      </c>
      <c r="R565" t="s">
        <v>66</v>
      </c>
      <c r="S565" t="s">
        <v>56</v>
      </c>
      <c r="T565" t="s">
        <v>56</v>
      </c>
      <c r="U565" t="s">
        <v>56</v>
      </c>
      <c r="V565" t="s">
        <v>56</v>
      </c>
      <c r="W565">
        <v>0</v>
      </c>
      <c r="X565" t="s">
        <v>66</v>
      </c>
      <c r="Y565" t="s">
        <v>56</v>
      </c>
      <c r="Z565">
        <v>0</v>
      </c>
      <c r="AA565" t="s">
        <v>66</v>
      </c>
      <c r="AB565" t="s">
        <v>56</v>
      </c>
      <c r="AC565">
        <v>0</v>
      </c>
      <c r="AD565" t="s">
        <v>66</v>
      </c>
      <c r="AE565" t="s">
        <v>56</v>
      </c>
      <c r="AF565">
        <v>0</v>
      </c>
      <c r="AG565" t="s">
        <v>66</v>
      </c>
      <c r="AH565" t="s">
        <v>56</v>
      </c>
      <c r="AI565">
        <v>1</v>
      </c>
      <c r="AJ565" t="s">
        <v>1627</v>
      </c>
      <c r="AK565" t="s">
        <v>56</v>
      </c>
      <c r="AL565" t="s">
        <v>56</v>
      </c>
      <c r="AM565" t="s">
        <v>56</v>
      </c>
      <c r="AN565" t="s">
        <v>56</v>
      </c>
      <c r="AO565" t="s">
        <v>4355</v>
      </c>
      <c r="AP565" t="s">
        <v>3918</v>
      </c>
      <c r="AQ565" t="s">
        <v>3919</v>
      </c>
      <c r="AR565" t="s">
        <v>3920</v>
      </c>
      <c r="AS565" t="s">
        <v>3921</v>
      </c>
      <c r="AT565" t="s">
        <v>5452</v>
      </c>
      <c r="AU565" t="s">
        <v>3907</v>
      </c>
      <c r="AV565" t="s">
        <v>3908</v>
      </c>
      <c r="AW565" t="s">
        <v>3909</v>
      </c>
      <c r="AX565">
        <v>12</v>
      </c>
      <c r="AY565">
        <v>2</v>
      </c>
      <c r="AZ565" t="s">
        <v>3897</v>
      </c>
      <c r="BA565">
        <v>10</v>
      </c>
      <c r="BB565" t="s">
        <v>3898</v>
      </c>
      <c r="BC565">
        <v>30</v>
      </c>
      <c r="BD565">
        <v>3</v>
      </c>
      <c r="BE565" t="s">
        <v>3911</v>
      </c>
      <c r="BF565">
        <v>1</v>
      </c>
      <c r="BG565">
        <v>27</v>
      </c>
      <c r="BH565" t="s">
        <v>3990</v>
      </c>
      <c r="BI565" t="s">
        <v>5453</v>
      </c>
      <c r="BJ565">
        <v>1</v>
      </c>
      <c r="BK565" t="s">
        <v>3902</v>
      </c>
    </row>
    <row r="566" spans="1:63" x14ac:dyDescent="0.25">
      <c r="A566">
        <v>4550</v>
      </c>
      <c r="B566" t="str">
        <f>"20200130195017143330"</f>
        <v>20200130195017143330</v>
      </c>
      <c r="C566">
        <v>2</v>
      </c>
      <c r="D566">
        <v>1</v>
      </c>
      <c r="E566" t="s">
        <v>3886</v>
      </c>
      <c r="F566">
        <v>2</v>
      </c>
      <c r="G566">
        <v>0</v>
      </c>
      <c r="H566" t="s">
        <v>66</v>
      </c>
      <c r="I566">
        <v>0</v>
      </c>
      <c r="J566" t="s">
        <v>66</v>
      </c>
      <c r="K566">
        <v>1</v>
      </c>
      <c r="L566" t="s">
        <v>1627</v>
      </c>
      <c r="M566" t="s">
        <v>5450</v>
      </c>
      <c r="N566">
        <v>1</v>
      </c>
      <c r="O566" t="s">
        <v>1627</v>
      </c>
      <c r="P566" t="s">
        <v>5451</v>
      </c>
      <c r="Q566">
        <v>0</v>
      </c>
      <c r="R566" t="s">
        <v>66</v>
      </c>
      <c r="S566" t="s">
        <v>56</v>
      </c>
      <c r="T566" t="s">
        <v>56</v>
      </c>
      <c r="U566" t="s">
        <v>56</v>
      </c>
      <c r="V566" t="s">
        <v>56</v>
      </c>
      <c r="W566">
        <v>0</v>
      </c>
      <c r="X566" t="s">
        <v>66</v>
      </c>
      <c r="Y566" t="s">
        <v>56</v>
      </c>
      <c r="Z566">
        <v>0</v>
      </c>
      <c r="AA566" t="s">
        <v>66</v>
      </c>
      <c r="AB566" t="s">
        <v>56</v>
      </c>
      <c r="AC566">
        <v>0</v>
      </c>
      <c r="AD566" t="s">
        <v>66</v>
      </c>
      <c r="AE566" t="s">
        <v>56</v>
      </c>
      <c r="AF566">
        <v>0</v>
      </c>
      <c r="AG566" t="s">
        <v>66</v>
      </c>
      <c r="AH566" t="s">
        <v>56</v>
      </c>
      <c r="AI566">
        <v>1</v>
      </c>
      <c r="AJ566" t="s">
        <v>1627</v>
      </c>
      <c r="AK566" t="s">
        <v>56</v>
      </c>
      <c r="AL566" t="s">
        <v>56</v>
      </c>
      <c r="AM566" t="s">
        <v>56</v>
      </c>
      <c r="AN566" t="s">
        <v>56</v>
      </c>
      <c r="AO566" t="s">
        <v>4349</v>
      </c>
      <c r="AP566" t="s">
        <v>3962</v>
      </c>
      <c r="AQ566" t="s">
        <v>3963</v>
      </c>
      <c r="AR566" t="s">
        <v>3941</v>
      </c>
      <c r="AS566" t="s">
        <v>3942</v>
      </c>
      <c r="AT566" t="s">
        <v>5452</v>
      </c>
      <c r="AU566" t="s">
        <v>3944</v>
      </c>
      <c r="AV566" t="s">
        <v>3945</v>
      </c>
      <c r="AW566" t="s">
        <v>3946</v>
      </c>
      <c r="AX566">
        <v>24</v>
      </c>
      <c r="AY566">
        <v>2</v>
      </c>
      <c r="AZ566" t="s">
        <v>3897</v>
      </c>
      <c r="BA566">
        <v>10</v>
      </c>
      <c r="BB566" t="s">
        <v>3898</v>
      </c>
      <c r="BC566">
        <v>30</v>
      </c>
      <c r="BD566">
        <v>3</v>
      </c>
      <c r="BE566" t="s">
        <v>3911</v>
      </c>
      <c r="BF566">
        <v>30</v>
      </c>
      <c r="BG566">
        <v>66</v>
      </c>
      <c r="BH566" t="s">
        <v>3965</v>
      </c>
      <c r="BI566" t="s">
        <v>5454</v>
      </c>
      <c r="BJ566">
        <v>1</v>
      </c>
      <c r="BK566" t="s">
        <v>3902</v>
      </c>
    </row>
    <row r="567" spans="1:63" x14ac:dyDescent="0.25">
      <c r="A567">
        <v>4551</v>
      </c>
      <c r="B567" t="str">
        <f>"20200130160017143862"</f>
        <v>20200130160017143862</v>
      </c>
      <c r="C567">
        <v>1</v>
      </c>
      <c r="D567">
        <v>1</v>
      </c>
      <c r="E567" t="s">
        <v>3886</v>
      </c>
      <c r="F567">
        <v>2</v>
      </c>
      <c r="G567">
        <v>0</v>
      </c>
      <c r="H567" t="s">
        <v>66</v>
      </c>
      <c r="I567">
        <v>0</v>
      </c>
      <c r="J567" t="s">
        <v>66</v>
      </c>
      <c r="K567">
        <v>0</v>
      </c>
      <c r="L567" t="s">
        <v>66</v>
      </c>
      <c r="M567" t="s">
        <v>56</v>
      </c>
      <c r="N567">
        <v>0</v>
      </c>
      <c r="O567" t="s">
        <v>66</v>
      </c>
      <c r="P567" t="s">
        <v>56</v>
      </c>
      <c r="Q567">
        <v>0</v>
      </c>
      <c r="R567" t="s">
        <v>66</v>
      </c>
      <c r="S567" t="s">
        <v>56</v>
      </c>
      <c r="T567">
        <v>1</v>
      </c>
      <c r="U567" t="s">
        <v>1627</v>
      </c>
      <c r="V567" t="s">
        <v>56</v>
      </c>
      <c r="W567">
        <v>0</v>
      </c>
      <c r="X567" t="s">
        <v>66</v>
      </c>
      <c r="Y567" t="s">
        <v>56</v>
      </c>
      <c r="Z567">
        <v>0</v>
      </c>
      <c r="AA567" t="s">
        <v>66</v>
      </c>
      <c r="AB567" t="s">
        <v>56</v>
      </c>
      <c r="AC567">
        <v>1</v>
      </c>
      <c r="AD567" t="s">
        <v>1627</v>
      </c>
      <c r="AE567" t="s">
        <v>3887</v>
      </c>
      <c r="AF567">
        <v>0</v>
      </c>
      <c r="AG567" t="s">
        <v>66</v>
      </c>
      <c r="AH567" t="s">
        <v>56</v>
      </c>
      <c r="AI567">
        <v>1</v>
      </c>
      <c r="AJ567" t="s">
        <v>1627</v>
      </c>
      <c r="AK567" t="s">
        <v>56</v>
      </c>
      <c r="AL567" t="s">
        <v>56</v>
      </c>
      <c r="AM567" t="s">
        <v>56</v>
      </c>
      <c r="AN567" t="s">
        <v>56</v>
      </c>
      <c r="AO567" t="s">
        <v>4139</v>
      </c>
      <c r="AP567" t="s">
        <v>3889</v>
      </c>
      <c r="AQ567" t="s">
        <v>3890</v>
      </c>
      <c r="AR567" t="s">
        <v>3926</v>
      </c>
      <c r="AS567" t="s">
        <v>3927</v>
      </c>
      <c r="AT567" t="s">
        <v>5455</v>
      </c>
      <c r="AU567" t="s">
        <v>3894</v>
      </c>
      <c r="AV567" t="s">
        <v>3895</v>
      </c>
      <c r="AW567" t="s">
        <v>3896</v>
      </c>
      <c r="AX567">
        <v>12</v>
      </c>
      <c r="AY567">
        <v>2</v>
      </c>
      <c r="AZ567" t="s">
        <v>3897</v>
      </c>
      <c r="BA567">
        <v>10</v>
      </c>
      <c r="BB567" t="s">
        <v>3898</v>
      </c>
      <c r="BC567">
        <v>90</v>
      </c>
      <c r="BD567">
        <v>3</v>
      </c>
      <c r="BE567" t="s">
        <v>3911</v>
      </c>
      <c r="BF567">
        <v>3</v>
      </c>
      <c r="BG567">
        <v>13</v>
      </c>
      <c r="BH567" t="s">
        <v>3900</v>
      </c>
      <c r="BI567" t="s">
        <v>4371</v>
      </c>
      <c r="BJ567">
        <v>1</v>
      </c>
      <c r="BK567" t="s">
        <v>3902</v>
      </c>
    </row>
    <row r="568" spans="1:63" x14ac:dyDescent="0.25">
      <c r="A568">
        <v>4552</v>
      </c>
      <c r="B568" t="str">
        <f>"20200130156017144013"</f>
        <v>20200130156017144013</v>
      </c>
      <c r="C568">
        <v>1</v>
      </c>
      <c r="D568">
        <v>1</v>
      </c>
      <c r="E568" t="s">
        <v>3886</v>
      </c>
      <c r="F568">
        <v>2</v>
      </c>
      <c r="G568">
        <v>0</v>
      </c>
      <c r="H568" t="s">
        <v>66</v>
      </c>
      <c r="I568">
        <v>0</v>
      </c>
      <c r="J568" t="s">
        <v>66</v>
      </c>
      <c r="K568">
        <v>0</v>
      </c>
      <c r="L568" t="s">
        <v>66</v>
      </c>
      <c r="M568" t="s">
        <v>56</v>
      </c>
      <c r="N568">
        <v>0</v>
      </c>
      <c r="O568" t="s">
        <v>66</v>
      </c>
      <c r="P568" t="s">
        <v>56</v>
      </c>
      <c r="Q568">
        <v>0</v>
      </c>
      <c r="R568" t="s">
        <v>66</v>
      </c>
      <c r="S568" t="s">
        <v>56</v>
      </c>
      <c r="T568">
        <v>1</v>
      </c>
      <c r="U568" t="s">
        <v>1627</v>
      </c>
      <c r="V568" t="s">
        <v>56</v>
      </c>
      <c r="W568">
        <v>0</v>
      </c>
      <c r="X568" t="s">
        <v>66</v>
      </c>
      <c r="Y568" t="s">
        <v>56</v>
      </c>
      <c r="Z568">
        <v>0</v>
      </c>
      <c r="AA568" t="s">
        <v>66</v>
      </c>
      <c r="AB568" t="s">
        <v>56</v>
      </c>
      <c r="AC568">
        <v>1</v>
      </c>
      <c r="AD568" t="s">
        <v>1627</v>
      </c>
      <c r="AE568" t="s">
        <v>3887</v>
      </c>
      <c r="AF568">
        <v>0</v>
      </c>
      <c r="AG568" t="s">
        <v>66</v>
      </c>
      <c r="AH568" t="s">
        <v>56</v>
      </c>
      <c r="AI568">
        <v>1</v>
      </c>
      <c r="AJ568" t="s">
        <v>1627</v>
      </c>
      <c r="AK568" t="s">
        <v>56</v>
      </c>
      <c r="AL568" t="s">
        <v>56</v>
      </c>
      <c r="AM568" t="s">
        <v>56</v>
      </c>
      <c r="AN568" t="s">
        <v>56</v>
      </c>
      <c r="AO568" t="s">
        <v>4139</v>
      </c>
      <c r="AP568" t="s">
        <v>3889</v>
      </c>
      <c r="AQ568" t="s">
        <v>3890</v>
      </c>
      <c r="AR568" t="s">
        <v>3926</v>
      </c>
      <c r="AS568" t="s">
        <v>3927</v>
      </c>
      <c r="AT568" t="s">
        <v>5455</v>
      </c>
      <c r="AU568" t="s">
        <v>3894</v>
      </c>
      <c r="AV568" t="s">
        <v>3895</v>
      </c>
      <c r="AW568" t="s">
        <v>3896</v>
      </c>
      <c r="AX568">
        <v>12</v>
      </c>
      <c r="AY568">
        <v>2</v>
      </c>
      <c r="AZ568" t="s">
        <v>3897</v>
      </c>
      <c r="BA568">
        <v>10</v>
      </c>
      <c r="BB568" t="s">
        <v>3898</v>
      </c>
      <c r="BC568">
        <v>60</v>
      </c>
      <c r="BD568">
        <v>3</v>
      </c>
      <c r="BE568" t="s">
        <v>3911</v>
      </c>
      <c r="BF568">
        <v>2</v>
      </c>
      <c r="BG568">
        <v>13</v>
      </c>
      <c r="BH568" t="s">
        <v>3900</v>
      </c>
      <c r="BI568" t="s">
        <v>4371</v>
      </c>
      <c r="BJ568">
        <v>1</v>
      </c>
      <c r="BK568" t="s">
        <v>3902</v>
      </c>
    </row>
    <row r="569" spans="1:63" x14ac:dyDescent="0.25">
      <c r="A569">
        <v>4553</v>
      </c>
      <c r="B569" t="str">
        <f>"20200130156017144013"</f>
        <v>20200130156017144013</v>
      </c>
      <c r="C569">
        <v>2</v>
      </c>
      <c r="D569">
        <v>1</v>
      </c>
      <c r="E569" t="s">
        <v>3886</v>
      </c>
      <c r="F569">
        <v>2</v>
      </c>
      <c r="G569">
        <v>0</v>
      </c>
      <c r="H569" t="s">
        <v>66</v>
      </c>
      <c r="I569">
        <v>0</v>
      </c>
      <c r="J569" t="s">
        <v>66</v>
      </c>
      <c r="K569">
        <v>0</v>
      </c>
      <c r="L569" t="s">
        <v>66</v>
      </c>
      <c r="M569" t="s">
        <v>56</v>
      </c>
      <c r="N569">
        <v>0</v>
      </c>
      <c r="O569" t="s">
        <v>66</v>
      </c>
      <c r="P569" t="s">
        <v>56</v>
      </c>
      <c r="Q569">
        <v>0</v>
      </c>
      <c r="R569" t="s">
        <v>66</v>
      </c>
      <c r="S569" t="s">
        <v>56</v>
      </c>
      <c r="T569">
        <v>1</v>
      </c>
      <c r="U569" t="s">
        <v>1627</v>
      </c>
      <c r="V569" t="s">
        <v>56</v>
      </c>
      <c r="W569">
        <v>0</v>
      </c>
      <c r="X569" t="s">
        <v>66</v>
      </c>
      <c r="Y569" t="s">
        <v>56</v>
      </c>
      <c r="Z569">
        <v>0</v>
      </c>
      <c r="AA569" t="s">
        <v>66</v>
      </c>
      <c r="AB569" t="s">
        <v>56</v>
      </c>
      <c r="AC569">
        <v>1</v>
      </c>
      <c r="AD569" t="s">
        <v>1627</v>
      </c>
      <c r="AE569" t="s">
        <v>3887</v>
      </c>
      <c r="AF569">
        <v>0</v>
      </c>
      <c r="AG569" t="s">
        <v>66</v>
      </c>
      <c r="AH569" t="s">
        <v>56</v>
      </c>
      <c r="AI569">
        <v>1</v>
      </c>
      <c r="AJ569" t="s">
        <v>1627</v>
      </c>
      <c r="AK569" t="s">
        <v>56</v>
      </c>
      <c r="AL569" t="s">
        <v>56</v>
      </c>
      <c r="AM569" t="s">
        <v>56</v>
      </c>
      <c r="AN569" t="s">
        <v>56</v>
      </c>
      <c r="AO569" t="s">
        <v>4046</v>
      </c>
      <c r="AP569" t="s">
        <v>3889</v>
      </c>
      <c r="AQ569" t="s">
        <v>3890</v>
      </c>
      <c r="AR569" t="s">
        <v>3926</v>
      </c>
      <c r="AS569" t="s">
        <v>3927</v>
      </c>
      <c r="AT569" t="s">
        <v>5245</v>
      </c>
      <c r="AU569" t="s">
        <v>3894</v>
      </c>
      <c r="AV569" t="s">
        <v>3895</v>
      </c>
      <c r="AW569" t="s">
        <v>3896</v>
      </c>
      <c r="AX569">
        <v>12</v>
      </c>
      <c r="AY569">
        <v>2</v>
      </c>
      <c r="AZ569" t="s">
        <v>3897</v>
      </c>
      <c r="BA569">
        <v>10</v>
      </c>
      <c r="BB569" t="s">
        <v>3898</v>
      </c>
      <c r="BC569">
        <v>60</v>
      </c>
      <c r="BD569">
        <v>3</v>
      </c>
      <c r="BE569" t="s">
        <v>3911</v>
      </c>
      <c r="BF569">
        <v>2</v>
      </c>
      <c r="BG569">
        <v>13</v>
      </c>
      <c r="BH569" t="s">
        <v>3900</v>
      </c>
      <c r="BI569" t="s">
        <v>4371</v>
      </c>
      <c r="BJ569">
        <v>1</v>
      </c>
      <c r="BK569" t="s">
        <v>3902</v>
      </c>
    </row>
    <row r="570" spans="1:63" x14ac:dyDescent="0.25">
      <c r="A570">
        <v>4554</v>
      </c>
      <c r="B570" t="str">
        <f>"20200130151017144060"</f>
        <v>20200130151017144060</v>
      </c>
      <c r="C570">
        <v>1</v>
      </c>
      <c r="D570">
        <v>1</v>
      </c>
      <c r="E570" t="s">
        <v>3886</v>
      </c>
      <c r="F570">
        <v>2</v>
      </c>
      <c r="G570">
        <v>0</v>
      </c>
      <c r="H570" t="s">
        <v>66</v>
      </c>
      <c r="I570">
        <v>0</v>
      </c>
      <c r="J570" t="s">
        <v>66</v>
      </c>
      <c r="K570">
        <v>0</v>
      </c>
      <c r="L570" t="s">
        <v>66</v>
      </c>
      <c r="M570" t="s">
        <v>56</v>
      </c>
      <c r="N570">
        <v>0</v>
      </c>
      <c r="O570" t="s">
        <v>66</v>
      </c>
      <c r="P570" t="s">
        <v>56</v>
      </c>
      <c r="Q570">
        <v>0</v>
      </c>
      <c r="R570" t="s">
        <v>66</v>
      </c>
      <c r="S570" t="s">
        <v>56</v>
      </c>
      <c r="T570">
        <v>1</v>
      </c>
      <c r="U570" t="s">
        <v>1627</v>
      </c>
      <c r="V570" t="s">
        <v>56</v>
      </c>
      <c r="W570">
        <v>0</v>
      </c>
      <c r="X570" t="s">
        <v>66</v>
      </c>
      <c r="Y570" t="s">
        <v>56</v>
      </c>
      <c r="Z570">
        <v>0</v>
      </c>
      <c r="AA570" t="s">
        <v>66</v>
      </c>
      <c r="AB570" t="s">
        <v>56</v>
      </c>
      <c r="AC570">
        <v>1</v>
      </c>
      <c r="AD570" t="s">
        <v>1627</v>
      </c>
      <c r="AE570" t="s">
        <v>3887</v>
      </c>
      <c r="AF570">
        <v>0</v>
      </c>
      <c r="AG570" t="s">
        <v>66</v>
      </c>
      <c r="AH570" t="s">
        <v>56</v>
      </c>
      <c r="AI570">
        <v>1</v>
      </c>
      <c r="AJ570" t="s">
        <v>1627</v>
      </c>
      <c r="AK570" t="s">
        <v>56</v>
      </c>
      <c r="AL570" t="s">
        <v>56</v>
      </c>
      <c r="AM570" t="s">
        <v>56</v>
      </c>
      <c r="AN570" t="s">
        <v>56</v>
      </c>
      <c r="AO570" t="s">
        <v>4160</v>
      </c>
      <c r="AP570" t="s">
        <v>3962</v>
      </c>
      <c r="AQ570" t="s">
        <v>3963</v>
      </c>
      <c r="AR570" t="s">
        <v>3941</v>
      </c>
      <c r="AS570" t="s">
        <v>3942</v>
      </c>
      <c r="AT570" t="s">
        <v>5456</v>
      </c>
      <c r="AU570" t="s">
        <v>3944</v>
      </c>
      <c r="AV570" t="s">
        <v>3945</v>
      </c>
      <c r="AW570" t="s">
        <v>3946</v>
      </c>
      <c r="AX570">
        <v>24</v>
      </c>
      <c r="AY570">
        <v>2</v>
      </c>
      <c r="AZ570" t="s">
        <v>3897</v>
      </c>
      <c r="BA570">
        <v>10</v>
      </c>
      <c r="BB570" t="s">
        <v>3898</v>
      </c>
      <c r="BC570">
        <v>90</v>
      </c>
      <c r="BD570">
        <v>3</v>
      </c>
      <c r="BE570" t="s">
        <v>3911</v>
      </c>
      <c r="BF570">
        <v>90</v>
      </c>
      <c r="BG570">
        <v>66</v>
      </c>
      <c r="BH570" t="s">
        <v>3965</v>
      </c>
      <c r="BI570" t="s">
        <v>5457</v>
      </c>
      <c r="BJ570">
        <v>1</v>
      </c>
      <c r="BK570" t="s">
        <v>3902</v>
      </c>
    </row>
    <row r="571" spans="1:63" x14ac:dyDescent="0.25">
      <c r="A571">
        <v>4555</v>
      </c>
      <c r="B571" t="str">
        <f>"20200130136017144106"</f>
        <v>20200130136017144106</v>
      </c>
      <c r="C571">
        <v>1</v>
      </c>
      <c r="D571">
        <v>1</v>
      </c>
      <c r="E571" t="s">
        <v>3886</v>
      </c>
      <c r="F571">
        <v>2</v>
      </c>
      <c r="G571">
        <v>0</v>
      </c>
      <c r="H571" t="s">
        <v>66</v>
      </c>
      <c r="I571">
        <v>0</v>
      </c>
      <c r="J571" t="s">
        <v>66</v>
      </c>
      <c r="K571">
        <v>0</v>
      </c>
      <c r="L571" t="s">
        <v>66</v>
      </c>
      <c r="M571" t="s">
        <v>56</v>
      </c>
      <c r="N571">
        <v>0</v>
      </c>
      <c r="O571" t="s">
        <v>66</v>
      </c>
      <c r="P571" t="s">
        <v>56</v>
      </c>
      <c r="Q571">
        <v>0</v>
      </c>
      <c r="R571" t="s">
        <v>66</v>
      </c>
      <c r="S571" t="s">
        <v>56</v>
      </c>
      <c r="T571">
        <v>1</v>
      </c>
      <c r="U571" t="s">
        <v>1627</v>
      </c>
      <c r="V571" t="s">
        <v>56</v>
      </c>
      <c r="W571">
        <v>0</v>
      </c>
      <c r="X571" t="s">
        <v>66</v>
      </c>
      <c r="Y571" t="s">
        <v>56</v>
      </c>
      <c r="Z571">
        <v>0</v>
      </c>
      <c r="AA571" t="s">
        <v>66</v>
      </c>
      <c r="AB571" t="s">
        <v>56</v>
      </c>
      <c r="AC571">
        <v>1</v>
      </c>
      <c r="AD571" t="s">
        <v>1627</v>
      </c>
      <c r="AE571" t="s">
        <v>3887</v>
      </c>
      <c r="AF571">
        <v>0</v>
      </c>
      <c r="AG571" t="s">
        <v>66</v>
      </c>
      <c r="AH571" t="s">
        <v>56</v>
      </c>
      <c r="AI571">
        <v>1</v>
      </c>
      <c r="AJ571" t="s">
        <v>1627</v>
      </c>
      <c r="AK571">
        <v>0</v>
      </c>
      <c r="AL571" t="s">
        <v>66</v>
      </c>
      <c r="AM571" t="s">
        <v>56</v>
      </c>
      <c r="AN571" t="s">
        <v>56</v>
      </c>
      <c r="AO571" t="s">
        <v>5458</v>
      </c>
      <c r="AP571" t="s">
        <v>3971</v>
      </c>
      <c r="AQ571" t="s">
        <v>3972</v>
      </c>
      <c r="AR571" t="s">
        <v>4146</v>
      </c>
      <c r="AS571" t="s">
        <v>4147</v>
      </c>
      <c r="AT571" t="s">
        <v>5459</v>
      </c>
      <c r="AU571" t="s">
        <v>3944</v>
      </c>
      <c r="AV571" t="s">
        <v>3945</v>
      </c>
      <c r="AW571" t="s">
        <v>3946</v>
      </c>
      <c r="AX571">
        <v>28</v>
      </c>
      <c r="AY571">
        <v>3</v>
      </c>
      <c r="AZ571" t="s">
        <v>3911</v>
      </c>
      <c r="BA571">
        <v>10</v>
      </c>
      <c r="BB571" t="s">
        <v>3898</v>
      </c>
      <c r="BC571">
        <v>3</v>
      </c>
      <c r="BD571">
        <v>5</v>
      </c>
      <c r="BE571" t="s">
        <v>3899</v>
      </c>
      <c r="BF571">
        <v>3</v>
      </c>
      <c r="BG571" t="s">
        <v>3912</v>
      </c>
      <c r="BH571" t="s">
        <v>3913</v>
      </c>
      <c r="BI571" t="s">
        <v>5460</v>
      </c>
      <c r="BJ571">
        <v>1</v>
      </c>
      <c r="BK571" t="s">
        <v>3902</v>
      </c>
    </row>
    <row r="572" spans="1:63" x14ac:dyDescent="0.25">
      <c r="A572">
        <v>4556</v>
      </c>
      <c r="B572" t="str">
        <f>"20200130180017144202"</f>
        <v>20200130180017144202</v>
      </c>
      <c r="C572">
        <v>1</v>
      </c>
      <c r="D572">
        <v>1</v>
      </c>
      <c r="E572" t="s">
        <v>3886</v>
      </c>
      <c r="F572">
        <v>2</v>
      </c>
      <c r="G572">
        <v>0</v>
      </c>
      <c r="H572" t="s">
        <v>66</v>
      </c>
      <c r="I572">
        <v>0</v>
      </c>
      <c r="J572" t="s">
        <v>66</v>
      </c>
      <c r="K572">
        <v>0</v>
      </c>
      <c r="L572" t="s">
        <v>66</v>
      </c>
      <c r="M572" t="s">
        <v>56</v>
      </c>
      <c r="N572">
        <v>0</v>
      </c>
      <c r="O572" t="s">
        <v>66</v>
      </c>
      <c r="P572" t="s">
        <v>56</v>
      </c>
      <c r="Q572">
        <v>0</v>
      </c>
      <c r="R572" t="s">
        <v>66</v>
      </c>
      <c r="S572" t="s">
        <v>56</v>
      </c>
      <c r="T572">
        <v>1</v>
      </c>
      <c r="U572" t="s">
        <v>1627</v>
      </c>
      <c r="V572" t="s">
        <v>56</v>
      </c>
      <c r="W572">
        <v>0</v>
      </c>
      <c r="X572" t="s">
        <v>66</v>
      </c>
      <c r="Y572" t="s">
        <v>56</v>
      </c>
      <c r="Z572">
        <v>0</v>
      </c>
      <c r="AA572" t="s">
        <v>66</v>
      </c>
      <c r="AB572" t="s">
        <v>56</v>
      </c>
      <c r="AC572">
        <v>1</v>
      </c>
      <c r="AD572" t="s">
        <v>1627</v>
      </c>
      <c r="AE572" t="s">
        <v>3887</v>
      </c>
      <c r="AF572">
        <v>0</v>
      </c>
      <c r="AG572" t="s">
        <v>66</v>
      </c>
      <c r="AH572" t="s">
        <v>56</v>
      </c>
      <c r="AI572">
        <v>1</v>
      </c>
      <c r="AJ572" t="s">
        <v>1627</v>
      </c>
      <c r="AK572" t="s">
        <v>56</v>
      </c>
      <c r="AL572" t="s">
        <v>56</v>
      </c>
      <c r="AM572" t="s">
        <v>56</v>
      </c>
      <c r="AN572" t="s">
        <v>56</v>
      </c>
      <c r="AO572" t="s">
        <v>4163</v>
      </c>
      <c r="AP572" t="s">
        <v>3962</v>
      </c>
      <c r="AQ572" t="s">
        <v>3963</v>
      </c>
      <c r="AR572" t="s">
        <v>3941</v>
      </c>
      <c r="AS572" t="s">
        <v>3942</v>
      </c>
      <c r="AT572" t="s">
        <v>5461</v>
      </c>
      <c r="AU572">
        <v>9000</v>
      </c>
      <c r="AV572" t="s">
        <v>3956</v>
      </c>
      <c r="AW572" t="s">
        <v>3956</v>
      </c>
      <c r="AX572">
        <v>24</v>
      </c>
      <c r="AY572">
        <v>2</v>
      </c>
      <c r="AZ572" t="s">
        <v>3897</v>
      </c>
      <c r="BA572">
        <v>10</v>
      </c>
      <c r="BB572" t="s">
        <v>3898</v>
      </c>
      <c r="BC572">
        <v>3</v>
      </c>
      <c r="BD572">
        <v>5</v>
      </c>
      <c r="BE572" t="s">
        <v>3899</v>
      </c>
      <c r="BF572">
        <v>270</v>
      </c>
      <c r="BG572">
        <v>66</v>
      </c>
      <c r="BH572" t="s">
        <v>3965</v>
      </c>
      <c r="BI572" t="s">
        <v>4914</v>
      </c>
      <c r="BJ572">
        <v>1</v>
      </c>
      <c r="BK572" t="s">
        <v>3902</v>
      </c>
    </row>
    <row r="573" spans="1:63" x14ac:dyDescent="0.25">
      <c r="A573">
        <v>4557</v>
      </c>
      <c r="B573" t="str">
        <f>"20200130139017144446"</f>
        <v>20200130139017144446</v>
      </c>
      <c r="C573">
        <v>1</v>
      </c>
      <c r="D573">
        <v>1</v>
      </c>
      <c r="E573" t="s">
        <v>3886</v>
      </c>
      <c r="F573">
        <v>2</v>
      </c>
      <c r="G573">
        <v>0</v>
      </c>
      <c r="H573" t="s">
        <v>66</v>
      </c>
      <c r="I573">
        <v>0</v>
      </c>
      <c r="J573" t="s">
        <v>66</v>
      </c>
      <c r="K573">
        <v>0</v>
      </c>
      <c r="L573" t="s">
        <v>66</v>
      </c>
      <c r="M573" t="s">
        <v>56</v>
      </c>
      <c r="N573">
        <v>0</v>
      </c>
      <c r="O573" t="s">
        <v>66</v>
      </c>
      <c r="P573" t="s">
        <v>56</v>
      </c>
      <c r="Q573">
        <v>0</v>
      </c>
      <c r="R573" t="s">
        <v>66</v>
      </c>
      <c r="S573" t="s">
        <v>56</v>
      </c>
      <c r="T573">
        <v>1</v>
      </c>
      <c r="U573" t="s">
        <v>1627</v>
      </c>
      <c r="V573" t="s">
        <v>56</v>
      </c>
      <c r="W573">
        <v>0</v>
      </c>
      <c r="X573" t="s">
        <v>66</v>
      </c>
      <c r="Y573" t="s">
        <v>56</v>
      </c>
      <c r="Z573">
        <v>0</v>
      </c>
      <c r="AA573" t="s">
        <v>66</v>
      </c>
      <c r="AB573" t="s">
        <v>56</v>
      </c>
      <c r="AC573">
        <v>1</v>
      </c>
      <c r="AD573" t="s">
        <v>1627</v>
      </c>
      <c r="AE573" t="s">
        <v>3887</v>
      </c>
      <c r="AF573">
        <v>0</v>
      </c>
      <c r="AG573" t="s">
        <v>66</v>
      </c>
      <c r="AH573" t="s">
        <v>56</v>
      </c>
      <c r="AI573">
        <v>1</v>
      </c>
      <c r="AJ573" t="s">
        <v>1627</v>
      </c>
      <c r="AK573" t="s">
        <v>56</v>
      </c>
      <c r="AL573" t="s">
        <v>56</v>
      </c>
      <c r="AM573" t="s">
        <v>56</v>
      </c>
      <c r="AN573" t="s">
        <v>56</v>
      </c>
      <c r="AO573" t="s">
        <v>4046</v>
      </c>
      <c r="AP573" t="s">
        <v>3889</v>
      </c>
      <c r="AQ573" t="s">
        <v>3890</v>
      </c>
      <c r="AR573" t="s">
        <v>3926</v>
      </c>
      <c r="AS573" t="s">
        <v>3927</v>
      </c>
      <c r="AT573" t="s">
        <v>5245</v>
      </c>
      <c r="AU573" t="s">
        <v>3894</v>
      </c>
      <c r="AV573" t="s">
        <v>3895</v>
      </c>
      <c r="AW573" t="s">
        <v>3896</v>
      </c>
      <c r="AX573">
        <v>12</v>
      </c>
      <c r="AY573">
        <v>2</v>
      </c>
      <c r="AZ573" t="s">
        <v>3897</v>
      </c>
      <c r="BA573">
        <v>10</v>
      </c>
      <c r="BB573" t="s">
        <v>3898</v>
      </c>
      <c r="BC573">
        <v>90</v>
      </c>
      <c r="BD573">
        <v>3</v>
      </c>
      <c r="BE573" t="s">
        <v>3911</v>
      </c>
      <c r="BF573">
        <v>3</v>
      </c>
      <c r="BG573">
        <v>13</v>
      </c>
      <c r="BH573" t="s">
        <v>3900</v>
      </c>
      <c r="BI573" t="s">
        <v>4371</v>
      </c>
      <c r="BJ573">
        <v>1</v>
      </c>
      <c r="BK573" t="s">
        <v>3902</v>
      </c>
    </row>
    <row r="574" spans="1:63" x14ac:dyDescent="0.25">
      <c r="A574">
        <v>4558</v>
      </c>
      <c r="B574" t="str">
        <f>"20200130177017144847"</f>
        <v>20200130177017144847</v>
      </c>
      <c r="C574">
        <v>1</v>
      </c>
      <c r="D574">
        <v>1</v>
      </c>
      <c r="E574" t="s">
        <v>3886</v>
      </c>
      <c r="F574">
        <v>1</v>
      </c>
      <c r="G574">
        <v>0</v>
      </c>
      <c r="H574" t="s">
        <v>66</v>
      </c>
      <c r="I574">
        <v>0</v>
      </c>
      <c r="J574" t="s">
        <v>66</v>
      </c>
      <c r="K574">
        <v>0</v>
      </c>
      <c r="L574" t="s">
        <v>66</v>
      </c>
      <c r="M574" t="s">
        <v>56</v>
      </c>
      <c r="N574">
        <v>0</v>
      </c>
      <c r="O574" t="s">
        <v>66</v>
      </c>
      <c r="P574" t="s">
        <v>56</v>
      </c>
      <c r="Q574">
        <v>0</v>
      </c>
      <c r="R574" t="s">
        <v>66</v>
      </c>
      <c r="S574" t="s">
        <v>56</v>
      </c>
      <c r="T574">
        <v>1</v>
      </c>
      <c r="U574" t="s">
        <v>1627</v>
      </c>
      <c r="V574" t="s">
        <v>56</v>
      </c>
      <c r="W574">
        <v>0</v>
      </c>
      <c r="X574" t="s">
        <v>66</v>
      </c>
      <c r="Y574" t="s">
        <v>56</v>
      </c>
      <c r="Z574">
        <v>0</v>
      </c>
      <c r="AA574" t="s">
        <v>66</v>
      </c>
      <c r="AB574" t="s">
        <v>56</v>
      </c>
      <c r="AC574">
        <v>1</v>
      </c>
      <c r="AD574" t="s">
        <v>1627</v>
      </c>
      <c r="AE574" t="s">
        <v>3887</v>
      </c>
      <c r="AF574">
        <v>0</v>
      </c>
      <c r="AG574" t="s">
        <v>66</v>
      </c>
      <c r="AH574" t="s">
        <v>56</v>
      </c>
      <c r="AI574">
        <v>1</v>
      </c>
      <c r="AJ574" t="s">
        <v>1627</v>
      </c>
      <c r="AK574" t="s">
        <v>56</v>
      </c>
      <c r="AL574" t="s">
        <v>56</v>
      </c>
      <c r="AM574" t="s">
        <v>56</v>
      </c>
      <c r="AN574" t="s">
        <v>56</v>
      </c>
      <c r="AO574" t="s">
        <v>5462</v>
      </c>
      <c r="AP574" t="s">
        <v>3939</v>
      </c>
      <c r="AQ574" t="s">
        <v>3940</v>
      </c>
      <c r="AR574" t="s">
        <v>5463</v>
      </c>
      <c r="AS574" t="s">
        <v>5464</v>
      </c>
      <c r="AT574" t="s">
        <v>5465</v>
      </c>
      <c r="AU574" t="s">
        <v>3907</v>
      </c>
      <c r="AV574" t="s">
        <v>3908</v>
      </c>
      <c r="AW574" t="s">
        <v>3909</v>
      </c>
      <c r="AX574">
        <v>1</v>
      </c>
      <c r="AY574">
        <v>3</v>
      </c>
      <c r="AZ574" t="s">
        <v>3911</v>
      </c>
      <c r="BA574">
        <v>10</v>
      </c>
      <c r="BB574" t="s">
        <v>3898</v>
      </c>
      <c r="BC574">
        <v>4</v>
      </c>
      <c r="BD574">
        <v>3</v>
      </c>
      <c r="BE574" t="s">
        <v>3911</v>
      </c>
      <c r="BF574">
        <v>4</v>
      </c>
      <c r="BG574">
        <v>66</v>
      </c>
      <c r="BH574" t="s">
        <v>3965</v>
      </c>
      <c r="BI574" t="s">
        <v>5466</v>
      </c>
      <c r="BJ574">
        <v>1</v>
      </c>
      <c r="BK574" t="s">
        <v>3902</v>
      </c>
    </row>
    <row r="575" spans="1:63" x14ac:dyDescent="0.25">
      <c r="A575">
        <v>4559</v>
      </c>
      <c r="B575" t="str">
        <f>"20200130129017145340"</f>
        <v>20200130129017145340</v>
      </c>
      <c r="C575">
        <v>1</v>
      </c>
      <c r="D575">
        <v>1</v>
      </c>
      <c r="E575" t="s">
        <v>3886</v>
      </c>
      <c r="F575">
        <v>2</v>
      </c>
      <c r="G575">
        <v>0</v>
      </c>
      <c r="H575" t="s">
        <v>66</v>
      </c>
      <c r="I575">
        <v>0</v>
      </c>
      <c r="J575" t="s">
        <v>66</v>
      </c>
      <c r="K575">
        <v>0</v>
      </c>
      <c r="L575" t="s">
        <v>66</v>
      </c>
      <c r="M575" t="s">
        <v>56</v>
      </c>
      <c r="N575">
        <v>0</v>
      </c>
      <c r="O575" t="s">
        <v>66</v>
      </c>
      <c r="P575" t="s">
        <v>56</v>
      </c>
      <c r="Q575">
        <v>0</v>
      </c>
      <c r="R575" t="s">
        <v>66</v>
      </c>
      <c r="S575" t="s">
        <v>56</v>
      </c>
      <c r="T575">
        <v>1</v>
      </c>
      <c r="U575" t="s">
        <v>1627</v>
      </c>
      <c r="V575" t="s">
        <v>56</v>
      </c>
      <c r="W575">
        <v>0</v>
      </c>
      <c r="X575" t="s">
        <v>66</v>
      </c>
      <c r="Y575" t="s">
        <v>56</v>
      </c>
      <c r="Z575">
        <v>0</v>
      </c>
      <c r="AA575" t="s">
        <v>66</v>
      </c>
      <c r="AB575" t="s">
        <v>56</v>
      </c>
      <c r="AC575">
        <v>1</v>
      </c>
      <c r="AD575" t="s">
        <v>1627</v>
      </c>
      <c r="AE575" t="s">
        <v>3887</v>
      </c>
      <c r="AF575">
        <v>0</v>
      </c>
      <c r="AG575" t="s">
        <v>66</v>
      </c>
      <c r="AH575" t="s">
        <v>56</v>
      </c>
      <c r="AI575">
        <v>1</v>
      </c>
      <c r="AJ575" t="s">
        <v>1627</v>
      </c>
      <c r="AK575" t="s">
        <v>56</v>
      </c>
      <c r="AL575" t="s">
        <v>56</v>
      </c>
      <c r="AM575" t="s">
        <v>56</v>
      </c>
      <c r="AN575" t="s">
        <v>56</v>
      </c>
      <c r="AO575" t="s">
        <v>3938</v>
      </c>
      <c r="AP575" t="s">
        <v>3962</v>
      </c>
      <c r="AQ575" t="s">
        <v>3963</v>
      </c>
      <c r="AR575" t="s">
        <v>3941</v>
      </c>
      <c r="AS575" t="s">
        <v>3942</v>
      </c>
      <c r="AT575" t="s">
        <v>5467</v>
      </c>
      <c r="AU575" t="s">
        <v>3944</v>
      </c>
      <c r="AV575" t="s">
        <v>3945</v>
      </c>
      <c r="AW575" t="s">
        <v>3946</v>
      </c>
      <c r="AX575">
        <v>24</v>
      </c>
      <c r="AY575">
        <v>2</v>
      </c>
      <c r="AZ575" t="s">
        <v>3897</v>
      </c>
      <c r="BA575">
        <v>10</v>
      </c>
      <c r="BB575" t="s">
        <v>3898</v>
      </c>
      <c r="BC575">
        <v>3</v>
      </c>
      <c r="BD575">
        <v>5</v>
      </c>
      <c r="BE575" t="s">
        <v>3899</v>
      </c>
      <c r="BF575">
        <v>90</v>
      </c>
      <c r="BG575">
        <v>66</v>
      </c>
      <c r="BH575" t="s">
        <v>3965</v>
      </c>
      <c r="BI575" t="s">
        <v>4877</v>
      </c>
      <c r="BJ575">
        <v>1</v>
      </c>
      <c r="BK575" t="s">
        <v>3902</v>
      </c>
    </row>
    <row r="576" spans="1:63" x14ac:dyDescent="0.25">
      <c r="A576">
        <v>4560</v>
      </c>
      <c r="B576" t="str">
        <f>"20200130134017145471"</f>
        <v>20200130134017145471</v>
      </c>
      <c r="C576">
        <v>1</v>
      </c>
      <c r="D576">
        <v>1</v>
      </c>
      <c r="E576" t="s">
        <v>3886</v>
      </c>
      <c r="F576">
        <v>2</v>
      </c>
      <c r="G576">
        <v>0</v>
      </c>
      <c r="H576" t="s">
        <v>66</v>
      </c>
      <c r="I576">
        <v>0</v>
      </c>
      <c r="J576" t="s">
        <v>66</v>
      </c>
      <c r="K576">
        <v>1</v>
      </c>
      <c r="L576" t="s">
        <v>1627</v>
      </c>
      <c r="M576" t="s">
        <v>5468</v>
      </c>
      <c r="N576">
        <v>1</v>
      </c>
      <c r="O576" t="s">
        <v>1627</v>
      </c>
      <c r="P576" t="s">
        <v>5469</v>
      </c>
      <c r="Q576">
        <v>0</v>
      </c>
      <c r="R576" t="s">
        <v>66</v>
      </c>
      <c r="S576" t="s">
        <v>56</v>
      </c>
      <c r="T576" t="s">
        <v>56</v>
      </c>
      <c r="U576" t="s">
        <v>56</v>
      </c>
      <c r="V576" t="s">
        <v>56</v>
      </c>
      <c r="W576">
        <v>0</v>
      </c>
      <c r="X576" t="s">
        <v>66</v>
      </c>
      <c r="Y576" t="s">
        <v>56</v>
      </c>
      <c r="Z576">
        <v>0</v>
      </c>
      <c r="AA576" t="s">
        <v>66</v>
      </c>
      <c r="AB576" t="s">
        <v>56</v>
      </c>
      <c r="AC576">
        <v>0</v>
      </c>
      <c r="AD576" t="s">
        <v>66</v>
      </c>
      <c r="AE576" t="s">
        <v>56</v>
      </c>
      <c r="AF576">
        <v>0</v>
      </c>
      <c r="AG576" t="s">
        <v>66</v>
      </c>
      <c r="AH576" t="s">
        <v>56</v>
      </c>
      <c r="AI576">
        <v>1</v>
      </c>
      <c r="AJ576" t="s">
        <v>1627</v>
      </c>
      <c r="AK576" t="s">
        <v>56</v>
      </c>
      <c r="AL576" t="s">
        <v>56</v>
      </c>
      <c r="AM576" t="s">
        <v>56</v>
      </c>
      <c r="AN576" t="s">
        <v>56</v>
      </c>
      <c r="AO576" t="s">
        <v>4329</v>
      </c>
      <c r="AP576" t="s">
        <v>4330</v>
      </c>
      <c r="AQ576" t="s">
        <v>4331</v>
      </c>
      <c r="AR576" t="s">
        <v>3941</v>
      </c>
      <c r="AS576" t="s">
        <v>3942</v>
      </c>
      <c r="AT576" t="s">
        <v>5470</v>
      </c>
      <c r="AU576">
        <v>9000</v>
      </c>
      <c r="AV576" t="s">
        <v>3956</v>
      </c>
      <c r="AW576" t="s">
        <v>3956</v>
      </c>
      <c r="AX576">
        <v>1</v>
      </c>
      <c r="AY576">
        <v>4</v>
      </c>
      <c r="AZ576" t="s">
        <v>4302</v>
      </c>
      <c r="BA576">
        <v>10</v>
      </c>
      <c r="BB576" t="s">
        <v>3898</v>
      </c>
      <c r="BC576">
        <v>3</v>
      </c>
      <c r="BD576">
        <v>4</v>
      </c>
      <c r="BE576" t="s">
        <v>4302</v>
      </c>
      <c r="BF576">
        <v>3</v>
      </c>
      <c r="BG576">
        <v>78</v>
      </c>
      <c r="BH576" t="s">
        <v>4333</v>
      </c>
      <c r="BI576" t="s">
        <v>5471</v>
      </c>
      <c r="BJ576">
        <v>1</v>
      </c>
      <c r="BK576" t="s">
        <v>3902</v>
      </c>
    </row>
    <row r="577" spans="1:63" x14ac:dyDescent="0.25">
      <c r="A577">
        <v>4561</v>
      </c>
      <c r="B577" t="str">
        <f>"20200130138017146024"</f>
        <v>20200130138017146024</v>
      </c>
      <c r="C577">
        <v>1</v>
      </c>
      <c r="D577">
        <v>1</v>
      </c>
      <c r="E577" t="s">
        <v>3886</v>
      </c>
      <c r="F577">
        <v>2</v>
      </c>
      <c r="G577">
        <v>0</v>
      </c>
      <c r="H577" t="s">
        <v>66</v>
      </c>
      <c r="I577">
        <v>0</v>
      </c>
      <c r="J577" t="s">
        <v>66</v>
      </c>
      <c r="K577">
        <v>0</v>
      </c>
      <c r="L577" t="s">
        <v>66</v>
      </c>
      <c r="M577" t="s">
        <v>56</v>
      </c>
      <c r="N577">
        <v>0</v>
      </c>
      <c r="O577" t="s">
        <v>66</v>
      </c>
      <c r="P577" t="s">
        <v>56</v>
      </c>
      <c r="Q577">
        <v>0</v>
      </c>
      <c r="R577" t="s">
        <v>66</v>
      </c>
      <c r="S577" t="s">
        <v>56</v>
      </c>
      <c r="T577">
        <v>1</v>
      </c>
      <c r="U577" t="s">
        <v>1627</v>
      </c>
      <c r="V577" t="s">
        <v>56</v>
      </c>
      <c r="W577">
        <v>0</v>
      </c>
      <c r="X577" t="s">
        <v>66</v>
      </c>
      <c r="Y577" t="s">
        <v>56</v>
      </c>
      <c r="Z577">
        <v>0</v>
      </c>
      <c r="AA577" t="s">
        <v>66</v>
      </c>
      <c r="AB577" t="s">
        <v>56</v>
      </c>
      <c r="AC577">
        <v>1</v>
      </c>
      <c r="AD577" t="s">
        <v>1627</v>
      </c>
      <c r="AE577" t="s">
        <v>3887</v>
      </c>
      <c r="AF577">
        <v>0</v>
      </c>
      <c r="AG577" t="s">
        <v>66</v>
      </c>
      <c r="AH577" t="s">
        <v>56</v>
      </c>
      <c r="AI577">
        <v>1</v>
      </c>
      <c r="AJ577" t="s">
        <v>1627</v>
      </c>
      <c r="AK577" t="s">
        <v>56</v>
      </c>
      <c r="AL577" t="s">
        <v>56</v>
      </c>
      <c r="AM577" t="s">
        <v>56</v>
      </c>
      <c r="AN577" t="s">
        <v>56</v>
      </c>
      <c r="AO577" t="s">
        <v>3888</v>
      </c>
      <c r="AP577" t="s">
        <v>3889</v>
      </c>
      <c r="AQ577" t="s">
        <v>3890</v>
      </c>
      <c r="AR577" t="s">
        <v>3891</v>
      </c>
      <c r="AS577" t="s">
        <v>3892</v>
      </c>
      <c r="AT577" t="s">
        <v>3893</v>
      </c>
      <c r="AU577" t="s">
        <v>3894</v>
      </c>
      <c r="AV577" t="s">
        <v>3895</v>
      </c>
      <c r="AW577" t="s">
        <v>3896</v>
      </c>
      <c r="AX577">
        <v>6</v>
      </c>
      <c r="AY577">
        <v>2</v>
      </c>
      <c r="AZ577" t="s">
        <v>3897</v>
      </c>
      <c r="BA577">
        <v>10</v>
      </c>
      <c r="BB577" t="s">
        <v>3898</v>
      </c>
      <c r="BC577">
        <v>2</v>
      </c>
      <c r="BD577">
        <v>5</v>
      </c>
      <c r="BE577" t="s">
        <v>3899</v>
      </c>
      <c r="BF577">
        <v>2</v>
      </c>
      <c r="BG577">
        <v>13</v>
      </c>
      <c r="BH577" t="s">
        <v>3900</v>
      </c>
      <c r="BI577" t="s">
        <v>5472</v>
      </c>
      <c r="BJ577">
        <v>1</v>
      </c>
      <c r="BK577" t="s">
        <v>3902</v>
      </c>
    </row>
    <row r="578" spans="1:63" x14ac:dyDescent="0.25">
      <c r="A578">
        <v>4562</v>
      </c>
      <c r="B578" t="str">
        <f>"20200130138017146024"</f>
        <v>20200130138017146024</v>
      </c>
      <c r="C578">
        <v>2</v>
      </c>
      <c r="D578">
        <v>1</v>
      </c>
      <c r="E578" t="s">
        <v>3886</v>
      </c>
      <c r="F578">
        <v>2</v>
      </c>
      <c r="G578">
        <v>0</v>
      </c>
      <c r="H578" t="s">
        <v>66</v>
      </c>
      <c r="I578">
        <v>0</v>
      </c>
      <c r="J578" t="s">
        <v>66</v>
      </c>
      <c r="K578">
        <v>0</v>
      </c>
      <c r="L578" t="s">
        <v>66</v>
      </c>
      <c r="M578" t="s">
        <v>56</v>
      </c>
      <c r="N578">
        <v>0</v>
      </c>
      <c r="O578" t="s">
        <v>66</v>
      </c>
      <c r="P578" t="s">
        <v>56</v>
      </c>
      <c r="Q578">
        <v>0</v>
      </c>
      <c r="R578" t="s">
        <v>66</v>
      </c>
      <c r="S578" t="s">
        <v>56</v>
      </c>
      <c r="T578">
        <v>1</v>
      </c>
      <c r="U578" t="s">
        <v>1627</v>
      </c>
      <c r="V578" t="s">
        <v>56</v>
      </c>
      <c r="W578">
        <v>0</v>
      </c>
      <c r="X578" t="s">
        <v>66</v>
      </c>
      <c r="Y578" t="s">
        <v>56</v>
      </c>
      <c r="Z578">
        <v>0</v>
      </c>
      <c r="AA578" t="s">
        <v>66</v>
      </c>
      <c r="AB578" t="s">
        <v>56</v>
      </c>
      <c r="AC578">
        <v>1</v>
      </c>
      <c r="AD578" t="s">
        <v>1627</v>
      </c>
      <c r="AE578" t="s">
        <v>3887</v>
      </c>
      <c r="AF578">
        <v>0</v>
      </c>
      <c r="AG578" t="s">
        <v>66</v>
      </c>
      <c r="AH578" t="s">
        <v>56</v>
      </c>
      <c r="AI578">
        <v>1</v>
      </c>
      <c r="AJ578" t="s">
        <v>1627</v>
      </c>
      <c r="AK578" t="s">
        <v>56</v>
      </c>
      <c r="AL578" t="s">
        <v>56</v>
      </c>
      <c r="AM578" t="s">
        <v>56</v>
      </c>
      <c r="AN578" t="s">
        <v>56</v>
      </c>
      <c r="AO578" t="s">
        <v>3992</v>
      </c>
      <c r="AP578" t="s">
        <v>3889</v>
      </c>
      <c r="AQ578" t="s">
        <v>3890</v>
      </c>
      <c r="AR578" t="s">
        <v>3926</v>
      </c>
      <c r="AS578" t="s">
        <v>3927</v>
      </c>
      <c r="AT578" t="s">
        <v>4273</v>
      </c>
      <c r="AU578" t="s">
        <v>3894</v>
      </c>
      <c r="AV578" t="s">
        <v>3895</v>
      </c>
      <c r="AW578" t="s">
        <v>3896</v>
      </c>
      <c r="AX578">
        <v>12</v>
      </c>
      <c r="AY578">
        <v>2</v>
      </c>
      <c r="AZ578" t="s">
        <v>3897</v>
      </c>
      <c r="BA578">
        <v>10</v>
      </c>
      <c r="BB578" t="s">
        <v>3898</v>
      </c>
      <c r="BC578">
        <v>2</v>
      </c>
      <c r="BD578">
        <v>5</v>
      </c>
      <c r="BE578" t="s">
        <v>3899</v>
      </c>
      <c r="BF578">
        <v>2</v>
      </c>
      <c r="BG578">
        <v>13</v>
      </c>
      <c r="BH578" t="s">
        <v>3900</v>
      </c>
      <c r="BI578" t="s">
        <v>5473</v>
      </c>
      <c r="BJ578">
        <v>1</v>
      </c>
      <c r="BK578" t="s">
        <v>3902</v>
      </c>
    </row>
    <row r="579" spans="1:63" x14ac:dyDescent="0.25">
      <c r="A579">
        <v>4563</v>
      </c>
      <c r="B579" t="str">
        <f>"20200130173017146261"</f>
        <v>20200130173017146261</v>
      </c>
      <c r="C579">
        <v>1</v>
      </c>
      <c r="D579">
        <v>1</v>
      </c>
      <c r="E579" t="s">
        <v>3886</v>
      </c>
      <c r="F579">
        <v>2</v>
      </c>
      <c r="G579">
        <v>0</v>
      </c>
      <c r="H579" t="s">
        <v>66</v>
      </c>
      <c r="I579">
        <v>0</v>
      </c>
      <c r="J579" t="s">
        <v>66</v>
      </c>
      <c r="K579">
        <v>0</v>
      </c>
      <c r="L579" t="s">
        <v>66</v>
      </c>
      <c r="M579" t="s">
        <v>56</v>
      </c>
      <c r="N579">
        <v>0</v>
      </c>
      <c r="O579" t="s">
        <v>66</v>
      </c>
      <c r="P579" t="s">
        <v>56</v>
      </c>
      <c r="Q579">
        <v>0</v>
      </c>
      <c r="R579" t="s">
        <v>66</v>
      </c>
      <c r="S579" t="s">
        <v>56</v>
      </c>
      <c r="T579">
        <v>1</v>
      </c>
      <c r="U579" t="s">
        <v>1627</v>
      </c>
      <c r="V579" t="s">
        <v>56</v>
      </c>
      <c r="W579">
        <v>0</v>
      </c>
      <c r="X579" t="s">
        <v>66</v>
      </c>
      <c r="Y579" t="s">
        <v>56</v>
      </c>
      <c r="Z579">
        <v>0</v>
      </c>
      <c r="AA579" t="s">
        <v>66</v>
      </c>
      <c r="AB579" t="s">
        <v>56</v>
      </c>
      <c r="AC579">
        <v>1</v>
      </c>
      <c r="AD579" t="s">
        <v>1627</v>
      </c>
      <c r="AE579" t="s">
        <v>3887</v>
      </c>
      <c r="AF579">
        <v>0</v>
      </c>
      <c r="AG579" t="s">
        <v>66</v>
      </c>
      <c r="AH579" t="s">
        <v>56</v>
      </c>
      <c r="AI579">
        <v>1</v>
      </c>
      <c r="AJ579" t="s">
        <v>1627</v>
      </c>
      <c r="AK579" t="s">
        <v>56</v>
      </c>
      <c r="AL579" t="s">
        <v>56</v>
      </c>
      <c r="AM579" t="s">
        <v>56</v>
      </c>
      <c r="AN579" t="s">
        <v>56</v>
      </c>
      <c r="AO579" t="s">
        <v>3925</v>
      </c>
      <c r="AP579" t="s">
        <v>3889</v>
      </c>
      <c r="AQ579" t="s">
        <v>3890</v>
      </c>
      <c r="AR579" t="s">
        <v>3926</v>
      </c>
      <c r="AS579" t="s">
        <v>3927</v>
      </c>
      <c r="AT579" t="s">
        <v>5474</v>
      </c>
      <c r="AU579" t="s">
        <v>3894</v>
      </c>
      <c r="AV579" t="s">
        <v>3895</v>
      </c>
      <c r="AW579" t="s">
        <v>3896</v>
      </c>
      <c r="AX579">
        <v>8</v>
      </c>
      <c r="AY579">
        <v>2</v>
      </c>
      <c r="AZ579" t="s">
        <v>3897</v>
      </c>
      <c r="BA579">
        <v>10</v>
      </c>
      <c r="BB579" t="s">
        <v>3898</v>
      </c>
      <c r="BC579">
        <v>3</v>
      </c>
      <c r="BD579">
        <v>5</v>
      </c>
      <c r="BE579" t="s">
        <v>3899</v>
      </c>
      <c r="BF579">
        <v>3</v>
      </c>
      <c r="BG579">
        <v>13</v>
      </c>
      <c r="BH579" t="s">
        <v>3900</v>
      </c>
      <c r="BI579" t="s">
        <v>4576</v>
      </c>
      <c r="BJ579">
        <v>1</v>
      </c>
      <c r="BK579" t="s">
        <v>3902</v>
      </c>
    </row>
    <row r="580" spans="1:63" x14ac:dyDescent="0.25">
      <c r="A580">
        <v>4564</v>
      </c>
      <c r="B580" t="str">
        <f>"20200130118017146446"</f>
        <v>20200130118017146446</v>
      </c>
      <c r="C580">
        <v>1</v>
      </c>
      <c r="D580">
        <v>1</v>
      </c>
      <c r="E580" t="s">
        <v>3886</v>
      </c>
      <c r="F580">
        <v>2</v>
      </c>
      <c r="G580">
        <v>0</v>
      </c>
      <c r="H580" t="s">
        <v>66</v>
      </c>
      <c r="I580">
        <v>0</v>
      </c>
      <c r="J580" t="s">
        <v>66</v>
      </c>
      <c r="K580">
        <v>0</v>
      </c>
      <c r="L580" t="s">
        <v>66</v>
      </c>
      <c r="M580" t="s">
        <v>56</v>
      </c>
      <c r="N580">
        <v>0</v>
      </c>
      <c r="O580" t="s">
        <v>66</v>
      </c>
      <c r="P580" t="s">
        <v>56</v>
      </c>
      <c r="Q580">
        <v>0</v>
      </c>
      <c r="R580" t="s">
        <v>66</v>
      </c>
      <c r="S580" t="s">
        <v>56</v>
      </c>
      <c r="T580">
        <v>1</v>
      </c>
      <c r="U580" t="s">
        <v>1627</v>
      </c>
      <c r="V580" t="s">
        <v>56</v>
      </c>
      <c r="W580">
        <v>0</v>
      </c>
      <c r="X580" t="s">
        <v>66</v>
      </c>
      <c r="Y580" t="s">
        <v>56</v>
      </c>
      <c r="Z580">
        <v>0</v>
      </c>
      <c r="AA580" t="s">
        <v>66</v>
      </c>
      <c r="AB580" t="s">
        <v>56</v>
      </c>
      <c r="AC580">
        <v>1</v>
      </c>
      <c r="AD580" t="s">
        <v>1627</v>
      </c>
      <c r="AE580" t="s">
        <v>3887</v>
      </c>
      <c r="AF580">
        <v>0</v>
      </c>
      <c r="AG580" t="s">
        <v>66</v>
      </c>
      <c r="AH580" t="s">
        <v>56</v>
      </c>
      <c r="AI580">
        <v>1</v>
      </c>
      <c r="AJ580" t="s">
        <v>1627</v>
      </c>
      <c r="AK580" t="s">
        <v>56</v>
      </c>
      <c r="AL580" t="s">
        <v>56</v>
      </c>
      <c r="AM580" t="s">
        <v>56</v>
      </c>
      <c r="AN580" t="s">
        <v>56</v>
      </c>
      <c r="AO580" t="s">
        <v>3925</v>
      </c>
      <c r="AP580" t="s">
        <v>3889</v>
      </c>
      <c r="AQ580" t="s">
        <v>3890</v>
      </c>
      <c r="AR580" t="s">
        <v>3926</v>
      </c>
      <c r="AS580" t="s">
        <v>3927</v>
      </c>
      <c r="AT580" t="s">
        <v>5363</v>
      </c>
      <c r="AU580" t="s">
        <v>3894</v>
      </c>
      <c r="AV580" t="s">
        <v>3895</v>
      </c>
      <c r="AW580" t="s">
        <v>3896</v>
      </c>
      <c r="AX580">
        <v>8</v>
      </c>
      <c r="AY580">
        <v>2</v>
      </c>
      <c r="AZ580" t="s">
        <v>3897</v>
      </c>
      <c r="BA580">
        <v>10</v>
      </c>
      <c r="BB580" t="s">
        <v>3898</v>
      </c>
      <c r="BC580">
        <v>3</v>
      </c>
      <c r="BD580">
        <v>5</v>
      </c>
      <c r="BE580" t="s">
        <v>3899</v>
      </c>
      <c r="BF580">
        <v>3</v>
      </c>
      <c r="BG580">
        <v>13</v>
      </c>
      <c r="BH580" t="s">
        <v>3900</v>
      </c>
      <c r="BI580" t="s">
        <v>4576</v>
      </c>
      <c r="BJ580">
        <v>1</v>
      </c>
      <c r="BK580" t="s">
        <v>3902</v>
      </c>
    </row>
    <row r="581" spans="1:63" x14ac:dyDescent="0.25">
      <c r="A581">
        <v>4565</v>
      </c>
      <c r="B581" t="str">
        <f>"20200130133017146651"</f>
        <v>20200130133017146651</v>
      </c>
      <c r="C581">
        <v>1</v>
      </c>
      <c r="D581">
        <v>1</v>
      </c>
      <c r="E581" t="s">
        <v>3886</v>
      </c>
      <c r="F581">
        <v>2</v>
      </c>
      <c r="G581">
        <v>0</v>
      </c>
      <c r="H581" t="s">
        <v>66</v>
      </c>
      <c r="I581">
        <v>0</v>
      </c>
      <c r="J581" t="s">
        <v>66</v>
      </c>
      <c r="K581">
        <v>0</v>
      </c>
      <c r="L581" t="s">
        <v>66</v>
      </c>
      <c r="M581" t="s">
        <v>56</v>
      </c>
      <c r="N581">
        <v>0</v>
      </c>
      <c r="O581" t="s">
        <v>66</v>
      </c>
      <c r="P581" t="s">
        <v>56</v>
      </c>
      <c r="Q581">
        <v>0</v>
      </c>
      <c r="R581" t="s">
        <v>66</v>
      </c>
      <c r="S581" t="s">
        <v>56</v>
      </c>
      <c r="T581">
        <v>1</v>
      </c>
      <c r="U581" t="s">
        <v>1627</v>
      </c>
      <c r="V581" t="s">
        <v>56</v>
      </c>
      <c r="W581">
        <v>0</v>
      </c>
      <c r="X581" t="s">
        <v>66</v>
      </c>
      <c r="Y581" t="s">
        <v>56</v>
      </c>
      <c r="Z581">
        <v>0</v>
      </c>
      <c r="AA581" t="s">
        <v>66</v>
      </c>
      <c r="AB581" t="s">
        <v>56</v>
      </c>
      <c r="AC581">
        <v>1</v>
      </c>
      <c r="AD581" t="s">
        <v>1627</v>
      </c>
      <c r="AE581" t="s">
        <v>3887</v>
      </c>
      <c r="AF581">
        <v>0</v>
      </c>
      <c r="AG581" t="s">
        <v>66</v>
      </c>
      <c r="AH581" t="s">
        <v>56</v>
      </c>
      <c r="AI581">
        <v>1</v>
      </c>
      <c r="AJ581" t="s">
        <v>1627</v>
      </c>
      <c r="AK581" t="s">
        <v>56</v>
      </c>
      <c r="AL581" t="s">
        <v>56</v>
      </c>
      <c r="AM581" t="s">
        <v>56</v>
      </c>
      <c r="AN581" t="s">
        <v>56</v>
      </c>
      <c r="AO581" t="s">
        <v>3952</v>
      </c>
      <c r="AP581" t="s">
        <v>3889</v>
      </c>
      <c r="AQ581" t="s">
        <v>3890</v>
      </c>
      <c r="AR581" t="s">
        <v>3953</v>
      </c>
      <c r="AS581" t="s">
        <v>3954</v>
      </c>
      <c r="AT581" t="s">
        <v>5475</v>
      </c>
      <c r="AU581">
        <v>9000</v>
      </c>
      <c r="AV581" t="s">
        <v>3956</v>
      </c>
      <c r="AW581" t="s">
        <v>3956</v>
      </c>
      <c r="AX581">
        <v>1</v>
      </c>
      <c r="AY581">
        <v>5</v>
      </c>
      <c r="AZ581" t="s">
        <v>3899</v>
      </c>
      <c r="BA581">
        <v>10</v>
      </c>
      <c r="BB581" t="s">
        <v>3898</v>
      </c>
      <c r="BC581">
        <v>1</v>
      </c>
      <c r="BD581">
        <v>5</v>
      </c>
      <c r="BE581" t="s">
        <v>3899</v>
      </c>
      <c r="BF581">
        <v>1</v>
      </c>
      <c r="BG581" t="s">
        <v>3912</v>
      </c>
      <c r="BH581" t="s">
        <v>3913</v>
      </c>
      <c r="BI581" t="s">
        <v>5476</v>
      </c>
      <c r="BJ581">
        <v>1</v>
      </c>
      <c r="BK581" t="s">
        <v>3902</v>
      </c>
    </row>
    <row r="582" spans="1:63" x14ac:dyDescent="0.25">
      <c r="A582">
        <v>4566</v>
      </c>
      <c r="B582" t="str">
        <f>"20200130110017146721"</f>
        <v>20200130110017146721</v>
      </c>
      <c r="C582">
        <v>1</v>
      </c>
      <c r="D582">
        <v>1</v>
      </c>
      <c r="E582" t="s">
        <v>3886</v>
      </c>
      <c r="F582">
        <v>2</v>
      </c>
      <c r="G582">
        <v>0</v>
      </c>
      <c r="H582" t="s">
        <v>66</v>
      </c>
      <c r="I582">
        <v>0</v>
      </c>
      <c r="J582" t="s">
        <v>66</v>
      </c>
      <c r="K582">
        <v>0</v>
      </c>
      <c r="L582" t="s">
        <v>66</v>
      </c>
      <c r="M582" t="s">
        <v>56</v>
      </c>
      <c r="N582">
        <v>0</v>
      </c>
      <c r="O582" t="s">
        <v>66</v>
      </c>
      <c r="P582" t="s">
        <v>56</v>
      </c>
      <c r="Q582">
        <v>0</v>
      </c>
      <c r="R582" t="s">
        <v>66</v>
      </c>
      <c r="S582" t="s">
        <v>56</v>
      </c>
      <c r="T582">
        <v>1</v>
      </c>
      <c r="U582" t="s">
        <v>1627</v>
      </c>
      <c r="V582" t="s">
        <v>56</v>
      </c>
      <c r="W582">
        <v>0</v>
      </c>
      <c r="X582" t="s">
        <v>66</v>
      </c>
      <c r="Y582" t="s">
        <v>56</v>
      </c>
      <c r="Z582">
        <v>0</v>
      </c>
      <c r="AA582" t="s">
        <v>66</v>
      </c>
      <c r="AB582" t="s">
        <v>56</v>
      </c>
      <c r="AC582">
        <v>1</v>
      </c>
      <c r="AD582" t="s">
        <v>1627</v>
      </c>
      <c r="AE582" t="s">
        <v>3887</v>
      </c>
      <c r="AF582">
        <v>0</v>
      </c>
      <c r="AG582" t="s">
        <v>66</v>
      </c>
      <c r="AH582" t="s">
        <v>56</v>
      </c>
      <c r="AI582">
        <v>1</v>
      </c>
      <c r="AJ582" t="s">
        <v>1627</v>
      </c>
      <c r="AK582" t="s">
        <v>56</v>
      </c>
      <c r="AL582" t="s">
        <v>56</v>
      </c>
      <c r="AM582" t="s">
        <v>56</v>
      </c>
      <c r="AN582" t="s">
        <v>56</v>
      </c>
      <c r="AO582" t="s">
        <v>4139</v>
      </c>
      <c r="AP582" t="s">
        <v>3889</v>
      </c>
      <c r="AQ582" t="s">
        <v>3890</v>
      </c>
      <c r="AR582" t="s">
        <v>3891</v>
      </c>
      <c r="AS582" t="s">
        <v>3892</v>
      </c>
      <c r="AT582" t="s">
        <v>5477</v>
      </c>
      <c r="AU582" t="s">
        <v>3894</v>
      </c>
      <c r="AV582" t="s">
        <v>3895</v>
      </c>
      <c r="AW582" t="s">
        <v>3896</v>
      </c>
      <c r="AX582">
        <v>12</v>
      </c>
      <c r="AY582">
        <v>2</v>
      </c>
      <c r="AZ582" t="s">
        <v>3897</v>
      </c>
      <c r="BA582">
        <v>10</v>
      </c>
      <c r="BB582" t="s">
        <v>3898</v>
      </c>
      <c r="BC582">
        <v>3</v>
      </c>
      <c r="BD582">
        <v>5</v>
      </c>
      <c r="BE582" t="s">
        <v>3899</v>
      </c>
      <c r="BF582">
        <v>3</v>
      </c>
      <c r="BG582">
        <v>13</v>
      </c>
      <c r="BH582" t="s">
        <v>3900</v>
      </c>
      <c r="BI582" t="s">
        <v>5478</v>
      </c>
      <c r="BJ582">
        <v>1</v>
      </c>
      <c r="BK582" t="s">
        <v>3902</v>
      </c>
    </row>
    <row r="583" spans="1:63" x14ac:dyDescent="0.25">
      <c r="A583">
        <v>4567</v>
      </c>
      <c r="B583" t="str">
        <f>"20200130137017146750"</f>
        <v>20200130137017146750</v>
      </c>
      <c r="C583">
        <v>1</v>
      </c>
      <c r="D583">
        <v>1</v>
      </c>
      <c r="E583" t="s">
        <v>3886</v>
      </c>
      <c r="F583">
        <v>2</v>
      </c>
      <c r="G583">
        <v>0</v>
      </c>
      <c r="H583" t="s">
        <v>66</v>
      </c>
      <c r="I583">
        <v>0</v>
      </c>
      <c r="J583" t="s">
        <v>66</v>
      </c>
      <c r="K583">
        <v>0</v>
      </c>
      <c r="L583" t="s">
        <v>66</v>
      </c>
      <c r="M583" t="s">
        <v>56</v>
      </c>
      <c r="N583">
        <v>0</v>
      </c>
      <c r="O583" t="s">
        <v>66</v>
      </c>
      <c r="P583" t="s">
        <v>56</v>
      </c>
      <c r="Q583">
        <v>0</v>
      </c>
      <c r="R583" t="s">
        <v>66</v>
      </c>
      <c r="S583" t="s">
        <v>56</v>
      </c>
      <c r="T583">
        <v>1</v>
      </c>
      <c r="U583" t="s">
        <v>1627</v>
      </c>
      <c r="V583" t="s">
        <v>56</v>
      </c>
      <c r="W583">
        <v>0</v>
      </c>
      <c r="X583" t="s">
        <v>66</v>
      </c>
      <c r="Y583" t="s">
        <v>56</v>
      </c>
      <c r="Z583">
        <v>0</v>
      </c>
      <c r="AA583" t="s">
        <v>66</v>
      </c>
      <c r="AB583" t="s">
        <v>56</v>
      </c>
      <c r="AC583">
        <v>1</v>
      </c>
      <c r="AD583" t="s">
        <v>1627</v>
      </c>
      <c r="AE583" t="s">
        <v>3887</v>
      </c>
      <c r="AF583">
        <v>0</v>
      </c>
      <c r="AG583" t="s">
        <v>66</v>
      </c>
      <c r="AH583" t="s">
        <v>56</v>
      </c>
      <c r="AI583">
        <v>1</v>
      </c>
      <c r="AJ583" t="s">
        <v>1627</v>
      </c>
      <c r="AK583" t="s">
        <v>56</v>
      </c>
      <c r="AL583" t="s">
        <v>56</v>
      </c>
      <c r="AM583" t="s">
        <v>56</v>
      </c>
      <c r="AN583" t="s">
        <v>56</v>
      </c>
      <c r="AO583" t="s">
        <v>4139</v>
      </c>
      <c r="AP583" t="s">
        <v>3889</v>
      </c>
      <c r="AQ583" t="s">
        <v>3890</v>
      </c>
      <c r="AR583" t="s">
        <v>3926</v>
      </c>
      <c r="AS583" t="s">
        <v>3927</v>
      </c>
      <c r="AT583" t="s">
        <v>5479</v>
      </c>
      <c r="AU583" t="s">
        <v>3929</v>
      </c>
      <c r="AV583" t="s">
        <v>3930</v>
      </c>
      <c r="AW583" t="s">
        <v>3931</v>
      </c>
      <c r="AX583">
        <v>12</v>
      </c>
      <c r="AY583">
        <v>2</v>
      </c>
      <c r="AZ583" t="s">
        <v>3897</v>
      </c>
      <c r="BA583">
        <v>10</v>
      </c>
      <c r="BB583" t="s">
        <v>3898</v>
      </c>
      <c r="BC583">
        <v>6</v>
      </c>
      <c r="BD583">
        <v>5</v>
      </c>
      <c r="BE583" t="s">
        <v>3899</v>
      </c>
      <c r="BF583">
        <v>6</v>
      </c>
      <c r="BG583">
        <v>13</v>
      </c>
      <c r="BH583" t="s">
        <v>3900</v>
      </c>
      <c r="BI583" t="s">
        <v>5480</v>
      </c>
      <c r="BJ583">
        <v>1</v>
      </c>
      <c r="BK583" t="s">
        <v>3902</v>
      </c>
    </row>
    <row r="584" spans="1:63" x14ac:dyDescent="0.25">
      <c r="A584">
        <v>4568</v>
      </c>
      <c r="B584" t="str">
        <f>"20200130137017147105"</f>
        <v>20200130137017147105</v>
      </c>
      <c r="C584">
        <v>1</v>
      </c>
      <c r="D584">
        <v>1</v>
      </c>
      <c r="E584" t="s">
        <v>3886</v>
      </c>
      <c r="F584">
        <v>1</v>
      </c>
      <c r="G584">
        <v>0</v>
      </c>
      <c r="H584" t="s">
        <v>66</v>
      </c>
      <c r="I584">
        <v>0</v>
      </c>
      <c r="J584" t="s">
        <v>66</v>
      </c>
      <c r="K584">
        <v>0</v>
      </c>
      <c r="L584" t="s">
        <v>66</v>
      </c>
      <c r="M584" t="s">
        <v>56</v>
      </c>
      <c r="N584">
        <v>0</v>
      </c>
      <c r="O584" t="s">
        <v>66</v>
      </c>
      <c r="P584" t="s">
        <v>56</v>
      </c>
      <c r="Q584">
        <v>0</v>
      </c>
      <c r="R584" t="s">
        <v>66</v>
      </c>
      <c r="S584" t="s">
        <v>56</v>
      </c>
      <c r="T584">
        <v>1</v>
      </c>
      <c r="U584" t="s">
        <v>1627</v>
      </c>
      <c r="V584" t="s">
        <v>56</v>
      </c>
      <c r="W584">
        <v>0</v>
      </c>
      <c r="X584" t="s">
        <v>66</v>
      </c>
      <c r="Y584" t="s">
        <v>56</v>
      </c>
      <c r="Z584">
        <v>0</v>
      </c>
      <c r="AA584" t="s">
        <v>66</v>
      </c>
      <c r="AB584" t="s">
        <v>56</v>
      </c>
      <c r="AC584">
        <v>1</v>
      </c>
      <c r="AD584" t="s">
        <v>1627</v>
      </c>
      <c r="AE584" t="s">
        <v>3887</v>
      </c>
      <c r="AF584">
        <v>0</v>
      </c>
      <c r="AG584" t="s">
        <v>66</v>
      </c>
      <c r="AH584" t="s">
        <v>56</v>
      </c>
      <c r="AI584">
        <v>1</v>
      </c>
      <c r="AJ584" t="s">
        <v>1627</v>
      </c>
      <c r="AK584" t="s">
        <v>56</v>
      </c>
      <c r="AL584" t="s">
        <v>56</v>
      </c>
      <c r="AM584" t="s">
        <v>56</v>
      </c>
      <c r="AN584" t="s">
        <v>56</v>
      </c>
      <c r="AO584" t="s">
        <v>3995</v>
      </c>
      <c r="AP584" t="s">
        <v>3996</v>
      </c>
      <c r="AQ584" t="s">
        <v>3997</v>
      </c>
      <c r="AR584" t="s">
        <v>3926</v>
      </c>
      <c r="AS584" t="s">
        <v>3927</v>
      </c>
      <c r="AT584" t="s">
        <v>5481</v>
      </c>
      <c r="AU584">
        <v>9000</v>
      </c>
      <c r="AV584" t="s">
        <v>3956</v>
      </c>
      <c r="AW584" t="s">
        <v>3956</v>
      </c>
      <c r="AX584">
        <v>8</v>
      </c>
      <c r="AY584">
        <v>2</v>
      </c>
      <c r="AZ584" t="s">
        <v>3897</v>
      </c>
      <c r="BA584">
        <v>10</v>
      </c>
      <c r="BB584" t="s">
        <v>3898</v>
      </c>
      <c r="BC584">
        <v>20</v>
      </c>
      <c r="BD584">
        <v>3</v>
      </c>
      <c r="BE584" t="s">
        <v>3911</v>
      </c>
      <c r="BF584">
        <v>1</v>
      </c>
      <c r="BG584">
        <v>73</v>
      </c>
      <c r="BH584" t="s">
        <v>3999</v>
      </c>
      <c r="BI584" t="s">
        <v>5482</v>
      </c>
      <c r="BJ584">
        <v>1</v>
      </c>
      <c r="BK584" t="s">
        <v>3902</v>
      </c>
    </row>
    <row r="585" spans="1:63" x14ac:dyDescent="0.25">
      <c r="A585">
        <v>4569</v>
      </c>
      <c r="B585" t="str">
        <f>"20200130196017147222"</f>
        <v>20200130196017147222</v>
      </c>
      <c r="C585">
        <v>1</v>
      </c>
      <c r="D585">
        <v>1</v>
      </c>
      <c r="E585" t="s">
        <v>3886</v>
      </c>
      <c r="F585">
        <v>2</v>
      </c>
      <c r="G585">
        <v>0</v>
      </c>
      <c r="H585" t="s">
        <v>66</v>
      </c>
      <c r="I585">
        <v>0</v>
      </c>
      <c r="J585" t="s">
        <v>66</v>
      </c>
      <c r="K585">
        <v>1</v>
      </c>
      <c r="L585" t="s">
        <v>1627</v>
      </c>
      <c r="M585" t="s">
        <v>4030</v>
      </c>
      <c r="N585">
        <v>1</v>
      </c>
      <c r="O585" t="s">
        <v>1627</v>
      </c>
      <c r="P585" t="s">
        <v>5483</v>
      </c>
      <c r="Q585">
        <v>0</v>
      </c>
      <c r="R585" t="s">
        <v>66</v>
      </c>
      <c r="S585" t="s">
        <v>56</v>
      </c>
      <c r="T585" t="s">
        <v>56</v>
      </c>
      <c r="U585" t="s">
        <v>56</v>
      </c>
      <c r="V585" t="s">
        <v>56</v>
      </c>
      <c r="W585">
        <v>0</v>
      </c>
      <c r="X585" t="s">
        <v>66</v>
      </c>
      <c r="Y585" t="s">
        <v>56</v>
      </c>
      <c r="Z585">
        <v>0</v>
      </c>
      <c r="AA585" t="s">
        <v>66</v>
      </c>
      <c r="AB585" t="s">
        <v>56</v>
      </c>
      <c r="AC585">
        <v>0</v>
      </c>
      <c r="AD585" t="s">
        <v>66</v>
      </c>
      <c r="AE585" t="s">
        <v>56</v>
      </c>
      <c r="AF585">
        <v>0</v>
      </c>
      <c r="AG585" t="s">
        <v>66</v>
      </c>
      <c r="AH585" t="s">
        <v>56</v>
      </c>
      <c r="AI585">
        <v>1</v>
      </c>
      <c r="AJ585" t="s">
        <v>1627</v>
      </c>
      <c r="AK585" t="s">
        <v>56</v>
      </c>
      <c r="AL585" t="s">
        <v>56</v>
      </c>
      <c r="AM585" t="s">
        <v>56</v>
      </c>
      <c r="AN585" t="s">
        <v>56</v>
      </c>
      <c r="AO585" t="s">
        <v>5484</v>
      </c>
      <c r="AP585" t="s">
        <v>3962</v>
      </c>
      <c r="AQ585" t="s">
        <v>3963</v>
      </c>
      <c r="AR585" t="s">
        <v>3941</v>
      </c>
      <c r="AS585" t="s">
        <v>3942</v>
      </c>
      <c r="AT585" t="s">
        <v>5485</v>
      </c>
      <c r="AU585" t="s">
        <v>3944</v>
      </c>
      <c r="AV585" t="s">
        <v>3945</v>
      </c>
      <c r="AW585" t="s">
        <v>3946</v>
      </c>
      <c r="AX585">
        <v>24</v>
      </c>
      <c r="AY585">
        <v>2</v>
      </c>
      <c r="AZ585" t="s">
        <v>3897</v>
      </c>
      <c r="BA585">
        <v>10</v>
      </c>
      <c r="BB585" t="s">
        <v>3898</v>
      </c>
      <c r="BC585">
        <v>90</v>
      </c>
      <c r="BD585">
        <v>3</v>
      </c>
      <c r="BE585" t="s">
        <v>3911</v>
      </c>
      <c r="BF585">
        <v>90</v>
      </c>
      <c r="BG585">
        <v>14</v>
      </c>
      <c r="BH585" t="s">
        <v>3947</v>
      </c>
      <c r="BI585" t="s">
        <v>5486</v>
      </c>
      <c r="BJ585">
        <v>1</v>
      </c>
      <c r="BK585" t="s">
        <v>3902</v>
      </c>
    </row>
    <row r="586" spans="1:63" x14ac:dyDescent="0.25">
      <c r="A586">
        <v>4570</v>
      </c>
      <c r="B586" t="str">
        <f>"20200130119017147333"</f>
        <v>20200130119017147333</v>
      </c>
      <c r="C586">
        <v>1</v>
      </c>
      <c r="D586">
        <v>1</v>
      </c>
      <c r="E586" t="s">
        <v>3886</v>
      </c>
      <c r="F586">
        <v>2</v>
      </c>
      <c r="G586">
        <v>0</v>
      </c>
      <c r="H586" t="s">
        <v>66</v>
      </c>
      <c r="I586">
        <v>0</v>
      </c>
      <c r="J586" t="s">
        <v>66</v>
      </c>
      <c r="K586">
        <v>1</v>
      </c>
      <c r="L586" t="s">
        <v>1627</v>
      </c>
      <c r="M586" t="s">
        <v>4241</v>
      </c>
      <c r="N586">
        <v>1</v>
      </c>
      <c r="O586" t="s">
        <v>1627</v>
      </c>
      <c r="P586" t="s">
        <v>5487</v>
      </c>
      <c r="Q586">
        <v>0</v>
      </c>
      <c r="R586" t="s">
        <v>66</v>
      </c>
      <c r="S586" t="s">
        <v>56</v>
      </c>
      <c r="T586" t="s">
        <v>56</v>
      </c>
      <c r="U586" t="s">
        <v>56</v>
      </c>
      <c r="V586" t="s">
        <v>56</v>
      </c>
      <c r="W586">
        <v>0</v>
      </c>
      <c r="X586" t="s">
        <v>66</v>
      </c>
      <c r="Y586" t="s">
        <v>56</v>
      </c>
      <c r="Z586">
        <v>0</v>
      </c>
      <c r="AA586" t="s">
        <v>66</v>
      </c>
      <c r="AB586" t="s">
        <v>56</v>
      </c>
      <c r="AC586">
        <v>0</v>
      </c>
      <c r="AD586" t="s">
        <v>66</v>
      </c>
      <c r="AE586" t="s">
        <v>56</v>
      </c>
      <c r="AF586">
        <v>0</v>
      </c>
      <c r="AG586" t="s">
        <v>66</v>
      </c>
      <c r="AH586" t="s">
        <v>56</v>
      </c>
      <c r="AI586">
        <v>1</v>
      </c>
      <c r="AJ586" t="s">
        <v>1627</v>
      </c>
      <c r="AK586" t="s">
        <v>56</v>
      </c>
      <c r="AL586" t="s">
        <v>56</v>
      </c>
      <c r="AM586" t="s">
        <v>56</v>
      </c>
      <c r="AN586" t="s">
        <v>56</v>
      </c>
      <c r="AO586" t="s">
        <v>3988</v>
      </c>
      <c r="AP586" t="s">
        <v>3918</v>
      </c>
      <c r="AQ586" t="s">
        <v>3919</v>
      </c>
      <c r="AR586" t="s">
        <v>3920</v>
      </c>
      <c r="AS586" t="s">
        <v>3921</v>
      </c>
      <c r="AT586" t="s">
        <v>5488</v>
      </c>
      <c r="AU586" t="s">
        <v>3907</v>
      </c>
      <c r="AV586" t="s">
        <v>3908</v>
      </c>
      <c r="AW586" t="s">
        <v>3909</v>
      </c>
      <c r="AX586">
        <v>12</v>
      </c>
      <c r="AY586">
        <v>2</v>
      </c>
      <c r="AZ586" t="s">
        <v>3897</v>
      </c>
      <c r="BA586">
        <v>10</v>
      </c>
      <c r="BB586" t="s">
        <v>3898</v>
      </c>
      <c r="BC586">
        <v>3</v>
      </c>
      <c r="BD586">
        <v>5</v>
      </c>
      <c r="BE586" t="s">
        <v>3899</v>
      </c>
      <c r="BF586">
        <v>3</v>
      </c>
      <c r="BG586">
        <v>27</v>
      </c>
      <c r="BH586" t="s">
        <v>3990</v>
      </c>
      <c r="BI586" t="s">
        <v>5489</v>
      </c>
      <c r="BJ586">
        <v>1</v>
      </c>
      <c r="BK586" t="s">
        <v>3902</v>
      </c>
    </row>
    <row r="587" spans="1:63" x14ac:dyDescent="0.25">
      <c r="A587">
        <v>4571</v>
      </c>
      <c r="B587" t="str">
        <f>"20200130119017147333"</f>
        <v>20200130119017147333</v>
      </c>
      <c r="C587">
        <v>2</v>
      </c>
      <c r="D587">
        <v>1</v>
      </c>
      <c r="E587" t="s">
        <v>3886</v>
      </c>
      <c r="F587">
        <v>2</v>
      </c>
      <c r="G587">
        <v>0</v>
      </c>
      <c r="H587" t="s">
        <v>66</v>
      </c>
      <c r="I587">
        <v>0</v>
      </c>
      <c r="J587" t="s">
        <v>66</v>
      </c>
      <c r="K587">
        <v>1</v>
      </c>
      <c r="L587" t="s">
        <v>1627</v>
      </c>
      <c r="M587" t="s">
        <v>4241</v>
      </c>
      <c r="N587">
        <v>1</v>
      </c>
      <c r="O587" t="s">
        <v>1627</v>
      </c>
      <c r="P587" t="s">
        <v>5490</v>
      </c>
      <c r="Q587">
        <v>0</v>
      </c>
      <c r="R587" t="s">
        <v>66</v>
      </c>
      <c r="S587" t="s">
        <v>56</v>
      </c>
      <c r="T587" t="s">
        <v>56</v>
      </c>
      <c r="U587" t="s">
        <v>56</v>
      </c>
      <c r="V587" t="s">
        <v>56</v>
      </c>
      <c r="W587">
        <v>0</v>
      </c>
      <c r="X587" t="s">
        <v>66</v>
      </c>
      <c r="Y587" t="s">
        <v>56</v>
      </c>
      <c r="Z587">
        <v>0</v>
      </c>
      <c r="AA587" t="s">
        <v>66</v>
      </c>
      <c r="AB587" t="s">
        <v>56</v>
      </c>
      <c r="AC587">
        <v>0</v>
      </c>
      <c r="AD587" t="s">
        <v>66</v>
      </c>
      <c r="AE587" t="s">
        <v>56</v>
      </c>
      <c r="AF587">
        <v>0</v>
      </c>
      <c r="AG587" t="s">
        <v>66</v>
      </c>
      <c r="AH587" t="s">
        <v>56</v>
      </c>
      <c r="AI587">
        <v>1</v>
      </c>
      <c r="AJ587" t="s">
        <v>1627</v>
      </c>
      <c r="AK587" t="s">
        <v>56</v>
      </c>
      <c r="AL587" t="s">
        <v>56</v>
      </c>
      <c r="AM587" t="s">
        <v>56</v>
      </c>
      <c r="AN587" t="s">
        <v>56</v>
      </c>
      <c r="AO587" t="s">
        <v>5491</v>
      </c>
      <c r="AP587" t="s">
        <v>3939</v>
      </c>
      <c r="AQ587" t="s">
        <v>3940</v>
      </c>
      <c r="AR587">
        <v>503</v>
      </c>
      <c r="AS587" t="s">
        <v>4060</v>
      </c>
      <c r="AT587" t="s">
        <v>5492</v>
      </c>
      <c r="AU587" t="s">
        <v>3907</v>
      </c>
      <c r="AV587" t="s">
        <v>3908</v>
      </c>
      <c r="AW587" t="s">
        <v>3909</v>
      </c>
      <c r="AX587">
        <v>8</v>
      </c>
      <c r="AY587">
        <v>2</v>
      </c>
      <c r="AZ587" t="s">
        <v>3897</v>
      </c>
      <c r="BA587">
        <v>10</v>
      </c>
      <c r="BB587" t="s">
        <v>3898</v>
      </c>
      <c r="BC587">
        <v>3</v>
      </c>
      <c r="BD587">
        <v>5</v>
      </c>
      <c r="BE587" t="s">
        <v>3899</v>
      </c>
      <c r="BF587">
        <v>270</v>
      </c>
      <c r="BG587">
        <v>14</v>
      </c>
      <c r="BH587" t="s">
        <v>3947</v>
      </c>
      <c r="BI587" t="s">
        <v>5231</v>
      </c>
      <c r="BJ587">
        <v>1</v>
      </c>
      <c r="BK587" t="s">
        <v>3902</v>
      </c>
    </row>
    <row r="588" spans="1:63" x14ac:dyDescent="0.25">
      <c r="A588">
        <v>4572</v>
      </c>
      <c r="B588" t="str">
        <f>"20200130160017147414"</f>
        <v>20200130160017147414</v>
      </c>
      <c r="C588">
        <v>1</v>
      </c>
      <c r="D588">
        <v>1</v>
      </c>
      <c r="E588" t="s">
        <v>3886</v>
      </c>
      <c r="F588">
        <v>2</v>
      </c>
      <c r="G588">
        <v>0</v>
      </c>
      <c r="H588" t="s">
        <v>66</v>
      </c>
      <c r="I588">
        <v>0</v>
      </c>
      <c r="J588" t="s">
        <v>66</v>
      </c>
      <c r="K588">
        <v>0</v>
      </c>
      <c r="L588" t="s">
        <v>66</v>
      </c>
      <c r="M588" t="s">
        <v>56</v>
      </c>
      <c r="N588">
        <v>0</v>
      </c>
      <c r="O588" t="s">
        <v>66</v>
      </c>
      <c r="P588" t="s">
        <v>56</v>
      </c>
      <c r="Q588">
        <v>0</v>
      </c>
      <c r="R588" t="s">
        <v>66</v>
      </c>
      <c r="S588" t="s">
        <v>56</v>
      </c>
      <c r="T588">
        <v>1</v>
      </c>
      <c r="U588" t="s">
        <v>1627</v>
      </c>
      <c r="V588" t="s">
        <v>56</v>
      </c>
      <c r="W588">
        <v>0</v>
      </c>
      <c r="X588" t="s">
        <v>66</v>
      </c>
      <c r="Y588" t="s">
        <v>56</v>
      </c>
      <c r="Z588">
        <v>0</v>
      </c>
      <c r="AA588" t="s">
        <v>66</v>
      </c>
      <c r="AB588" t="s">
        <v>56</v>
      </c>
      <c r="AC588">
        <v>1</v>
      </c>
      <c r="AD588" t="s">
        <v>1627</v>
      </c>
      <c r="AE588" t="s">
        <v>3887</v>
      </c>
      <c r="AF588">
        <v>0</v>
      </c>
      <c r="AG588" t="s">
        <v>66</v>
      </c>
      <c r="AH588" t="s">
        <v>56</v>
      </c>
      <c r="AI588">
        <v>1</v>
      </c>
      <c r="AJ588" t="s">
        <v>1627</v>
      </c>
      <c r="AK588" t="s">
        <v>56</v>
      </c>
      <c r="AL588" t="s">
        <v>56</v>
      </c>
      <c r="AM588" t="s">
        <v>56</v>
      </c>
      <c r="AN588" t="s">
        <v>56</v>
      </c>
      <c r="AO588" t="s">
        <v>4139</v>
      </c>
      <c r="AP588" t="s">
        <v>3889</v>
      </c>
      <c r="AQ588" t="s">
        <v>3890</v>
      </c>
      <c r="AR588" t="s">
        <v>3891</v>
      </c>
      <c r="AS588" t="s">
        <v>3892</v>
      </c>
      <c r="AT588" t="s">
        <v>5493</v>
      </c>
      <c r="AU588" t="s">
        <v>3894</v>
      </c>
      <c r="AV588" t="s">
        <v>3895</v>
      </c>
      <c r="AW588" t="s">
        <v>3896</v>
      </c>
      <c r="AX588">
        <v>12</v>
      </c>
      <c r="AY588">
        <v>2</v>
      </c>
      <c r="AZ588" t="s">
        <v>3897</v>
      </c>
      <c r="BA588">
        <v>10</v>
      </c>
      <c r="BB588" t="s">
        <v>3898</v>
      </c>
      <c r="BC588">
        <v>6</v>
      </c>
      <c r="BD588">
        <v>5</v>
      </c>
      <c r="BE588" t="s">
        <v>3899</v>
      </c>
      <c r="BF588">
        <v>6</v>
      </c>
      <c r="BG588">
        <v>13</v>
      </c>
      <c r="BH588" t="s">
        <v>3900</v>
      </c>
      <c r="BI588" t="s">
        <v>5494</v>
      </c>
      <c r="BJ588">
        <v>1</v>
      </c>
      <c r="BK588" t="s">
        <v>3902</v>
      </c>
    </row>
    <row r="589" spans="1:63" x14ac:dyDescent="0.25">
      <c r="A589">
        <v>4573</v>
      </c>
      <c r="B589" t="str">
        <f>"20200130129017147434"</f>
        <v>20200130129017147434</v>
      </c>
      <c r="C589">
        <v>1</v>
      </c>
      <c r="D589">
        <v>1</v>
      </c>
      <c r="E589" t="s">
        <v>3886</v>
      </c>
      <c r="F589">
        <v>1</v>
      </c>
      <c r="G589">
        <v>0</v>
      </c>
      <c r="H589" t="s">
        <v>66</v>
      </c>
      <c r="I589">
        <v>0</v>
      </c>
      <c r="J589" t="s">
        <v>66</v>
      </c>
      <c r="K589">
        <v>0</v>
      </c>
      <c r="L589" t="s">
        <v>66</v>
      </c>
      <c r="M589" t="s">
        <v>56</v>
      </c>
      <c r="N589">
        <v>0</v>
      </c>
      <c r="O589" t="s">
        <v>66</v>
      </c>
      <c r="P589" t="s">
        <v>56</v>
      </c>
      <c r="Q589">
        <v>0</v>
      </c>
      <c r="R589" t="s">
        <v>66</v>
      </c>
      <c r="S589" t="s">
        <v>56</v>
      </c>
      <c r="T589">
        <v>1</v>
      </c>
      <c r="U589" t="s">
        <v>1627</v>
      </c>
      <c r="V589" t="s">
        <v>56</v>
      </c>
      <c r="W589">
        <v>0</v>
      </c>
      <c r="X589" t="s">
        <v>66</v>
      </c>
      <c r="Y589" t="s">
        <v>56</v>
      </c>
      <c r="Z589">
        <v>0</v>
      </c>
      <c r="AA589" t="s">
        <v>66</v>
      </c>
      <c r="AB589" t="s">
        <v>56</v>
      </c>
      <c r="AC589">
        <v>1</v>
      </c>
      <c r="AD589" t="s">
        <v>1627</v>
      </c>
      <c r="AE589" t="s">
        <v>3887</v>
      </c>
      <c r="AF589">
        <v>0</v>
      </c>
      <c r="AG589" t="s">
        <v>66</v>
      </c>
      <c r="AH589" t="s">
        <v>56</v>
      </c>
      <c r="AI589">
        <v>1</v>
      </c>
      <c r="AJ589" t="s">
        <v>1627</v>
      </c>
      <c r="AK589" t="s">
        <v>56</v>
      </c>
      <c r="AL589" t="s">
        <v>56</v>
      </c>
      <c r="AM589" t="s">
        <v>56</v>
      </c>
      <c r="AN589" t="s">
        <v>56</v>
      </c>
      <c r="AO589" t="s">
        <v>5495</v>
      </c>
      <c r="AP589" t="s">
        <v>3996</v>
      </c>
      <c r="AQ589" t="s">
        <v>3997</v>
      </c>
      <c r="AR589" t="s">
        <v>4071</v>
      </c>
      <c r="AS589" t="s">
        <v>4072</v>
      </c>
      <c r="AT589" t="s">
        <v>5496</v>
      </c>
      <c r="AU589">
        <v>9000</v>
      </c>
      <c r="AV589" t="s">
        <v>3956</v>
      </c>
      <c r="AW589" t="s">
        <v>3956</v>
      </c>
      <c r="AX589">
        <v>4</v>
      </c>
      <c r="AY589">
        <v>2</v>
      </c>
      <c r="AZ589" t="s">
        <v>3897</v>
      </c>
      <c r="BA589">
        <v>10</v>
      </c>
      <c r="BB589" t="s">
        <v>3898</v>
      </c>
      <c r="BC589">
        <v>8</v>
      </c>
      <c r="BD589">
        <v>3</v>
      </c>
      <c r="BE589" t="s">
        <v>3911</v>
      </c>
      <c r="BF589">
        <v>1</v>
      </c>
      <c r="BG589">
        <v>13</v>
      </c>
      <c r="BH589" t="s">
        <v>3900</v>
      </c>
      <c r="BI589" t="s">
        <v>5497</v>
      </c>
      <c r="BJ589">
        <v>1</v>
      </c>
      <c r="BK589" t="s">
        <v>3902</v>
      </c>
    </row>
    <row r="590" spans="1:63" x14ac:dyDescent="0.25">
      <c r="A590">
        <v>4574</v>
      </c>
      <c r="B590" t="str">
        <f>"20200130117017148110"</f>
        <v>20200130117017148110</v>
      </c>
      <c r="C590">
        <v>1</v>
      </c>
      <c r="D590">
        <v>1</v>
      </c>
      <c r="E590" t="s">
        <v>3886</v>
      </c>
      <c r="F590">
        <v>1</v>
      </c>
      <c r="G590">
        <v>0</v>
      </c>
      <c r="H590" t="s">
        <v>66</v>
      </c>
      <c r="I590">
        <v>0</v>
      </c>
      <c r="J590" t="s">
        <v>66</v>
      </c>
      <c r="K590">
        <v>0</v>
      </c>
      <c r="L590" t="s">
        <v>66</v>
      </c>
      <c r="M590" t="s">
        <v>56</v>
      </c>
      <c r="N590">
        <v>0</v>
      </c>
      <c r="O590" t="s">
        <v>66</v>
      </c>
      <c r="P590" t="s">
        <v>56</v>
      </c>
      <c r="Q590">
        <v>0</v>
      </c>
      <c r="R590" t="s">
        <v>66</v>
      </c>
      <c r="S590" t="s">
        <v>56</v>
      </c>
      <c r="T590">
        <v>1</v>
      </c>
      <c r="U590" t="s">
        <v>1627</v>
      </c>
      <c r="V590" t="s">
        <v>56</v>
      </c>
      <c r="W590">
        <v>0</v>
      </c>
      <c r="X590" t="s">
        <v>66</v>
      </c>
      <c r="Y590" t="s">
        <v>56</v>
      </c>
      <c r="Z590">
        <v>0</v>
      </c>
      <c r="AA590" t="s">
        <v>66</v>
      </c>
      <c r="AB590" t="s">
        <v>56</v>
      </c>
      <c r="AC590">
        <v>1</v>
      </c>
      <c r="AD590" t="s">
        <v>1627</v>
      </c>
      <c r="AE590" t="s">
        <v>3887</v>
      </c>
      <c r="AF590">
        <v>0</v>
      </c>
      <c r="AG590" t="s">
        <v>66</v>
      </c>
      <c r="AH590" t="s">
        <v>56</v>
      </c>
      <c r="AI590">
        <v>1</v>
      </c>
      <c r="AJ590" t="s">
        <v>1627</v>
      </c>
      <c r="AK590" t="s">
        <v>56</v>
      </c>
      <c r="AL590" t="s">
        <v>56</v>
      </c>
      <c r="AM590" t="s">
        <v>56</v>
      </c>
      <c r="AN590" t="s">
        <v>56</v>
      </c>
      <c r="AO590" t="s">
        <v>4950</v>
      </c>
      <c r="AP590" t="s">
        <v>3889</v>
      </c>
      <c r="AQ590" t="s">
        <v>3890</v>
      </c>
      <c r="AR590" t="s">
        <v>3953</v>
      </c>
      <c r="AS590" t="s">
        <v>3954</v>
      </c>
      <c r="AT590" t="s">
        <v>5498</v>
      </c>
      <c r="AU590">
        <v>9000</v>
      </c>
      <c r="AV590" t="s">
        <v>3956</v>
      </c>
      <c r="AW590" t="s">
        <v>3956</v>
      </c>
      <c r="AX590">
        <v>1</v>
      </c>
      <c r="AY590">
        <v>3</v>
      </c>
      <c r="AZ590" t="s">
        <v>3911</v>
      </c>
      <c r="BA590">
        <v>10</v>
      </c>
      <c r="BB590" t="s">
        <v>3898</v>
      </c>
      <c r="BC590">
        <v>1</v>
      </c>
      <c r="BD590">
        <v>3</v>
      </c>
      <c r="BE590" t="s">
        <v>3911</v>
      </c>
      <c r="BF590">
        <v>1</v>
      </c>
      <c r="BG590" t="s">
        <v>3912</v>
      </c>
      <c r="BH590" t="s">
        <v>3913</v>
      </c>
      <c r="BI590" t="s">
        <v>5499</v>
      </c>
      <c r="BJ590">
        <v>1</v>
      </c>
      <c r="BK590" t="s">
        <v>3902</v>
      </c>
    </row>
    <row r="591" spans="1:63" x14ac:dyDescent="0.25">
      <c r="A591">
        <v>4575</v>
      </c>
      <c r="B591" t="str">
        <f>"20200130135017148459"</f>
        <v>20200130135017148459</v>
      </c>
      <c r="C591">
        <v>1</v>
      </c>
      <c r="D591">
        <v>1</v>
      </c>
      <c r="E591" t="s">
        <v>3886</v>
      </c>
      <c r="F591">
        <v>2</v>
      </c>
      <c r="G591">
        <v>0</v>
      </c>
      <c r="H591" t="s">
        <v>66</v>
      </c>
      <c r="I591">
        <v>0</v>
      </c>
      <c r="J591" t="s">
        <v>66</v>
      </c>
      <c r="K591">
        <v>0</v>
      </c>
      <c r="L591" t="s">
        <v>66</v>
      </c>
      <c r="M591" t="s">
        <v>56</v>
      </c>
      <c r="N591">
        <v>0</v>
      </c>
      <c r="O591" t="s">
        <v>66</v>
      </c>
      <c r="P591" t="s">
        <v>56</v>
      </c>
      <c r="Q591">
        <v>0</v>
      </c>
      <c r="R591" t="s">
        <v>66</v>
      </c>
      <c r="S591" t="s">
        <v>56</v>
      </c>
      <c r="T591">
        <v>1</v>
      </c>
      <c r="U591" t="s">
        <v>1627</v>
      </c>
      <c r="V591" t="s">
        <v>56</v>
      </c>
      <c r="W591">
        <v>0</v>
      </c>
      <c r="X591" t="s">
        <v>66</v>
      </c>
      <c r="Y591" t="s">
        <v>56</v>
      </c>
      <c r="Z591">
        <v>0</v>
      </c>
      <c r="AA591" t="s">
        <v>66</v>
      </c>
      <c r="AB591" t="s">
        <v>56</v>
      </c>
      <c r="AC591">
        <v>1</v>
      </c>
      <c r="AD591" t="s">
        <v>1627</v>
      </c>
      <c r="AE591" t="s">
        <v>3887</v>
      </c>
      <c r="AF591">
        <v>0</v>
      </c>
      <c r="AG591" t="s">
        <v>66</v>
      </c>
      <c r="AH591" t="s">
        <v>56</v>
      </c>
      <c r="AI591">
        <v>1</v>
      </c>
      <c r="AJ591" t="s">
        <v>1627</v>
      </c>
      <c r="AK591" t="s">
        <v>56</v>
      </c>
      <c r="AL591" t="s">
        <v>56</v>
      </c>
      <c r="AM591" t="s">
        <v>56</v>
      </c>
      <c r="AN591" t="s">
        <v>56</v>
      </c>
      <c r="AO591" t="s">
        <v>3949</v>
      </c>
      <c r="AP591" t="s">
        <v>3889</v>
      </c>
      <c r="AQ591" t="s">
        <v>3890</v>
      </c>
      <c r="AR591" t="s">
        <v>3891</v>
      </c>
      <c r="AS591" t="s">
        <v>3892</v>
      </c>
      <c r="AT591" t="s">
        <v>4143</v>
      </c>
      <c r="AU591" t="s">
        <v>3894</v>
      </c>
      <c r="AV591" t="s">
        <v>3895</v>
      </c>
      <c r="AW591" t="s">
        <v>3896</v>
      </c>
      <c r="AX591">
        <v>6</v>
      </c>
      <c r="AY591">
        <v>2</v>
      </c>
      <c r="AZ591" t="s">
        <v>3897</v>
      </c>
      <c r="BA591">
        <v>10</v>
      </c>
      <c r="BB591" t="s">
        <v>3898</v>
      </c>
      <c r="BC591">
        <v>3</v>
      </c>
      <c r="BD591">
        <v>5</v>
      </c>
      <c r="BE591" t="s">
        <v>3899</v>
      </c>
      <c r="BF591">
        <v>3</v>
      </c>
      <c r="BG591">
        <v>13</v>
      </c>
      <c r="BH591" t="s">
        <v>3900</v>
      </c>
      <c r="BI591" t="s">
        <v>5436</v>
      </c>
      <c r="BJ591">
        <v>1</v>
      </c>
      <c r="BK591" t="s">
        <v>3902</v>
      </c>
    </row>
    <row r="592" spans="1:63" x14ac:dyDescent="0.25">
      <c r="A592">
        <v>4576</v>
      </c>
      <c r="B592" t="str">
        <f>"20200130154017149121"</f>
        <v>20200130154017149121</v>
      </c>
      <c r="C592">
        <v>1</v>
      </c>
      <c r="D592">
        <v>1</v>
      </c>
      <c r="E592" t="s">
        <v>3886</v>
      </c>
      <c r="F592">
        <v>1</v>
      </c>
      <c r="G592">
        <v>0</v>
      </c>
      <c r="H592" t="s">
        <v>66</v>
      </c>
      <c r="I592">
        <v>0</v>
      </c>
      <c r="J592" t="s">
        <v>66</v>
      </c>
      <c r="K592">
        <v>0</v>
      </c>
      <c r="L592" t="s">
        <v>66</v>
      </c>
      <c r="M592" t="s">
        <v>56</v>
      </c>
      <c r="N592">
        <v>0</v>
      </c>
      <c r="O592" t="s">
        <v>66</v>
      </c>
      <c r="P592" t="s">
        <v>56</v>
      </c>
      <c r="Q592">
        <v>0</v>
      </c>
      <c r="R592" t="s">
        <v>66</v>
      </c>
      <c r="S592" t="s">
        <v>56</v>
      </c>
      <c r="T592">
        <v>1</v>
      </c>
      <c r="U592" t="s">
        <v>1627</v>
      </c>
      <c r="V592" t="s">
        <v>56</v>
      </c>
      <c r="W592">
        <v>0</v>
      </c>
      <c r="X592" t="s">
        <v>66</v>
      </c>
      <c r="Y592" t="s">
        <v>56</v>
      </c>
      <c r="Z592">
        <v>0</v>
      </c>
      <c r="AA592" t="s">
        <v>66</v>
      </c>
      <c r="AB592" t="s">
        <v>56</v>
      </c>
      <c r="AC592">
        <v>1</v>
      </c>
      <c r="AD592" t="s">
        <v>1627</v>
      </c>
      <c r="AE592" t="s">
        <v>3887</v>
      </c>
      <c r="AF592">
        <v>0</v>
      </c>
      <c r="AG592" t="s">
        <v>66</v>
      </c>
      <c r="AH592" t="s">
        <v>56</v>
      </c>
      <c r="AI592">
        <v>1</v>
      </c>
      <c r="AJ592" t="s">
        <v>1627</v>
      </c>
      <c r="AK592" t="s">
        <v>56</v>
      </c>
      <c r="AL592" t="s">
        <v>56</v>
      </c>
      <c r="AM592" t="s">
        <v>56</v>
      </c>
      <c r="AN592" t="s">
        <v>56</v>
      </c>
      <c r="AO592" t="s">
        <v>4220</v>
      </c>
      <c r="AP592" t="s">
        <v>3889</v>
      </c>
      <c r="AQ592" t="s">
        <v>3890</v>
      </c>
      <c r="AR592" t="s">
        <v>3904</v>
      </c>
      <c r="AS592" t="s">
        <v>3905</v>
      </c>
      <c r="AT592" t="s">
        <v>5500</v>
      </c>
      <c r="AU592" t="s">
        <v>4026</v>
      </c>
      <c r="AV592" t="s">
        <v>4027</v>
      </c>
      <c r="AW592" t="s">
        <v>4028</v>
      </c>
      <c r="AX592">
        <v>6</v>
      </c>
      <c r="AY592">
        <v>2</v>
      </c>
      <c r="AZ592" t="s">
        <v>3897</v>
      </c>
      <c r="BA592">
        <v>10</v>
      </c>
      <c r="BB592" t="s">
        <v>3898</v>
      </c>
      <c r="BC592">
        <v>3</v>
      </c>
      <c r="BD592">
        <v>3</v>
      </c>
      <c r="BE592" t="s">
        <v>3911</v>
      </c>
      <c r="BF592">
        <v>12</v>
      </c>
      <c r="BG592" t="s">
        <v>3912</v>
      </c>
      <c r="BH592" t="s">
        <v>3913</v>
      </c>
      <c r="BI592" t="s">
        <v>5501</v>
      </c>
      <c r="BJ592">
        <v>1</v>
      </c>
      <c r="BK592" t="s">
        <v>3902</v>
      </c>
    </row>
    <row r="593" spans="1:63" x14ac:dyDescent="0.25">
      <c r="A593">
        <v>4577</v>
      </c>
      <c r="B593" t="str">
        <f>"20200130184017149233"</f>
        <v>20200130184017149233</v>
      </c>
      <c r="C593">
        <v>1</v>
      </c>
      <c r="D593">
        <v>1</v>
      </c>
      <c r="E593" t="s">
        <v>3886</v>
      </c>
      <c r="F593">
        <v>2</v>
      </c>
      <c r="G593">
        <v>0</v>
      </c>
      <c r="H593" t="s">
        <v>66</v>
      </c>
      <c r="I593">
        <v>0</v>
      </c>
      <c r="J593" t="s">
        <v>66</v>
      </c>
      <c r="K593">
        <v>1</v>
      </c>
      <c r="L593" t="s">
        <v>1627</v>
      </c>
      <c r="M593" t="s">
        <v>4366</v>
      </c>
      <c r="N593">
        <v>1</v>
      </c>
      <c r="O593" t="s">
        <v>1627</v>
      </c>
      <c r="P593" t="s">
        <v>4367</v>
      </c>
      <c r="Q593">
        <v>0</v>
      </c>
      <c r="R593" t="s">
        <v>66</v>
      </c>
      <c r="S593" t="s">
        <v>56</v>
      </c>
      <c r="T593" t="s">
        <v>56</v>
      </c>
      <c r="U593" t="s">
        <v>56</v>
      </c>
      <c r="V593" t="s">
        <v>56</v>
      </c>
      <c r="W593">
        <v>0</v>
      </c>
      <c r="X593" t="s">
        <v>66</v>
      </c>
      <c r="Y593" t="s">
        <v>56</v>
      </c>
      <c r="Z593">
        <v>0</v>
      </c>
      <c r="AA593" t="s">
        <v>66</v>
      </c>
      <c r="AB593" t="s">
        <v>56</v>
      </c>
      <c r="AC593">
        <v>0</v>
      </c>
      <c r="AD593" t="s">
        <v>66</v>
      </c>
      <c r="AE593" t="s">
        <v>56</v>
      </c>
      <c r="AF593">
        <v>0</v>
      </c>
      <c r="AG593" t="s">
        <v>66</v>
      </c>
      <c r="AH593" t="s">
        <v>56</v>
      </c>
      <c r="AI593">
        <v>1</v>
      </c>
      <c r="AJ593" t="s">
        <v>1627</v>
      </c>
      <c r="AK593" t="s">
        <v>56</v>
      </c>
      <c r="AL593" t="s">
        <v>56</v>
      </c>
      <c r="AM593" t="s">
        <v>56</v>
      </c>
      <c r="AN593" t="s">
        <v>56</v>
      </c>
      <c r="AO593" t="s">
        <v>4050</v>
      </c>
      <c r="AP593" t="s">
        <v>3962</v>
      </c>
      <c r="AQ593" t="s">
        <v>3963</v>
      </c>
      <c r="AR593" t="s">
        <v>3941</v>
      </c>
      <c r="AS593" t="s">
        <v>3942</v>
      </c>
      <c r="AT593" t="s">
        <v>5502</v>
      </c>
      <c r="AU593" t="s">
        <v>4026</v>
      </c>
      <c r="AV593" t="s">
        <v>4027</v>
      </c>
      <c r="AW593" t="s">
        <v>4028</v>
      </c>
      <c r="AX593">
        <v>12</v>
      </c>
      <c r="AY593">
        <v>2</v>
      </c>
      <c r="AZ593" t="s">
        <v>3897</v>
      </c>
      <c r="BA593">
        <v>10</v>
      </c>
      <c r="BB593" t="s">
        <v>3898</v>
      </c>
      <c r="BC593">
        <v>4</v>
      </c>
      <c r="BD593">
        <v>5</v>
      </c>
      <c r="BE593" t="s">
        <v>3899</v>
      </c>
      <c r="BF593">
        <v>240</v>
      </c>
      <c r="BG593">
        <v>66</v>
      </c>
      <c r="BH593" t="s">
        <v>3965</v>
      </c>
      <c r="BI593" t="s">
        <v>4369</v>
      </c>
      <c r="BJ593">
        <v>1</v>
      </c>
      <c r="BK593" t="s">
        <v>3902</v>
      </c>
    </row>
    <row r="594" spans="1:63" x14ac:dyDescent="0.25">
      <c r="A594">
        <v>4578</v>
      </c>
      <c r="B594" t="str">
        <f>"20200130130017149429"</f>
        <v>20200130130017149429</v>
      </c>
      <c r="C594">
        <v>1</v>
      </c>
      <c r="D594">
        <v>1</v>
      </c>
      <c r="E594" t="s">
        <v>3886</v>
      </c>
      <c r="F594">
        <v>2</v>
      </c>
      <c r="G594">
        <v>0</v>
      </c>
      <c r="H594" t="s">
        <v>66</v>
      </c>
      <c r="I594">
        <v>0</v>
      </c>
      <c r="J594" t="s">
        <v>66</v>
      </c>
      <c r="K594">
        <v>0</v>
      </c>
      <c r="L594" t="s">
        <v>66</v>
      </c>
      <c r="M594" t="s">
        <v>56</v>
      </c>
      <c r="N594">
        <v>0</v>
      </c>
      <c r="O594" t="s">
        <v>66</v>
      </c>
      <c r="P594" t="s">
        <v>56</v>
      </c>
      <c r="Q594">
        <v>0</v>
      </c>
      <c r="R594" t="s">
        <v>66</v>
      </c>
      <c r="S594" t="s">
        <v>56</v>
      </c>
      <c r="T594">
        <v>1</v>
      </c>
      <c r="U594" t="s">
        <v>1627</v>
      </c>
      <c r="V594" t="s">
        <v>56</v>
      </c>
      <c r="W594">
        <v>0</v>
      </c>
      <c r="X594" t="s">
        <v>66</v>
      </c>
      <c r="Y594" t="s">
        <v>56</v>
      </c>
      <c r="Z594">
        <v>0</v>
      </c>
      <c r="AA594" t="s">
        <v>66</v>
      </c>
      <c r="AB594" t="s">
        <v>56</v>
      </c>
      <c r="AC594">
        <v>1</v>
      </c>
      <c r="AD594" t="s">
        <v>1627</v>
      </c>
      <c r="AE594" t="s">
        <v>3887</v>
      </c>
      <c r="AF594">
        <v>0</v>
      </c>
      <c r="AG594" t="s">
        <v>66</v>
      </c>
      <c r="AH594" t="s">
        <v>56</v>
      </c>
      <c r="AI594">
        <v>1</v>
      </c>
      <c r="AJ594" t="s">
        <v>1627</v>
      </c>
      <c r="AK594" t="s">
        <v>56</v>
      </c>
      <c r="AL594" t="s">
        <v>56</v>
      </c>
      <c r="AM594" t="s">
        <v>56</v>
      </c>
      <c r="AN594" t="s">
        <v>56</v>
      </c>
      <c r="AO594" t="s">
        <v>3992</v>
      </c>
      <c r="AP594" t="s">
        <v>3889</v>
      </c>
      <c r="AQ594" t="s">
        <v>3890</v>
      </c>
      <c r="AR594" t="s">
        <v>3926</v>
      </c>
      <c r="AS594" t="s">
        <v>3927</v>
      </c>
      <c r="AT594" t="s">
        <v>5503</v>
      </c>
      <c r="AU594" t="s">
        <v>3894</v>
      </c>
      <c r="AV594" t="s">
        <v>3895</v>
      </c>
      <c r="AW594" t="s">
        <v>3896</v>
      </c>
      <c r="AX594">
        <v>12</v>
      </c>
      <c r="AY594">
        <v>2</v>
      </c>
      <c r="AZ594" t="s">
        <v>3897</v>
      </c>
      <c r="BA594">
        <v>10</v>
      </c>
      <c r="BB594" t="s">
        <v>3898</v>
      </c>
      <c r="BC594">
        <v>3</v>
      </c>
      <c r="BD594">
        <v>5</v>
      </c>
      <c r="BE594" t="s">
        <v>3899</v>
      </c>
      <c r="BF594">
        <v>3</v>
      </c>
      <c r="BG594">
        <v>13</v>
      </c>
      <c r="BH594" t="s">
        <v>3900</v>
      </c>
      <c r="BI594" t="s">
        <v>5504</v>
      </c>
      <c r="BJ594">
        <v>1</v>
      </c>
      <c r="BK594" t="s">
        <v>3902</v>
      </c>
    </row>
    <row r="595" spans="1:63" x14ac:dyDescent="0.25">
      <c r="A595">
        <v>4579</v>
      </c>
      <c r="B595" t="str">
        <f>"20200130156017149758"</f>
        <v>20200130156017149758</v>
      </c>
      <c r="C595">
        <v>1</v>
      </c>
      <c r="D595">
        <v>1</v>
      </c>
      <c r="E595" t="s">
        <v>3886</v>
      </c>
      <c r="F595">
        <v>2</v>
      </c>
      <c r="G595">
        <v>0</v>
      </c>
      <c r="H595" t="s">
        <v>66</v>
      </c>
      <c r="I595">
        <v>0</v>
      </c>
      <c r="J595" t="s">
        <v>66</v>
      </c>
      <c r="K595">
        <v>0</v>
      </c>
      <c r="L595" t="s">
        <v>66</v>
      </c>
      <c r="M595" t="s">
        <v>56</v>
      </c>
      <c r="N595">
        <v>0</v>
      </c>
      <c r="O595" t="s">
        <v>66</v>
      </c>
      <c r="P595" t="s">
        <v>56</v>
      </c>
      <c r="Q595">
        <v>0</v>
      </c>
      <c r="R595" t="s">
        <v>66</v>
      </c>
      <c r="S595" t="s">
        <v>56</v>
      </c>
      <c r="T595">
        <v>1</v>
      </c>
      <c r="U595" t="s">
        <v>1627</v>
      </c>
      <c r="V595" t="s">
        <v>56</v>
      </c>
      <c r="W595">
        <v>0</v>
      </c>
      <c r="X595" t="s">
        <v>66</v>
      </c>
      <c r="Y595" t="s">
        <v>56</v>
      </c>
      <c r="Z595">
        <v>0</v>
      </c>
      <c r="AA595" t="s">
        <v>66</v>
      </c>
      <c r="AB595" t="s">
        <v>56</v>
      </c>
      <c r="AC595">
        <v>1</v>
      </c>
      <c r="AD595" t="s">
        <v>1627</v>
      </c>
      <c r="AE595" t="s">
        <v>3887</v>
      </c>
      <c r="AF595">
        <v>0</v>
      </c>
      <c r="AG595" t="s">
        <v>66</v>
      </c>
      <c r="AH595" t="s">
        <v>56</v>
      </c>
      <c r="AI595">
        <v>1</v>
      </c>
      <c r="AJ595" t="s">
        <v>1627</v>
      </c>
      <c r="AK595" t="s">
        <v>56</v>
      </c>
      <c r="AL595" t="s">
        <v>56</v>
      </c>
      <c r="AM595" t="s">
        <v>56</v>
      </c>
      <c r="AN595" t="s">
        <v>56</v>
      </c>
      <c r="AO595" t="s">
        <v>3949</v>
      </c>
      <c r="AP595" t="s">
        <v>3889</v>
      </c>
      <c r="AQ595" t="s">
        <v>3890</v>
      </c>
      <c r="AR595" t="s">
        <v>3891</v>
      </c>
      <c r="AS595" t="s">
        <v>3892</v>
      </c>
      <c r="AT595" t="s">
        <v>4143</v>
      </c>
      <c r="AU595" t="s">
        <v>3894</v>
      </c>
      <c r="AV595" t="s">
        <v>3895</v>
      </c>
      <c r="AW595" t="s">
        <v>3896</v>
      </c>
      <c r="AX595">
        <v>6</v>
      </c>
      <c r="AY595">
        <v>2</v>
      </c>
      <c r="AZ595" t="s">
        <v>3897</v>
      </c>
      <c r="BA595">
        <v>10</v>
      </c>
      <c r="BB595" t="s">
        <v>3898</v>
      </c>
      <c r="BC595">
        <v>3</v>
      </c>
      <c r="BD595">
        <v>5</v>
      </c>
      <c r="BE595" t="s">
        <v>3899</v>
      </c>
      <c r="BF595">
        <v>3</v>
      </c>
      <c r="BG595">
        <v>13</v>
      </c>
      <c r="BH595" t="s">
        <v>3900</v>
      </c>
      <c r="BI595" t="s">
        <v>5436</v>
      </c>
      <c r="BJ595">
        <v>1</v>
      </c>
      <c r="BK595" t="s">
        <v>3902</v>
      </c>
    </row>
    <row r="596" spans="1:63" x14ac:dyDescent="0.25">
      <c r="A596">
        <v>4580</v>
      </c>
      <c r="B596" t="str">
        <f>"20200130147017150001"</f>
        <v>20200130147017150001</v>
      </c>
      <c r="C596">
        <v>1</v>
      </c>
      <c r="D596">
        <v>1</v>
      </c>
      <c r="E596" t="s">
        <v>3886</v>
      </c>
      <c r="F596">
        <v>2</v>
      </c>
      <c r="G596">
        <v>0</v>
      </c>
      <c r="H596" t="s">
        <v>66</v>
      </c>
      <c r="I596">
        <v>0</v>
      </c>
      <c r="J596" t="s">
        <v>66</v>
      </c>
      <c r="K596">
        <v>1</v>
      </c>
      <c r="L596" t="s">
        <v>1627</v>
      </c>
      <c r="M596" t="s">
        <v>4821</v>
      </c>
      <c r="N596">
        <v>1</v>
      </c>
      <c r="O596" t="s">
        <v>1627</v>
      </c>
      <c r="P596" t="s">
        <v>5505</v>
      </c>
      <c r="Q596">
        <v>0</v>
      </c>
      <c r="R596" t="s">
        <v>66</v>
      </c>
      <c r="S596" t="s">
        <v>56</v>
      </c>
      <c r="T596" t="s">
        <v>56</v>
      </c>
      <c r="U596" t="s">
        <v>56</v>
      </c>
      <c r="V596" t="s">
        <v>56</v>
      </c>
      <c r="W596">
        <v>0</v>
      </c>
      <c r="X596" t="s">
        <v>66</v>
      </c>
      <c r="Y596" t="s">
        <v>56</v>
      </c>
      <c r="Z596">
        <v>0</v>
      </c>
      <c r="AA596" t="s">
        <v>66</v>
      </c>
      <c r="AB596" t="s">
        <v>56</v>
      </c>
      <c r="AC596">
        <v>0</v>
      </c>
      <c r="AD596" t="s">
        <v>66</v>
      </c>
      <c r="AE596" t="s">
        <v>56</v>
      </c>
      <c r="AF596">
        <v>0</v>
      </c>
      <c r="AG596" t="s">
        <v>66</v>
      </c>
      <c r="AH596" t="s">
        <v>56</v>
      </c>
      <c r="AI596">
        <v>1</v>
      </c>
      <c r="AJ596" t="s">
        <v>1627</v>
      </c>
      <c r="AK596" t="s">
        <v>56</v>
      </c>
      <c r="AL596" t="s">
        <v>56</v>
      </c>
      <c r="AM596" t="s">
        <v>56</v>
      </c>
      <c r="AN596" t="s">
        <v>56</v>
      </c>
      <c r="AO596" t="s">
        <v>4201</v>
      </c>
      <c r="AP596" t="s">
        <v>3962</v>
      </c>
      <c r="AQ596" t="s">
        <v>3963</v>
      </c>
      <c r="AR596" t="s">
        <v>3941</v>
      </c>
      <c r="AS596" t="s">
        <v>3942</v>
      </c>
      <c r="AT596" t="s">
        <v>5506</v>
      </c>
      <c r="AU596" t="s">
        <v>3944</v>
      </c>
      <c r="AV596" t="s">
        <v>3945</v>
      </c>
      <c r="AW596" t="s">
        <v>3946</v>
      </c>
      <c r="AX596">
        <v>24</v>
      </c>
      <c r="AY596">
        <v>2</v>
      </c>
      <c r="AZ596" t="s">
        <v>3897</v>
      </c>
      <c r="BA596">
        <v>10</v>
      </c>
      <c r="BB596" t="s">
        <v>3898</v>
      </c>
      <c r="BC596">
        <v>3</v>
      </c>
      <c r="BD596">
        <v>5</v>
      </c>
      <c r="BE596" t="s">
        <v>3899</v>
      </c>
      <c r="BF596">
        <v>90</v>
      </c>
      <c r="BG596">
        <v>13</v>
      </c>
      <c r="BH596" t="s">
        <v>3900</v>
      </c>
      <c r="BI596" t="s">
        <v>5507</v>
      </c>
      <c r="BJ596">
        <v>1</v>
      </c>
      <c r="BK596" t="s">
        <v>3902</v>
      </c>
    </row>
    <row r="597" spans="1:63" x14ac:dyDescent="0.25">
      <c r="A597">
        <v>4581</v>
      </c>
      <c r="B597" t="str">
        <f>"20200130149017150131"</f>
        <v>20200130149017150131</v>
      </c>
      <c r="C597">
        <v>1</v>
      </c>
      <c r="D597">
        <v>1</v>
      </c>
      <c r="E597" t="s">
        <v>3886</v>
      </c>
      <c r="F597">
        <v>2</v>
      </c>
      <c r="G597">
        <v>0</v>
      </c>
      <c r="H597" t="s">
        <v>66</v>
      </c>
      <c r="I597">
        <v>0</v>
      </c>
      <c r="J597" t="s">
        <v>66</v>
      </c>
      <c r="K597">
        <v>0</v>
      </c>
      <c r="L597" t="s">
        <v>66</v>
      </c>
      <c r="M597" t="s">
        <v>56</v>
      </c>
      <c r="N597">
        <v>0</v>
      </c>
      <c r="O597" t="s">
        <v>66</v>
      </c>
      <c r="P597" t="s">
        <v>56</v>
      </c>
      <c r="Q597">
        <v>0</v>
      </c>
      <c r="R597" t="s">
        <v>66</v>
      </c>
      <c r="S597" t="s">
        <v>56</v>
      </c>
      <c r="T597">
        <v>1</v>
      </c>
      <c r="U597" t="s">
        <v>1627</v>
      </c>
      <c r="V597" t="s">
        <v>56</v>
      </c>
      <c r="W597">
        <v>0</v>
      </c>
      <c r="X597" t="s">
        <v>66</v>
      </c>
      <c r="Y597" t="s">
        <v>56</v>
      </c>
      <c r="Z597">
        <v>0</v>
      </c>
      <c r="AA597" t="s">
        <v>66</v>
      </c>
      <c r="AB597" t="s">
        <v>56</v>
      </c>
      <c r="AC597">
        <v>1</v>
      </c>
      <c r="AD597" t="s">
        <v>1627</v>
      </c>
      <c r="AE597" t="s">
        <v>3887</v>
      </c>
      <c r="AF597">
        <v>0</v>
      </c>
      <c r="AG597" t="s">
        <v>66</v>
      </c>
      <c r="AH597" t="s">
        <v>56</v>
      </c>
      <c r="AI597">
        <v>1</v>
      </c>
      <c r="AJ597" t="s">
        <v>1627</v>
      </c>
      <c r="AK597" t="s">
        <v>56</v>
      </c>
      <c r="AL597" t="s">
        <v>56</v>
      </c>
      <c r="AM597" t="s">
        <v>56</v>
      </c>
      <c r="AN597" t="s">
        <v>56</v>
      </c>
      <c r="AO597" t="s">
        <v>3949</v>
      </c>
      <c r="AP597" t="s">
        <v>3889</v>
      </c>
      <c r="AQ597" t="s">
        <v>3890</v>
      </c>
      <c r="AR597" t="s">
        <v>3926</v>
      </c>
      <c r="AS597" t="s">
        <v>3927</v>
      </c>
      <c r="AT597" t="s">
        <v>5508</v>
      </c>
      <c r="AU597" t="s">
        <v>3894</v>
      </c>
      <c r="AV597" t="s">
        <v>3895</v>
      </c>
      <c r="AW597" t="s">
        <v>3896</v>
      </c>
      <c r="AX597">
        <v>6</v>
      </c>
      <c r="AY597">
        <v>2</v>
      </c>
      <c r="AZ597" t="s">
        <v>3897</v>
      </c>
      <c r="BA597">
        <v>10</v>
      </c>
      <c r="BB597" t="s">
        <v>3898</v>
      </c>
      <c r="BC597">
        <v>90</v>
      </c>
      <c r="BD597">
        <v>3</v>
      </c>
      <c r="BE597" t="s">
        <v>3911</v>
      </c>
      <c r="BF597">
        <v>3</v>
      </c>
      <c r="BG597">
        <v>13</v>
      </c>
      <c r="BH597" t="s">
        <v>3900</v>
      </c>
      <c r="BI597" t="s">
        <v>5509</v>
      </c>
      <c r="BJ597">
        <v>1</v>
      </c>
      <c r="BK597" t="s">
        <v>3902</v>
      </c>
    </row>
    <row r="598" spans="1:63" x14ac:dyDescent="0.25">
      <c r="A598">
        <v>4582</v>
      </c>
      <c r="B598" t="str">
        <f>"20200130149017150837"</f>
        <v>20200130149017150837</v>
      </c>
      <c r="C598">
        <v>1</v>
      </c>
      <c r="D598">
        <v>1</v>
      </c>
      <c r="E598" t="s">
        <v>3886</v>
      </c>
      <c r="F598">
        <v>2</v>
      </c>
      <c r="G598">
        <v>0</v>
      </c>
      <c r="H598" t="s">
        <v>66</v>
      </c>
      <c r="I598">
        <v>0</v>
      </c>
      <c r="J598" t="s">
        <v>66</v>
      </c>
      <c r="K598">
        <v>0</v>
      </c>
      <c r="L598" t="s">
        <v>66</v>
      </c>
      <c r="M598" t="s">
        <v>56</v>
      </c>
      <c r="N598">
        <v>0</v>
      </c>
      <c r="O598" t="s">
        <v>66</v>
      </c>
      <c r="P598" t="s">
        <v>56</v>
      </c>
      <c r="Q598">
        <v>0</v>
      </c>
      <c r="R598" t="s">
        <v>66</v>
      </c>
      <c r="S598" t="s">
        <v>56</v>
      </c>
      <c r="T598">
        <v>1</v>
      </c>
      <c r="U598" t="s">
        <v>1627</v>
      </c>
      <c r="V598" t="s">
        <v>56</v>
      </c>
      <c r="W598">
        <v>0</v>
      </c>
      <c r="X598" t="s">
        <v>66</v>
      </c>
      <c r="Y598" t="s">
        <v>56</v>
      </c>
      <c r="Z598">
        <v>0</v>
      </c>
      <c r="AA598" t="s">
        <v>66</v>
      </c>
      <c r="AB598" t="s">
        <v>56</v>
      </c>
      <c r="AC598">
        <v>1</v>
      </c>
      <c r="AD598" t="s">
        <v>1627</v>
      </c>
      <c r="AE598" t="s">
        <v>3887</v>
      </c>
      <c r="AF598">
        <v>0</v>
      </c>
      <c r="AG598" t="s">
        <v>66</v>
      </c>
      <c r="AH598" t="s">
        <v>56</v>
      </c>
      <c r="AI598">
        <v>1</v>
      </c>
      <c r="AJ598" t="s">
        <v>1627</v>
      </c>
      <c r="AK598" t="s">
        <v>56</v>
      </c>
      <c r="AL598" t="s">
        <v>56</v>
      </c>
      <c r="AM598" t="s">
        <v>56</v>
      </c>
      <c r="AN598" t="s">
        <v>56</v>
      </c>
      <c r="AO598" t="s">
        <v>3949</v>
      </c>
      <c r="AP598" t="s">
        <v>3889</v>
      </c>
      <c r="AQ598" t="s">
        <v>3890</v>
      </c>
      <c r="AR598" t="s">
        <v>3891</v>
      </c>
      <c r="AS598" t="s">
        <v>3892</v>
      </c>
      <c r="AT598" t="s">
        <v>5510</v>
      </c>
      <c r="AU598" t="s">
        <v>3894</v>
      </c>
      <c r="AV598" t="s">
        <v>3895</v>
      </c>
      <c r="AW598" t="s">
        <v>3896</v>
      </c>
      <c r="AX598">
        <v>8</v>
      </c>
      <c r="AY598">
        <v>2</v>
      </c>
      <c r="AZ598" t="s">
        <v>3897</v>
      </c>
      <c r="BA598">
        <v>10</v>
      </c>
      <c r="BB598" t="s">
        <v>3898</v>
      </c>
      <c r="BC598">
        <v>6</v>
      </c>
      <c r="BD598">
        <v>5</v>
      </c>
      <c r="BE598" t="s">
        <v>3899</v>
      </c>
      <c r="BF598">
        <v>6</v>
      </c>
      <c r="BG598">
        <v>13</v>
      </c>
      <c r="BH598" t="s">
        <v>3900</v>
      </c>
      <c r="BI598" t="s">
        <v>4668</v>
      </c>
      <c r="BJ598">
        <v>1</v>
      </c>
      <c r="BK598" t="s">
        <v>3902</v>
      </c>
    </row>
    <row r="599" spans="1:63" x14ac:dyDescent="0.25">
      <c r="A599">
        <v>4583</v>
      </c>
      <c r="B599" t="str">
        <f>"20200130113017151231"</f>
        <v>20200130113017151231</v>
      </c>
      <c r="C599">
        <v>1</v>
      </c>
      <c r="D599">
        <v>1</v>
      </c>
      <c r="E599" t="s">
        <v>3886</v>
      </c>
      <c r="F599">
        <v>2</v>
      </c>
      <c r="G599">
        <v>0</v>
      </c>
      <c r="H599" t="s">
        <v>66</v>
      </c>
      <c r="I599">
        <v>0</v>
      </c>
      <c r="J599" t="s">
        <v>66</v>
      </c>
      <c r="K599">
        <v>1</v>
      </c>
      <c r="L599" t="s">
        <v>1627</v>
      </c>
      <c r="M599" t="s">
        <v>4236</v>
      </c>
      <c r="N599">
        <v>1</v>
      </c>
      <c r="O599" t="s">
        <v>1627</v>
      </c>
      <c r="P599" t="s">
        <v>4237</v>
      </c>
      <c r="Q599">
        <v>0</v>
      </c>
      <c r="R599" t="s">
        <v>66</v>
      </c>
      <c r="S599" t="s">
        <v>56</v>
      </c>
      <c r="T599" t="s">
        <v>56</v>
      </c>
      <c r="U599" t="s">
        <v>56</v>
      </c>
      <c r="V599" t="s">
        <v>56</v>
      </c>
      <c r="W599">
        <v>0</v>
      </c>
      <c r="X599" t="s">
        <v>66</v>
      </c>
      <c r="Y599" t="s">
        <v>56</v>
      </c>
      <c r="Z599">
        <v>0</v>
      </c>
      <c r="AA599" t="s">
        <v>66</v>
      </c>
      <c r="AB599" t="s">
        <v>56</v>
      </c>
      <c r="AC599">
        <v>0</v>
      </c>
      <c r="AD599" t="s">
        <v>66</v>
      </c>
      <c r="AE599" t="s">
        <v>56</v>
      </c>
      <c r="AF599">
        <v>0</v>
      </c>
      <c r="AG599" t="s">
        <v>66</v>
      </c>
      <c r="AH599" t="s">
        <v>56</v>
      </c>
      <c r="AI599">
        <v>1</v>
      </c>
      <c r="AJ599" t="s">
        <v>1627</v>
      </c>
      <c r="AK599" t="s">
        <v>56</v>
      </c>
      <c r="AL599" t="s">
        <v>56</v>
      </c>
      <c r="AM599" t="s">
        <v>56</v>
      </c>
      <c r="AN599" t="s">
        <v>56</v>
      </c>
      <c r="AO599" t="s">
        <v>5511</v>
      </c>
      <c r="AP599" t="s">
        <v>4077</v>
      </c>
      <c r="AQ599" t="s">
        <v>4078</v>
      </c>
      <c r="AR599" t="s">
        <v>3941</v>
      </c>
      <c r="AS599" t="s">
        <v>3942</v>
      </c>
      <c r="AT599" t="s">
        <v>5512</v>
      </c>
      <c r="AU599">
        <v>9000</v>
      </c>
      <c r="AV599" t="s">
        <v>3956</v>
      </c>
      <c r="AW599" t="s">
        <v>3956</v>
      </c>
      <c r="AX599">
        <v>24</v>
      </c>
      <c r="AY599">
        <v>1</v>
      </c>
      <c r="AZ599" t="s">
        <v>4099</v>
      </c>
      <c r="BA599">
        <v>10</v>
      </c>
      <c r="BB599" t="s">
        <v>3898</v>
      </c>
      <c r="BC599">
        <v>180</v>
      </c>
      <c r="BD599">
        <v>2</v>
      </c>
      <c r="BE599" t="s">
        <v>3897</v>
      </c>
      <c r="BF599">
        <v>180</v>
      </c>
      <c r="BG599">
        <v>66</v>
      </c>
      <c r="BH599" t="s">
        <v>3965</v>
      </c>
      <c r="BI599" t="s">
        <v>5513</v>
      </c>
      <c r="BJ599">
        <v>1</v>
      </c>
      <c r="BK599" t="s">
        <v>3902</v>
      </c>
    </row>
    <row r="600" spans="1:63" x14ac:dyDescent="0.25">
      <c r="A600">
        <v>4584</v>
      </c>
      <c r="B600" t="str">
        <f>"20200130111017151285"</f>
        <v>20200130111017151285</v>
      </c>
      <c r="C600">
        <v>1</v>
      </c>
      <c r="D600">
        <v>1</v>
      </c>
      <c r="E600" t="s">
        <v>3886</v>
      </c>
      <c r="F600">
        <v>1</v>
      </c>
      <c r="G600">
        <v>0</v>
      </c>
      <c r="H600" t="s">
        <v>66</v>
      </c>
      <c r="I600">
        <v>0</v>
      </c>
      <c r="J600" t="s">
        <v>66</v>
      </c>
      <c r="K600">
        <v>1</v>
      </c>
      <c r="L600" t="s">
        <v>1627</v>
      </c>
      <c r="M600" t="s">
        <v>4174</v>
      </c>
      <c r="N600">
        <v>1</v>
      </c>
      <c r="O600" t="s">
        <v>1627</v>
      </c>
      <c r="P600" t="s">
        <v>5514</v>
      </c>
      <c r="Q600">
        <v>0</v>
      </c>
      <c r="R600" t="s">
        <v>66</v>
      </c>
      <c r="S600" t="s">
        <v>56</v>
      </c>
      <c r="T600" t="s">
        <v>56</v>
      </c>
      <c r="U600" t="s">
        <v>56</v>
      </c>
      <c r="V600" t="s">
        <v>56</v>
      </c>
      <c r="W600">
        <v>0</v>
      </c>
      <c r="X600" t="s">
        <v>66</v>
      </c>
      <c r="Y600" t="s">
        <v>56</v>
      </c>
      <c r="Z600">
        <v>0</v>
      </c>
      <c r="AA600" t="s">
        <v>66</v>
      </c>
      <c r="AB600" t="s">
        <v>56</v>
      </c>
      <c r="AC600">
        <v>0</v>
      </c>
      <c r="AD600" t="s">
        <v>66</v>
      </c>
      <c r="AE600" t="s">
        <v>56</v>
      </c>
      <c r="AF600">
        <v>0</v>
      </c>
      <c r="AG600" t="s">
        <v>66</v>
      </c>
      <c r="AH600" t="s">
        <v>56</v>
      </c>
      <c r="AI600">
        <v>1</v>
      </c>
      <c r="AJ600" t="s">
        <v>1627</v>
      </c>
      <c r="AK600" t="s">
        <v>56</v>
      </c>
      <c r="AL600" t="s">
        <v>56</v>
      </c>
      <c r="AM600" t="s">
        <v>56</v>
      </c>
      <c r="AN600" t="s">
        <v>56</v>
      </c>
      <c r="AO600" t="s">
        <v>4737</v>
      </c>
      <c r="AP600" t="s">
        <v>4330</v>
      </c>
      <c r="AQ600" t="s">
        <v>4331</v>
      </c>
      <c r="AR600" t="s">
        <v>3941</v>
      </c>
      <c r="AS600" t="s">
        <v>3942</v>
      </c>
      <c r="AT600" t="s">
        <v>5515</v>
      </c>
      <c r="AU600">
        <v>9000</v>
      </c>
      <c r="AV600" t="s">
        <v>3956</v>
      </c>
      <c r="AW600" t="s">
        <v>3956</v>
      </c>
      <c r="AX600">
        <v>8</v>
      </c>
      <c r="AY600">
        <v>2</v>
      </c>
      <c r="AZ600" t="s">
        <v>3897</v>
      </c>
      <c r="BA600">
        <v>10</v>
      </c>
      <c r="BB600" t="s">
        <v>3898</v>
      </c>
      <c r="BC600">
        <v>7</v>
      </c>
      <c r="BD600">
        <v>3</v>
      </c>
      <c r="BE600" t="s">
        <v>3911</v>
      </c>
      <c r="BF600">
        <v>21</v>
      </c>
      <c r="BG600">
        <v>74</v>
      </c>
      <c r="BH600" t="s">
        <v>3923</v>
      </c>
      <c r="BI600" t="s">
        <v>5516</v>
      </c>
      <c r="BJ600">
        <v>1</v>
      </c>
      <c r="BK600" t="s">
        <v>3902</v>
      </c>
    </row>
    <row r="601" spans="1:63" x14ac:dyDescent="0.25">
      <c r="A601">
        <v>4585</v>
      </c>
      <c r="B601" t="str">
        <f>"20200130169017151289"</f>
        <v>20200130169017151289</v>
      </c>
      <c r="C601">
        <v>1</v>
      </c>
      <c r="D601">
        <v>1</v>
      </c>
      <c r="E601" t="s">
        <v>3886</v>
      </c>
      <c r="F601">
        <v>1</v>
      </c>
      <c r="G601">
        <v>0</v>
      </c>
      <c r="H601" t="s">
        <v>66</v>
      </c>
      <c r="I601">
        <v>0</v>
      </c>
      <c r="J601" t="s">
        <v>66</v>
      </c>
      <c r="K601">
        <v>0</v>
      </c>
      <c r="L601" t="s">
        <v>66</v>
      </c>
      <c r="M601" t="s">
        <v>56</v>
      </c>
      <c r="N601">
        <v>0</v>
      </c>
      <c r="O601" t="s">
        <v>66</v>
      </c>
      <c r="P601" t="s">
        <v>56</v>
      </c>
      <c r="Q601">
        <v>0</v>
      </c>
      <c r="R601" t="s">
        <v>66</v>
      </c>
      <c r="S601" t="s">
        <v>56</v>
      </c>
      <c r="T601">
        <v>1</v>
      </c>
      <c r="U601" t="s">
        <v>1627</v>
      </c>
      <c r="V601" t="s">
        <v>56</v>
      </c>
      <c r="W601">
        <v>0</v>
      </c>
      <c r="X601" t="s">
        <v>66</v>
      </c>
      <c r="Y601" t="s">
        <v>56</v>
      </c>
      <c r="Z601">
        <v>0</v>
      </c>
      <c r="AA601" t="s">
        <v>66</v>
      </c>
      <c r="AB601" t="s">
        <v>56</v>
      </c>
      <c r="AC601">
        <v>1</v>
      </c>
      <c r="AD601" t="s">
        <v>1627</v>
      </c>
      <c r="AE601" t="s">
        <v>3887</v>
      </c>
      <c r="AF601">
        <v>0</v>
      </c>
      <c r="AG601" t="s">
        <v>66</v>
      </c>
      <c r="AH601" t="s">
        <v>56</v>
      </c>
      <c r="AI601">
        <v>1</v>
      </c>
      <c r="AJ601" t="s">
        <v>1627</v>
      </c>
      <c r="AK601" t="s">
        <v>56</v>
      </c>
      <c r="AL601" t="s">
        <v>56</v>
      </c>
      <c r="AM601" t="s">
        <v>56</v>
      </c>
      <c r="AN601" t="s">
        <v>56</v>
      </c>
      <c r="AO601" t="s">
        <v>4553</v>
      </c>
      <c r="AP601" t="s">
        <v>4077</v>
      </c>
      <c r="AQ601" t="s">
        <v>4078</v>
      </c>
      <c r="AR601" t="s">
        <v>3941</v>
      </c>
      <c r="AS601" t="s">
        <v>3942</v>
      </c>
      <c r="AT601" t="s">
        <v>5517</v>
      </c>
      <c r="AU601" t="s">
        <v>3944</v>
      </c>
      <c r="AV601" t="s">
        <v>3945</v>
      </c>
      <c r="AW601" t="s">
        <v>3946</v>
      </c>
      <c r="AX601">
        <v>12</v>
      </c>
      <c r="AY601">
        <v>2</v>
      </c>
      <c r="AZ601" t="s">
        <v>3897</v>
      </c>
      <c r="BA601">
        <v>10</v>
      </c>
      <c r="BB601" t="s">
        <v>3898</v>
      </c>
      <c r="BC601">
        <v>3</v>
      </c>
      <c r="BD601">
        <v>5</v>
      </c>
      <c r="BE601" t="s">
        <v>3899</v>
      </c>
      <c r="BF601">
        <v>180</v>
      </c>
      <c r="BG601">
        <v>66</v>
      </c>
      <c r="BH601" t="s">
        <v>3965</v>
      </c>
      <c r="BI601" t="s">
        <v>5518</v>
      </c>
      <c r="BJ601">
        <v>1</v>
      </c>
      <c r="BK601" t="s">
        <v>3902</v>
      </c>
    </row>
    <row r="602" spans="1:63" x14ac:dyDescent="0.25">
      <c r="A602">
        <v>4586</v>
      </c>
      <c r="B602" t="str">
        <f>"20200130147017151474"</f>
        <v>20200130147017151474</v>
      </c>
      <c r="C602">
        <v>1</v>
      </c>
      <c r="D602">
        <v>1</v>
      </c>
      <c r="E602" t="s">
        <v>3886</v>
      </c>
      <c r="F602">
        <v>2</v>
      </c>
      <c r="G602">
        <v>0</v>
      </c>
      <c r="H602" t="s">
        <v>66</v>
      </c>
      <c r="I602">
        <v>0</v>
      </c>
      <c r="J602" t="s">
        <v>66</v>
      </c>
      <c r="K602">
        <v>0</v>
      </c>
      <c r="L602" t="s">
        <v>66</v>
      </c>
      <c r="M602" t="s">
        <v>56</v>
      </c>
      <c r="N602">
        <v>0</v>
      </c>
      <c r="O602" t="s">
        <v>66</v>
      </c>
      <c r="P602" t="s">
        <v>56</v>
      </c>
      <c r="Q602">
        <v>0</v>
      </c>
      <c r="R602" t="s">
        <v>66</v>
      </c>
      <c r="S602" t="s">
        <v>56</v>
      </c>
      <c r="T602">
        <v>1</v>
      </c>
      <c r="U602" t="s">
        <v>1627</v>
      </c>
      <c r="V602" t="s">
        <v>56</v>
      </c>
      <c r="W602">
        <v>0</v>
      </c>
      <c r="X602" t="s">
        <v>66</v>
      </c>
      <c r="Y602" t="s">
        <v>56</v>
      </c>
      <c r="Z602">
        <v>0</v>
      </c>
      <c r="AA602" t="s">
        <v>66</v>
      </c>
      <c r="AB602" t="s">
        <v>56</v>
      </c>
      <c r="AC602">
        <v>1</v>
      </c>
      <c r="AD602" t="s">
        <v>1627</v>
      </c>
      <c r="AE602" t="s">
        <v>3887</v>
      </c>
      <c r="AF602">
        <v>0</v>
      </c>
      <c r="AG602" t="s">
        <v>66</v>
      </c>
      <c r="AH602" t="s">
        <v>56</v>
      </c>
      <c r="AI602">
        <v>1</v>
      </c>
      <c r="AJ602" t="s">
        <v>1627</v>
      </c>
      <c r="AK602" t="s">
        <v>56</v>
      </c>
      <c r="AL602" t="s">
        <v>56</v>
      </c>
      <c r="AM602" t="s">
        <v>56</v>
      </c>
      <c r="AN602" t="s">
        <v>56</v>
      </c>
      <c r="AO602" t="s">
        <v>3949</v>
      </c>
      <c r="AP602" t="s">
        <v>3889</v>
      </c>
      <c r="AQ602" t="s">
        <v>3890</v>
      </c>
      <c r="AR602" t="s">
        <v>3891</v>
      </c>
      <c r="AS602" t="s">
        <v>3892</v>
      </c>
      <c r="AT602" t="s">
        <v>4143</v>
      </c>
      <c r="AU602" t="s">
        <v>3894</v>
      </c>
      <c r="AV602" t="s">
        <v>3895</v>
      </c>
      <c r="AW602" t="s">
        <v>3896</v>
      </c>
      <c r="AX602">
        <v>6</v>
      </c>
      <c r="AY602">
        <v>2</v>
      </c>
      <c r="AZ602" t="s">
        <v>3897</v>
      </c>
      <c r="BA602">
        <v>10</v>
      </c>
      <c r="BB602" t="s">
        <v>3898</v>
      </c>
      <c r="BC602">
        <v>3</v>
      </c>
      <c r="BD602">
        <v>5</v>
      </c>
      <c r="BE602" t="s">
        <v>3899</v>
      </c>
      <c r="BF602">
        <v>3</v>
      </c>
      <c r="BG602">
        <v>13</v>
      </c>
      <c r="BH602" t="s">
        <v>3900</v>
      </c>
      <c r="BI602" t="s">
        <v>5436</v>
      </c>
      <c r="BJ602">
        <v>1</v>
      </c>
      <c r="BK602" t="s">
        <v>3902</v>
      </c>
    </row>
    <row r="603" spans="1:63" x14ac:dyDescent="0.25">
      <c r="A603">
        <v>4587</v>
      </c>
      <c r="B603" t="str">
        <f>"20200130129017151523"</f>
        <v>20200130129017151523</v>
      </c>
      <c r="C603">
        <v>1</v>
      </c>
      <c r="D603">
        <v>1</v>
      </c>
      <c r="E603" t="s">
        <v>3886</v>
      </c>
      <c r="F603">
        <v>1</v>
      </c>
      <c r="G603">
        <v>0</v>
      </c>
      <c r="H603" t="s">
        <v>66</v>
      </c>
      <c r="I603">
        <v>0</v>
      </c>
      <c r="J603" t="s">
        <v>66</v>
      </c>
      <c r="K603">
        <v>0</v>
      </c>
      <c r="L603" t="s">
        <v>66</v>
      </c>
      <c r="M603" t="s">
        <v>56</v>
      </c>
      <c r="N603">
        <v>0</v>
      </c>
      <c r="O603" t="s">
        <v>66</v>
      </c>
      <c r="P603" t="s">
        <v>56</v>
      </c>
      <c r="Q603">
        <v>0</v>
      </c>
      <c r="R603" t="s">
        <v>66</v>
      </c>
      <c r="S603" t="s">
        <v>56</v>
      </c>
      <c r="T603">
        <v>1</v>
      </c>
      <c r="U603" t="s">
        <v>1627</v>
      </c>
      <c r="V603" t="s">
        <v>56</v>
      </c>
      <c r="W603">
        <v>0</v>
      </c>
      <c r="X603" t="s">
        <v>66</v>
      </c>
      <c r="Y603" t="s">
        <v>56</v>
      </c>
      <c r="Z603">
        <v>0</v>
      </c>
      <c r="AA603" t="s">
        <v>66</v>
      </c>
      <c r="AB603" t="s">
        <v>56</v>
      </c>
      <c r="AC603">
        <v>1</v>
      </c>
      <c r="AD603" t="s">
        <v>1627</v>
      </c>
      <c r="AE603" t="s">
        <v>3887</v>
      </c>
      <c r="AF603">
        <v>0</v>
      </c>
      <c r="AG603" t="s">
        <v>66</v>
      </c>
      <c r="AH603" t="s">
        <v>56</v>
      </c>
      <c r="AI603">
        <v>1</v>
      </c>
      <c r="AJ603" t="s">
        <v>1627</v>
      </c>
      <c r="AK603" t="s">
        <v>56</v>
      </c>
      <c r="AL603" t="s">
        <v>56</v>
      </c>
      <c r="AM603" t="s">
        <v>56</v>
      </c>
      <c r="AN603" t="s">
        <v>56</v>
      </c>
      <c r="AO603" t="s">
        <v>5333</v>
      </c>
      <c r="AP603" t="s">
        <v>3939</v>
      </c>
      <c r="AQ603" t="s">
        <v>3940</v>
      </c>
      <c r="AR603" t="s">
        <v>3941</v>
      </c>
      <c r="AS603" t="s">
        <v>3942</v>
      </c>
      <c r="AT603" t="s">
        <v>5519</v>
      </c>
      <c r="AU603" t="s">
        <v>3944</v>
      </c>
      <c r="AV603" t="s">
        <v>3945</v>
      </c>
      <c r="AW603" t="s">
        <v>3946</v>
      </c>
      <c r="AX603">
        <v>12</v>
      </c>
      <c r="AY603">
        <v>3</v>
      </c>
      <c r="AZ603" t="s">
        <v>3911</v>
      </c>
      <c r="BA603">
        <v>10</v>
      </c>
      <c r="BB603" t="s">
        <v>3898</v>
      </c>
      <c r="BC603">
        <v>1</v>
      </c>
      <c r="BD603">
        <v>5</v>
      </c>
      <c r="BE603" t="s">
        <v>3899</v>
      </c>
      <c r="BF603">
        <v>60</v>
      </c>
      <c r="BG603">
        <v>66</v>
      </c>
      <c r="BH603" t="s">
        <v>3965</v>
      </c>
      <c r="BI603" t="s">
        <v>5520</v>
      </c>
      <c r="BJ603">
        <v>1</v>
      </c>
      <c r="BK603" t="s">
        <v>3902</v>
      </c>
    </row>
    <row r="604" spans="1:63" x14ac:dyDescent="0.25">
      <c r="A604">
        <v>4588</v>
      </c>
      <c r="B604" t="str">
        <f>"20200130117017152046"</f>
        <v>20200130117017152046</v>
      </c>
      <c r="C604">
        <v>1</v>
      </c>
      <c r="D604">
        <v>1</v>
      </c>
      <c r="E604" t="s">
        <v>3886</v>
      </c>
      <c r="F604">
        <v>2</v>
      </c>
      <c r="G604">
        <v>0</v>
      </c>
      <c r="H604" t="s">
        <v>66</v>
      </c>
      <c r="I604">
        <v>0</v>
      </c>
      <c r="J604" t="s">
        <v>66</v>
      </c>
      <c r="K604">
        <v>0</v>
      </c>
      <c r="L604" t="s">
        <v>66</v>
      </c>
      <c r="M604" t="s">
        <v>56</v>
      </c>
      <c r="N604">
        <v>0</v>
      </c>
      <c r="O604" t="s">
        <v>66</v>
      </c>
      <c r="P604" t="s">
        <v>56</v>
      </c>
      <c r="Q604">
        <v>0</v>
      </c>
      <c r="R604" t="s">
        <v>66</v>
      </c>
      <c r="S604" t="s">
        <v>56</v>
      </c>
      <c r="T604">
        <v>1</v>
      </c>
      <c r="U604" t="s">
        <v>1627</v>
      </c>
      <c r="V604" t="s">
        <v>56</v>
      </c>
      <c r="W604">
        <v>0</v>
      </c>
      <c r="X604" t="s">
        <v>66</v>
      </c>
      <c r="Y604" t="s">
        <v>56</v>
      </c>
      <c r="Z604">
        <v>0</v>
      </c>
      <c r="AA604" t="s">
        <v>66</v>
      </c>
      <c r="AB604" t="s">
        <v>56</v>
      </c>
      <c r="AC604">
        <v>1</v>
      </c>
      <c r="AD604" t="s">
        <v>1627</v>
      </c>
      <c r="AE604" t="s">
        <v>3887</v>
      </c>
      <c r="AF604">
        <v>0</v>
      </c>
      <c r="AG604" t="s">
        <v>66</v>
      </c>
      <c r="AH604" t="s">
        <v>56</v>
      </c>
      <c r="AI604">
        <v>1</v>
      </c>
      <c r="AJ604" t="s">
        <v>1627</v>
      </c>
      <c r="AK604" t="s">
        <v>56</v>
      </c>
      <c r="AL604" t="s">
        <v>56</v>
      </c>
      <c r="AM604" t="s">
        <v>56</v>
      </c>
      <c r="AN604" t="s">
        <v>56</v>
      </c>
      <c r="AO604" t="s">
        <v>5521</v>
      </c>
      <c r="AP604" t="s">
        <v>3939</v>
      </c>
      <c r="AQ604" t="s">
        <v>3940</v>
      </c>
      <c r="AR604" t="s">
        <v>3941</v>
      </c>
      <c r="AS604" t="s">
        <v>3942</v>
      </c>
      <c r="AT604" t="s">
        <v>5522</v>
      </c>
      <c r="AU604" t="s">
        <v>3944</v>
      </c>
      <c r="AV604" t="s">
        <v>3945</v>
      </c>
      <c r="AW604" t="s">
        <v>3946</v>
      </c>
      <c r="AX604">
        <v>12</v>
      </c>
      <c r="AY604">
        <v>2</v>
      </c>
      <c r="AZ604" t="s">
        <v>3897</v>
      </c>
      <c r="BA604">
        <v>10</v>
      </c>
      <c r="BB604" t="s">
        <v>3898</v>
      </c>
      <c r="BC604">
        <v>3</v>
      </c>
      <c r="BD604">
        <v>5</v>
      </c>
      <c r="BE604" t="s">
        <v>3899</v>
      </c>
      <c r="BF604">
        <v>180</v>
      </c>
      <c r="BG604">
        <v>14</v>
      </c>
      <c r="BH604" t="s">
        <v>3947</v>
      </c>
      <c r="BI604" t="s">
        <v>5523</v>
      </c>
      <c r="BJ604">
        <v>1</v>
      </c>
      <c r="BK604" t="s">
        <v>3902</v>
      </c>
    </row>
    <row r="605" spans="1:63" x14ac:dyDescent="0.25">
      <c r="A605">
        <v>4589</v>
      </c>
      <c r="B605" t="str">
        <f>"20200130169017152100"</f>
        <v>20200130169017152100</v>
      </c>
      <c r="C605">
        <v>1</v>
      </c>
      <c r="D605">
        <v>1</v>
      </c>
      <c r="E605" t="s">
        <v>3886</v>
      </c>
      <c r="F605">
        <v>2</v>
      </c>
      <c r="G605">
        <v>0</v>
      </c>
      <c r="H605" t="s">
        <v>66</v>
      </c>
      <c r="I605">
        <v>0</v>
      </c>
      <c r="J605" t="s">
        <v>66</v>
      </c>
      <c r="K605">
        <v>0</v>
      </c>
      <c r="L605" t="s">
        <v>66</v>
      </c>
      <c r="M605" t="s">
        <v>56</v>
      </c>
      <c r="N605">
        <v>0</v>
      </c>
      <c r="O605" t="s">
        <v>66</v>
      </c>
      <c r="P605" t="s">
        <v>56</v>
      </c>
      <c r="Q605">
        <v>0</v>
      </c>
      <c r="R605" t="s">
        <v>66</v>
      </c>
      <c r="S605" t="s">
        <v>56</v>
      </c>
      <c r="T605">
        <v>1</v>
      </c>
      <c r="U605" t="s">
        <v>1627</v>
      </c>
      <c r="V605" t="s">
        <v>56</v>
      </c>
      <c r="W605">
        <v>0</v>
      </c>
      <c r="X605" t="s">
        <v>66</v>
      </c>
      <c r="Y605" t="s">
        <v>56</v>
      </c>
      <c r="Z605">
        <v>0</v>
      </c>
      <c r="AA605" t="s">
        <v>66</v>
      </c>
      <c r="AB605" t="s">
        <v>56</v>
      </c>
      <c r="AC605">
        <v>1</v>
      </c>
      <c r="AD605" t="s">
        <v>1627</v>
      </c>
      <c r="AE605" t="s">
        <v>3887</v>
      </c>
      <c r="AF605">
        <v>0</v>
      </c>
      <c r="AG605" t="s">
        <v>66</v>
      </c>
      <c r="AH605" t="s">
        <v>56</v>
      </c>
      <c r="AI605">
        <v>1</v>
      </c>
      <c r="AJ605" t="s">
        <v>1627</v>
      </c>
      <c r="AK605" t="s">
        <v>56</v>
      </c>
      <c r="AL605" t="s">
        <v>56</v>
      </c>
      <c r="AM605" t="s">
        <v>56</v>
      </c>
      <c r="AN605" t="s">
        <v>56</v>
      </c>
      <c r="AO605" t="s">
        <v>3888</v>
      </c>
      <c r="AP605" t="s">
        <v>3889</v>
      </c>
      <c r="AQ605" t="s">
        <v>3890</v>
      </c>
      <c r="AR605" t="s">
        <v>3891</v>
      </c>
      <c r="AS605" t="s">
        <v>3892</v>
      </c>
      <c r="AT605" t="s">
        <v>3893</v>
      </c>
      <c r="AU605" t="s">
        <v>3894</v>
      </c>
      <c r="AV605" t="s">
        <v>3895</v>
      </c>
      <c r="AW605" t="s">
        <v>3896</v>
      </c>
      <c r="AX605">
        <v>6</v>
      </c>
      <c r="AY605">
        <v>2</v>
      </c>
      <c r="AZ605" t="s">
        <v>3897</v>
      </c>
      <c r="BA605">
        <v>10</v>
      </c>
      <c r="BB605" t="s">
        <v>3898</v>
      </c>
      <c r="BC605">
        <v>2</v>
      </c>
      <c r="BD605">
        <v>5</v>
      </c>
      <c r="BE605" t="s">
        <v>3899</v>
      </c>
      <c r="BF605">
        <v>2</v>
      </c>
      <c r="BG605">
        <v>13</v>
      </c>
      <c r="BH605" t="s">
        <v>3900</v>
      </c>
      <c r="BI605" t="s">
        <v>5472</v>
      </c>
      <c r="BJ605">
        <v>1</v>
      </c>
      <c r="BK605" t="s">
        <v>3902</v>
      </c>
    </row>
    <row r="606" spans="1:63" x14ac:dyDescent="0.25">
      <c r="A606">
        <v>4290</v>
      </c>
      <c r="B606" t="str">
        <f>"20200128129017083164"</f>
        <v>20200128129017083164</v>
      </c>
      <c r="C606">
        <v>1</v>
      </c>
      <c r="D606">
        <v>1</v>
      </c>
      <c r="E606" t="s">
        <v>3886</v>
      </c>
      <c r="F606">
        <v>1</v>
      </c>
      <c r="G606">
        <v>0</v>
      </c>
      <c r="H606" t="s">
        <v>66</v>
      </c>
      <c r="I606">
        <v>0</v>
      </c>
      <c r="J606" t="s">
        <v>66</v>
      </c>
      <c r="K606">
        <v>0</v>
      </c>
      <c r="L606" t="s">
        <v>66</v>
      </c>
      <c r="M606" t="s">
        <v>56</v>
      </c>
      <c r="N606">
        <v>0</v>
      </c>
      <c r="O606" t="s">
        <v>66</v>
      </c>
      <c r="P606" t="s">
        <v>56</v>
      </c>
      <c r="Q606">
        <v>0</v>
      </c>
      <c r="R606" t="s">
        <v>66</v>
      </c>
      <c r="S606" t="s">
        <v>56</v>
      </c>
      <c r="T606">
        <v>1</v>
      </c>
      <c r="U606" t="s">
        <v>1627</v>
      </c>
      <c r="V606" t="s">
        <v>56</v>
      </c>
      <c r="W606">
        <v>0</v>
      </c>
      <c r="X606" t="s">
        <v>66</v>
      </c>
      <c r="Y606" t="s">
        <v>56</v>
      </c>
      <c r="Z606">
        <v>0</v>
      </c>
      <c r="AA606" t="s">
        <v>66</v>
      </c>
      <c r="AB606" t="s">
        <v>56</v>
      </c>
      <c r="AC606">
        <v>1</v>
      </c>
      <c r="AD606" t="s">
        <v>1627</v>
      </c>
      <c r="AE606" t="s">
        <v>3887</v>
      </c>
      <c r="AF606">
        <v>0</v>
      </c>
      <c r="AG606" t="s">
        <v>66</v>
      </c>
      <c r="AH606" t="s">
        <v>56</v>
      </c>
      <c r="AI606">
        <v>1</v>
      </c>
      <c r="AJ606" t="s">
        <v>1627</v>
      </c>
      <c r="AK606">
        <v>0</v>
      </c>
      <c r="AL606" t="s">
        <v>66</v>
      </c>
      <c r="AM606" t="s">
        <v>56</v>
      </c>
      <c r="AN606" t="s">
        <v>56</v>
      </c>
      <c r="AO606" t="s">
        <v>5524</v>
      </c>
      <c r="AP606" t="s">
        <v>3962</v>
      </c>
      <c r="AQ606" t="s">
        <v>3963</v>
      </c>
      <c r="AR606" t="s">
        <v>3941</v>
      </c>
      <c r="AS606" t="s">
        <v>3942</v>
      </c>
      <c r="AT606" t="s">
        <v>5525</v>
      </c>
      <c r="AU606">
        <v>9000</v>
      </c>
      <c r="AV606" t="s">
        <v>3956</v>
      </c>
      <c r="AW606" t="s">
        <v>3956</v>
      </c>
      <c r="AX606">
        <v>24</v>
      </c>
      <c r="AY606">
        <v>2</v>
      </c>
      <c r="AZ606" t="s">
        <v>3897</v>
      </c>
      <c r="BA606">
        <v>10</v>
      </c>
      <c r="BB606" t="s">
        <v>3898</v>
      </c>
      <c r="BC606">
        <v>14</v>
      </c>
      <c r="BD606">
        <v>3</v>
      </c>
      <c r="BE606" t="s">
        <v>3911</v>
      </c>
      <c r="BF606">
        <v>14</v>
      </c>
      <c r="BG606">
        <v>66</v>
      </c>
      <c r="BH606" t="s">
        <v>3965</v>
      </c>
      <c r="BI606" t="s">
        <v>5526</v>
      </c>
      <c r="BJ606">
        <v>1</v>
      </c>
      <c r="BK606" t="s">
        <v>3902</v>
      </c>
    </row>
    <row r="607" spans="1:63" x14ac:dyDescent="0.25">
      <c r="A607">
        <v>4590</v>
      </c>
      <c r="B607" t="str">
        <f>"20200130141017152191"</f>
        <v>20200130141017152191</v>
      </c>
      <c r="C607">
        <v>1</v>
      </c>
      <c r="D607">
        <v>1</v>
      </c>
      <c r="E607" t="s">
        <v>3886</v>
      </c>
      <c r="F607">
        <v>2</v>
      </c>
      <c r="G607">
        <v>0</v>
      </c>
      <c r="H607" t="s">
        <v>66</v>
      </c>
      <c r="I607">
        <v>0</v>
      </c>
      <c r="J607" t="s">
        <v>66</v>
      </c>
      <c r="K607">
        <v>0</v>
      </c>
      <c r="L607" t="s">
        <v>66</v>
      </c>
      <c r="M607" t="s">
        <v>56</v>
      </c>
      <c r="N607">
        <v>0</v>
      </c>
      <c r="O607" t="s">
        <v>66</v>
      </c>
      <c r="P607" t="s">
        <v>56</v>
      </c>
      <c r="Q607">
        <v>0</v>
      </c>
      <c r="R607" t="s">
        <v>66</v>
      </c>
      <c r="S607" t="s">
        <v>56</v>
      </c>
      <c r="T607">
        <v>1</v>
      </c>
      <c r="U607" t="s">
        <v>1627</v>
      </c>
      <c r="V607" t="s">
        <v>56</v>
      </c>
      <c r="W607">
        <v>0</v>
      </c>
      <c r="X607" t="s">
        <v>66</v>
      </c>
      <c r="Y607" t="s">
        <v>56</v>
      </c>
      <c r="Z607">
        <v>0</v>
      </c>
      <c r="AA607" t="s">
        <v>66</v>
      </c>
      <c r="AB607" t="s">
        <v>56</v>
      </c>
      <c r="AC607">
        <v>1</v>
      </c>
      <c r="AD607" t="s">
        <v>1627</v>
      </c>
      <c r="AE607" t="s">
        <v>3887</v>
      </c>
      <c r="AF607">
        <v>0</v>
      </c>
      <c r="AG607" t="s">
        <v>66</v>
      </c>
      <c r="AH607" t="s">
        <v>56</v>
      </c>
      <c r="AI607">
        <v>1</v>
      </c>
      <c r="AJ607" t="s">
        <v>1627</v>
      </c>
      <c r="AK607" t="s">
        <v>56</v>
      </c>
      <c r="AL607" t="s">
        <v>56</v>
      </c>
      <c r="AM607" t="s">
        <v>56</v>
      </c>
      <c r="AN607" t="s">
        <v>56</v>
      </c>
      <c r="AO607" t="s">
        <v>3888</v>
      </c>
      <c r="AP607" t="s">
        <v>3889</v>
      </c>
      <c r="AQ607" t="s">
        <v>3890</v>
      </c>
      <c r="AR607" t="s">
        <v>3891</v>
      </c>
      <c r="AS607" t="s">
        <v>3892</v>
      </c>
      <c r="AT607" t="s">
        <v>3893</v>
      </c>
      <c r="AU607" t="s">
        <v>3894</v>
      </c>
      <c r="AV607" t="s">
        <v>3895</v>
      </c>
      <c r="AW607" t="s">
        <v>3896</v>
      </c>
      <c r="AX607">
        <v>6</v>
      </c>
      <c r="AY607">
        <v>2</v>
      </c>
      <c r="AZ607" t="s">
        <v>3897</v>
      </c>
      <c r="BA607">
        <v>10</v>
      </c>
      <c r="BB607" t="s">
        <v>3898</v>
      </c>
      <c r="BC607">
        <v>2</v>
      </c>
      <c r="BD607">
        <v>5</v>
      </c>
      <c r="BE607" t="s">
        <v>3899</v>
      </c>
      <c r="BF607">
        <v>2</v>
      </c>
      <c r="BG607">
        <v>13</v>
      </c>
      <c r="BH607" t="s">
        <v>3900</v>
      </c>
      <c r="BI607" t="s">
        <v>4198</v>
      </c>
      <c r="BJ607">
        <v>1</v>
      </c>
      <c r="BK607" t="s">
        <v>3902</v>
      </c>
    </row>
    <row r="608" spans="1:63" x14ac:dyDescent="0.25">
      <c r="A608">
        <v>4591</v>
      </c>
      <c r="B608" t="str">
        <f>"20200130119017152283"</f>
        <v>20200130119017152283</v>
      </c>
      <c r="C608">
        <v>1</v>
      </c>
      <c r="D608">
        <v>1</v>
      </c>
      <c r="E608" t="s">
        <v>3886</v>
      </c>
      <c r="F608">
        <v>2</v>
      </c>
      <c r="G608">
        <v>0</v>
      </c>
      <c r="H608" t="s">
        <v>66</v>
      </c>
      <c r="I608">
        <v>0</v>
      </c>
      <c r="J608" t="s">
        <v>66</v>
      </c>
      <c r="K608">
        <v>0</v>
      </c>
      <c r="L608" t="s">
        <v>66</v>
      </c>
      <c r="M608" t="s">
        <v>56</v>
      </c>
      <c r="N608">
        <v>0</v>
      </c>
      <c r="O608" t="s">
        <v>66</v>
      </c>
      <c r="P608" t="s">
        <v>56</v>
      </c>
      <c r="Q608">
        <v>0</v>
      </c>
      <c r="R608" t="s">
        <v>66</v>
      </c>
      <c r="S608" t="s">
        <v>56</v>
      </c>
      <c r="T608">
        <v>1</v>
      </c>
      <c r="U608" t="s">
        <v>1627</v>
      </c>
      <c r="V608" t="s">
        <v>56</v>
      </c>
      <c r="W608">
        <v>0</v>
      </c>
      <c r="X608" t="s">
        <v>66</v>
      </c>
      <c r="Y608" t="s">
        <v>56</v>
      </c>
      <c r="Z608">
        <v>0</v>
      </c>
      <c r="AA608" t="s">
        <v>66</v>
      </c>
      <c r="AB608" t="s">
        <v>56</v>
      </c>
      <c r="AC608">
        <v>1</v>
      </c>
      <c r="AD608" t="s">
        <v>1627</v>
      </c>
      <c r="AE608" t="s">
        <v>3887</v>
      </c>
      <c r="AF608">
        <v>0</v>
      </c>
      <c r="AG608" t="s">
        <v>66</v>
      </c>
      <c r="AH608" t="s">
        <v>56</v>
      </c>
      <c r="AI608">
        <v>1</v>
      </c>
      <c r="AJ608" t="s">
        <v>1627</v>
      </c>
      <c r="AK608" t="s">
        <v>56</v>
      </c>
      <c r="AL608" t="s">
        <v>56</v>
      </c>
      <c r="AM608" t="s">
        <v>56</v>
      </c>
      <c r="AN608" t="s">
        <v>56</v>
      </c>
      <c r="AO608" t="s">
        <v>3888</v>
      </c>
      <c r="AP608" t="s">
        <v>3889</v>
      </c>
      <c r="AQ608" t="s">
        <v>3890</v>
      </c>
      <c r="AR608" t="s">
        <v>3891</v>
      </c>
      <c r="AS608" t="s">
        <v>3892</v>
      </c>
      <c r="AT608" t="s">
        <v>3893</v>
      </c>
      <c r="AU608" t="s">
        <v>3894</v>
      </c>
      <c r="AV608" t="s">
        <v>3895</v>
      </c>
      <c r="AW608" t="s">
        <v>3896</v>
      </c>
      <c r="AX608">
        <v>6</v>
      </c>
      <c r="AY608">
        <v>2</v>
      </c>
      <c r="AZ608" t="s">
        <v>3897</v>
      </c>
      <c r="BA608">
        <v>10</v>
      </c>
      <c r="BB608" t="s">
        <v>3898</v>
      </c>
      <c r="BC608">
        <v>4</v>
      </c>
      <c r="BD608">
        <v>5</v>
      </c>
      <c r="BE608" t="s">
        <v>3899</v>
      </c>
      <c r="BF608">
        <v>4</v>
      </c>
      <c r="BG608">
        <v>13</v>
      </c>
      <c r="BH608" t="s">
        <v>3900</v>
      </c>
      <c r="BI608" t="s">
        <v>4264</v>
      </c>
      <c r="BJ608">
        <v>1</v>
      </c>
      <c r="BK608" t="s">
        <v>3902</v>
      </c>
    </row>
    <row r="609" spans="1:63" x14ac:dyDescent="0.25">
      <c r="A609">
        <v>4592</v>
      </c>
      <c r="B609" t="str">
        <f>"20200130144017152418"</f>
        <v>20200130144017152418</v>
      </c>
      <c r="C609">
        <v>1</v>
      </c>
      <c r="D609">
        <v>1</v>
      </c>
      <c r="E609" t="s">
        <v>3886</v>
      </c>
      <c r="F609">
        <v>2</v>
      </c>
      <c r="G609">
        <v>0</v>
      </c>
      <c r="H609" t="s">
        <v>66</v>
      </c>
      <c r="I609">
        <v>0</v>
      </c>
      <c r="J609" t="s">
        <v>66</v>
      </c>
      <c r="K609">
        <v>1</v>
      </c>
      <c r="L609" t="s">
        <v>1627</v>
      </c>
      <c r="M609" t="s">
        <v>4547</v>
      </c>
      <c r="N609">
        <v>1</v>
      </c>
      <c r="O609" t="s">
        <v>1627</v>
      </c>
      <c r="P609" t="s">
        <v>4195</v>
      </c>
      <c r="Q609">
        <v>0</v>
      </c>
      <c r="R609" t="s">
        <v>66</v>
      </c>
      <c r="S609" t="s">
        <v>56</v>
      </c>
      <c r="T609" t="s">
        <v>56</v>
      </c>
      <c r="U609" t="s">
        <v>56</v>
      </c>
      <c r="V609" t="s">
        <v>56</v>
      </c>
      <c r="W609">
        <v>0</v>
      </c>
      <c r="X609" t="s">
        <v>66</v>
      </c>
      <c r="Y609" t="s">
        <v>56</v>
      </c>
      <c r="Z609">
        <v>0</v>
      </c>
      <c r="AA609" t="s">
        <v>66</v>
      </c>
      <c r="AB609" t="s">
        <v>56</v>
      </c>
      <c r="AC609">
        <v>0</v>
      </c>
      <c r="AD609" t="s">
        <v>66</v>
      </c>
      <c r="AE609" t="s">
        <v>56</v>
      </c>
      <c r="AF609">
        <v>0</v>
      </c>
      <c r="AG609" t="s">
        <v>66</v>
      </c>
      <c r="AH609" t="s">
        <v>56</v>
      </c>
      <c r="AI609">
        <v>1</v>
      </c>
      <c r="AJ609" t="s">
        <v>1627</v>
      </c>
      <c r="AK609" t="s">
        <v>56</v>
      </c>
      <c r="AL609" t="s">
        <v>56</v>
      </c>
      <c r="AM609" t="s">
        <v>56</v>
      </c>
      <c r="AN609" t="s">
        <v>56</v>
      </c>
      <c r="AO609" t="s">
        <v>5527</v>
      </c>
      <c r="AP609" t="s">
        <v>3889</v>
      </c>
      <c r="AQ609" t="s">
        <v>3890</v>
      </c>
      <c r="AR609" t="s">
        <v>3926</v>
      </c>
      <c r="AS609" t="s">
        <v>3927</v>
      </c>
      <c r="AT609" t="s">
        <v>5528</v>
      </c>
      <c r="AU609" t="s">
        <v>3894</v>
      </c>
      <c r="AV609" t="s">
        <v>3895</v>
      </c>
      <c r="AW609" t="s">
        <v>3896</v>
      </c>
      <c r="AX609">
        <v>24</v>
      </c>
      <c r="AY609">
        <v>2</v>
      </c>
      <c r="AZ609" t="s">
        <v>3897</v>
      </c>
      <c r="BA609">
        <v>10</v>
      </c>
      <c r="BB609" t="s">
        <v>3898</v>
      </c>
      <c r="BC609">
        <v>2</v>
      </c>
      <c r="BD609">
        <v>5</v>
      </c>
      <c r="BE609" t="s">
        <v>3899</v>
      </c>
      <c r="BF609">
        <v>2</v>
      </c>
      <c r="BG609">
        <v>13</v>
      </c>
      <c r="BH609" t="s">
        <v>3900</v>
      </c>
      <c r="BI609" t="s">
        <v>5529</v>
      </c>
      <c r="BJ609">
        <v>1</v>
      </c>
      <c r="BK609" t="s">
        <v>3902</v>
      </c>
    </row>
    <row r="610" spans="1:63" x14ac:dyDescent="0.25">
      <c r="A610">
        <v>4593</v>
      </c>
      <c r="B610" t="str">
        <f>"20200130154017152517"</f>
        <v>20200130154017152517</v>
      </c>
      <c r="C610">
        <v>1</v>
      </c>
      <c r="D610">
        <v>1</v>
      </c>
      <c r="E610" t="s">
        <v>3886</v>
      </c>
      <c r="F610">
        <v>1</v>
      </c>
      <c r="G610">
        <v>0</v>
      </c>
      <c r="H610" t="s">
        <v>66</v>
      </c>
      <c r="I610">
        <v>0</v>
      </c>
      <c r="J610" t="s">
        <v>66</v>
      </c>
      <c r="K610">
        <v>0</v>
      </c>
      <c r="L610" t="s">
        <v>66</v>
      </c>
      <c r="M610" t="s">
        <v>56</v>
      </c>
      <c r="N610">
        <v>0</v>
      </c>
      <c r="O610" t="s">
        <v>66</v>
      </c>
      <c r="P610" t="s">
        <v>56</v>
      </c>
      <c r="Q610">
        <v>0</v>
      </c>
      <c r="R610" t="s">
        <v>66</v>
      </c>
      <c r="S610" t="s">
        <v>56</v>
      </c>
      <c r="T610">
        <v>1</v>
      </c>
      <c r="U610" t="s">
        <v>1627</v>
      </c>
      <c r="V610" t="s">
        <v>56</v>
      </c>
      <c r="W610">
        <v>0</v>
      </c>
      <c r="X610" t="s">
        <v>66</v>
      </c>
      <c r="Y610" t="s">
        <v>56</v>
      </c>
      <c r="Z610">
        <v>0</v>
      </c>
      <c r="AA610" t="s">
        <v>66</v>
      </c>
      <c r="AB610" t="s">
        <v>56</v>
      </c>
      <c r="AC610">
        <v>1</v>
      </c>
      <c r="AD610" t="s">
        <v>1627</v>
      </c>
      <c r="AE610" t="s">
        <v>3887</v>
      </c>
      <c r="AF610">
        <v>0</v>
      </c>
      <c r="AG610" t="s">
        <v>66</v>
      </c>
      <c r="AH610" t="s">
        <v>56</v>
      </c>
      <c r="AI610">
        <v>1</v>
      </c>
      <c r="AJ610" t="s">
        <v>1627</v>
      </c>
      <c r="AK610" t="s">
        <v>56</v>
      </c>
      <c r="AL610" t="s">
        <v>56</v>
      </c>
      <c r="AM610" t="s">
        <v>56</v>
      </c>
      <c r="AN610" t="s">
        <v>56</v>
      </c>
      <c r="AO610" t="s">
        <v>4139</v>
      </c>
      <c r="AP610" t="s">
        <v>3889</v>
      </c>
      <c r="AQ610" t="s">
        <v>3890</v>
      </c>
      <c r="AR610" t="s">
        <v>3926</v>
      </c>
      <c r="AS610" t="s">
        <v>3927</v>
      </c>
      <c r="AT610" t="s">
        <v>5530</v>
      </c>
      <c r="AU610" t="s">
        <v>3894</v>
      </c>
      <c r="AV610" t="s">
        <v>3895</v>
      </c>
      <c r="AW610" t="s">
        <v>3896</v>
      </c>
      <c r="AX610">
        <v>12</v>
      </c>
      <c r="AY610">
        <v>2</v>
      </c>
      <c r="AZ610" t="s">
        <v>3897</v>
      </c>
      <c r="BA610">
        <v>1</v>
      </c>
      <c r="BB610" t="s">
        <v>4149</v>
      </c>
      <c r="BC610">
        <v>3</v>
      </c>
      <c r="BD610">
        <v>5</v>
      </c>
      <c r="BE610" t="s">
        <v>3899</v>
      </c>
      <c r="BF610">
        <v>4</v>
      </c>
      <c r="BG610">
        <v>13</v>
      </c>
      <c r="BH610" t="s">
        <v>3900</v>
      </c>
      <c r="BI610" t="s">
        <v>5531</v>
      </c>
      <c r="BJ610">
        <v>1</v>
      </c>
      <c r="BK610" t="s">
        <v>3902</v>
      </c>
    </row>
    <row r="611" spans="1:63" x14ac:dyDescent="0.25">
      <c r="A611">
        <v>4594</v>
      </c>
      <c r="B611" t="str">
        <f>"20200130156017153019"</f>
        <v>20200130156017153019</v>
      </c>
      <c r="C611">
        <v>1</v>
      </c>
      <c r="D611">
        <v>1</v>
      </c>
      <c r="E611" t="s">
        <v>3886</v>
      </c>
      <c r="F611">
        <v>2</v>
      </c>
      <c r="G611">
        <v>0</v>
      </c>
      <c r="H611" t="s">
        <v>66</v>
      </c>
      <c r="I611">
        <v>0</v>
      </c>
      <c r="J611" t="s">
        <v>66</v>
      </c>
      <c r="K611">
        <v>0</v>
      </c>
      <c r="L611" t="s">
        <v>66</v>
      </c>
      <c r="M611" t="s">
        <v>56</v>
      </c>
      <c r="N611">
        <v>0</v>
      </c>
      <c r="O611" t="s">
        <v>66</v>
      </c>
      <c r="P611" t="s">
        <v>56</v>
      </c>
      <c r="Q611">
        <v>0</v>
      </c>
      <c r="R611" t="s">
        <v>66</v>
      </c>
      <c r="S611" t="s">
        <v>56</v>
      </c>
      <c r="T611">
        <v>1</v>
      </c>
      <c r="U611" t="s">
        <v>1627</v>
      </c>
      <c r="V611" t="s">
        <v>56</v>
      </c>
      <c r="W611">
        <v>0</v>
      </c>
      <c r="X611" t="s">
        <v>66</v>
      </c>
      <c r="Y611" t="s">
        <v>56</v>
      </c>
      <c r="Z611">
        <v>0</v>
      </c>
      <c r="AA611" t="s">
        <v>66</v>
      </c>
      <c r="AB611" t="s">
        <v>56</v>
      </c>
      <c r="AC611">
        <v>1</v>
      </c>
      <c r="AD611" t="s">
        <v>1627</v>
      </c>
      <c r="AE611" t="s">
        <v>3887</v>
      </c>
      <c r="AF611">
        <v>0</v>
      </c>
      <c r="AG611" t="s">
        <v>66</v>
      </c>
      <c r="AH611" t="s">
        <v>56</v>
      </c>
      <c r="AI611">
        <v>1</v>
      </c>
      <c r="AJ611" t="s">
        <v>1627</v>
      </c>
      <c r="AK611" t="s">
        <v>56</v>
      </c>
      <c r="AL611" t="s">
        <v>56</v>
      </c>
      <c r="AM611" t="s">
        <v>56</v>
      </c>
      <c r="AN611" t="s">
        <v>56</v>
      </c>
      <c r="AO611" t="s">
        <v>5521</v>
      </c>
      <c r="AP611" t="s">
        <v>3939</v>
      </c>
      <c r="AQ611" t="s">
        <v>3940</v>
      </c>
      <c r="AR611" t="s">
        <v>3941</v>
      </c>
      <c r="AS611" t="s">
        <v>3942</v>
      </c>
      <c r="AT611" t="s">
        <v>5532</v>
      </c>
      <c r="AU611" t="s">
        <v>3944</v>
      </c>
      <c r="AV611" t="s">
        <v>3945</v>
      </c>
      <c r="AW611" t="s">
        <v>3946</v>
      </c>
      <c r="AX611">
        <v>12</v>
      </c>
      <c r="AY611">
        <v>2</v>
      </c>
      <c r="AZ611" t="s">
        <v>3897</v>
      </c>
      <c r="BA611">
        <v>10</v>
      </c>
      <c r="BB611" t="s">
        <v>3898</v>
      </c>
      <c r="BC611">
        <v>3</v>
      </c>
      <c r="BD611">
        <v>5</v>
      </c>
      <c r="BE611" t="s">
        <v>3899</v>
      </c>
      <c r="BF611">
        <v>180</v>
      </c>
      <c r="BG611">
        <v>14</v>
      </c>
      <c r="BH611" t="s">
        <v>3947</v>
      </c>
      <c r="BI611" t="s">
        <v>5523</v>
      </c>
      <c r="BJ611">
        <v>1</v>
      </c>
      <c r="BK611" t="s">
        <v>3902</v>
      </c>
    </row>
    <row r="612" spans="1:63" x14ac:dyDescent="0.25">
      <c r="A612">
        <v>4595</v>
      </c>
      <c r="B612" t="str">
        <f>"20200130170017154460"</f>
        <v>20200130170017154460</v>
      </c>
      <c r="C612">
        <v>1</v>
      </c>
      <c r="D612">
        <v>1</v>
      </c>
      <c r="E612" t="s">
        <v>3886</v>
      </c>
      <c r="F612">
        <v>2</v>
      </c>
      <c r="G612">
        <v>0</v>
      </c>
      <c r="H612" t="s">
        <v>66</v>
      </c>
      <c r="I612">
        <v>0</v>
      </c>
      <c r="J612" t="s">
        <v>66</v>
      </c>
      <c r="K612">
        <v>0</v>
      </c>
      <c r="L612" t="s">
        <v>66</v>
      </c>
      <c r="M612" t="s">
        <v>56</v>
      </c>
      <c r="N612">
        <v>0</v>
      </c>
      <c r="O612" t="s">
        <v>66</v>
      </c>
      <c r="P612" t="s">
        <v>56</v>
      </c>
      <c r="Q612">
        <v>0</v>
      </c>
      <c r="R612" t="s">
        <v>66</v>
      </c>
      <c r="S612" t="s">
        <v>56</v>
      </c>
      <c r="T612">
        <v>1</v>
      </c>
      <c r="U612" t="s">
        <v>1627</v>
      </c>
      <c r="V612" t="s">
        <v>56</v>
      </c>
      <c r="W612">
        <v>0</v>
      </c>
      <c r="X612" t="s">
        <v>66</v>
      </c>
      <c r="Y612" t="s">
        <v>56</v>
      </c>
      <c r="Z612">
        <v>0</v>
      </c>
      <c r="AA612" t="s">
        <v>66</v>
      </c>
      <c r="AB612" t="s">
        <v>56</v>
      </c>
      <c r="AC612">
        <v>1</v>
      </c>
      <c r="AD612" t="s">
        <v>1627</v>
      </c>
      <c r="AE612" t="s">
        <v>3887</v>
      </c>
      <c r="AF612">
        <v>0</v>
      </c>
      <c r="AG612" t="s">
        <v>66</v>
      </c>
      <c r="AH612" t="s">
        <v>56</v>
      </c>
      <c r="AI612">
        <v>1</v>
      </c>
      <c r="AJ612" t="s">
        <v>1627</v>
      </c>
      <c r="AK612" t="s">
        <v>56</v>
      </c>
      <c r="AL612" t="s">
        <v>56</v>
      </c>
      <c r="AM612" t="s">
        <v>56</v>
      </c>
      <c r="AN612" t="s">
        <v>56</v>
      </c>
      <c r="AO612" t="s">
        <v>3888</v>
      </c>
      <c r="AP612" t="s">
        <v>3889</v>
      </c>
      <c r="AQ612" t="s">
        <v>3890</v>
      </c>
      <c r="AR612" t="s">
        <v>3891</v>
      </c>
      <c r="AS612" t="s">
        <v>3892</v>
      </c>
      <c r="AT612" t="s">
        <v>3893</v>
      </c>
      <c r="AU612" t="s">
        <v>3894</v>
      </c>
      <c r="AV612" t="s">
        <v>3895</v>
      </c>
      <c r="AW612" t="s">
        <v>3896</v>
      </c>
      <c r="AX612">
        <v>8</v>
      </c>
      <c r="AY612">
        <v>2</v>
      </c>
      <c r="AZ612" t="s">
        <v>3897</v>
      </c>
      <c r="BA612">
        <v>10</v>
      </c>
      <c r="BB612" t="s">
        <v>3898</v>
      </c>
      <c r="BC612">
        <v>3</v>
      </c>
      <c r="BD612">
        <v>5</v>
      </c>
      <c r="BE612" t="s">
        <v>3899</v>
      </c>
      <c r="BF612">
        <v>2</v>
      </c>
      <c r="BG612">
        <v>13</v>
      </c>
      <c r="BH612" t="s">
        <v>3900</v>
      </c>
      <c r="BI612" t="s">
        <v>5533</v>
      </c>
      <c r="BJ612">
        <v>1</v>
      </c>
      <c r="BK612" t="s">
        <v>3902</v>
      </c>
    </row>
    <row r="613" spans="1:63" x14ac:dyDescent="0.25">
      <c r="A613">
        <v>4596</v>
      </c>
      <c r="B613" t="str">
        <f>"20200130120017154722"</f>
        <v>20200130120017154722</v>
      </c>
      <c r="C613">
        <v>1</v>
      </c>
      <c r="D613">
        <v>1</v>
      </c>
      <c r="E613" t="s">
        <v>3886</v>
      </c>
      <c r="F613">
        <v>2</v>
      </c>
      <c r="G613">
        <v>0</v>
      </c>
      <c r="H613" t="s">
        <v>66</v>
      </c>
      <c r="I613">
        <v>0</v>
      </c>
      <c r="J613" t="s">
        <v>66</v>
      </c>
      <c r="K613">
        <v>0</v>
      </c>
      <c r="L613" t="s">
        <v>66</v>
      </c>
      <c r="M613" t="s">
        <v>56</v>
      </c>
      <c r="N613">
        <v>0</v>
      </c>
      <c r="O613" t="s">
        <v>66</v>
      </c>
      <c r="P613" t="s">
        <v>56</v>
      </c>
      <c r="Q613">
        <v>0</v>
      </c>
      <c r="R613" t="s">
        <v>66</v>
      </c>
      <c r="S613" t="s">
        <v>56</v>
      </c>
      <c r="T613">
        <v>1</v>
      </c>
      <c r="U613" t="s">
        <v>1627</v>
      </c>
      <c r="V613" t="s">
        <v>56</v>
      </c>
      <c r="W613">
        <v>0</v>
      </c>
      <c r="X613" t="s">
        <v>66</v>
      </c>
      <c r="Y613" t="s">
        <v>56</v>
      </c>
      <c r="Z613">
        <v>0</v>
      </c>
      <c r="AA613" t="s">
        <v>66</v>
      </c>
      <c r="AB613" t="s">
        <v>56</v>
      </c>
      <c r="AC613">
        <v>1</v>
      </c>
      <c r="AD613" t="s">
        <v>1627</v>
      </c>
      <c r="AE613" t="s">
        <v>3887</v>
      </c>
      <c r="AF613">
        <v>0</v>
      </c>
      <c r="AG613" t="s">
        <v>66</v>
      </c>
      <c r="AH613" t="s">
        <v>56</v>
      </c>
      <c r="AI613">
        <v>1</v>
      </c>
      <c r="AJ613" t="s">
        <v>1627</v>
      </c>
      <c r="AK613" t="s">
        <v>56</v>
      </c>
      <c r="AL613" t="s">
        <v>56</v>
      </c>
      <c r="AM613" t="s">
        <v>56</v>
      </c>
      <c r="AN613" t="s">
        <v>56</v>
      </c>
      <c r="AO613" t="s">
        <v>4272</v>
      </c>
      <c r="AP613" t="s">
        <v>3889</v>
      </c>
      <c r="AQ613" t="s">
        <v>3890</v>
      </c>
      <c r="AR613" t="s">
        <v>3891</v>
      </c>
      <c r="AS613" t="s">
        <v>3892</v>
      </c>
      <c r="AT613" t="s">
        <v>4780</v>
      </c>
      <c r="AU613" t="s">
        <v>3894</v>
      </c>
      <c r="AV613" t="s">
        <v>3895</v>
      </c>
      <c r="AW613" t="s">
        <v>3896</v>
      </c>
      <c r="AX613">
        <v>12</v>
      </c>
      <c r="AY613">
        <v>2</v>
      </c>
      <c r="AZ613" t="s">
        <v>3897</v>
      </c>
      <c r="BA613">
        <v>10</v>
      </c>
      <c r="BB613" t="s">
        <v>3898</v>
      </c>
      <c r="BC613">
        <v>4</v>
      </c>
      <c r="BD613">
        <v>5</v>
      </c>
      <c r="BE613" t="s">
        <v>3899</v>
      </c>
      <c r="BF613">
        <v>3</v>
      </c>
      <c r="BG613">
        <v>13</v>
      </c>
      <c r="BH613" t="s">
        <v>3900</v>
      </c>
      <c r="BI613" t="s">
        <v>5534</v>
      </c>
      <c r="BJ613">
        <v>1</v>
      </c>
      <c r="BK613" t="s">
        <v>3902</v>
      </c>
    </row>
    <row r="614" spans="1:63" x14ac:dyDescent="0.25">
      <c r="A614">
        <v>4597</v>
      </c>
      <c r="B614" t="str">
        <f>"20200130120017155085"</f>
        <v>20200130120017155085</v>
      </c>
      <c r="C614">
        <v>1</v>
      </c>
      <c r="D614">
        <v>1</v>
      </c>
      <c r="E614" t="s">
        <v>3886</v>
      </c>
      <c r="F614">
        <v>2</v>
      </c>
      <c r="G614">
        <v>0</v>
      </c>
      <c r="H614" t="s">
        <v>66</v>
      </c>
      <c r="I614">
        <v>0</v>
      </c>
      <c r="J614" t="s">
        <v>66</v>
      </c>
      <c r="K614">
        <v>0</v>
      </c>
      <c r="L614" t="s">
        <v>66</v>
      </c>
      <c r="M614" t="s">
        <v>56</v>
      </c>
      <c r="N614">
        <v>0</v>
      </c>
      <c r="O614" t="s">
        <v>66</v>
      </c>
      <c r="P614" t="s">
        <v>56</v>
      </c>
      <c r="Q614">
        <v>0</v>
      </c>
      <c r="R614" t="s">
        <v>66</v>
      </c>
      <c r="S614" t="s">
        <v>56</v>
      </c>
      <c r="T614">
        <v>1</v>
      </c>
      <c r="U614" t="s">
        <v>1627</v>
      </c>
      <c r="V614" t="s">
        <v>56</v>
      </c>
      <c r="W614">
        <v>0</v>
      </c>
      <c r="X614" t="s">
        <v>66</v>
      </c>
      <c r="Y614" t="s">
        <v>56</v>
      </c>
      <c r="Z614">
        <v>0</v>
      </c>
      <c r="AA614" t="s">
        <v>66</v>
      </c>
      <c r="AB614" t="s">
        <v>56</v>
      </c>
      <c r="AC614">
        <v>1</v>
      </c>
      <c r="AD614" t="s">
        <v>1627</v>
      </c>
      <c r="AE614" t="s">
        <v>3887</v>
      </c>
      <c r="AF614">
        <v>0</v>
      </c>
      <c r="AG614" t="s">
        <v>66</v>
      </c>
      <c r="AH614" t="s">
        <v>56</v>
      </c>
      <c r="AI614">
        <v>1</v>
      </c>
      <c r="AJ614" t="s">
        <v>1627</v>
      </c>
      <c r="AK614" t="s">
        <v>56</v>
      </c>
      <c r="AL614" t="s">
        <v>56</v>
      </c>
      <c r="AM614" t="s">
        <v>56</v>
      </c>
      <c r="AN614" t="s">
        <v>56</v>
      </c>
      <c r="AO614" t="s">
        <v>4421</v>
      </c>
      <c r="AP614" t="s">
        <v>3889</v>
      </c>
      <c r="AQ614" t="s">
        <v>3890</v>
      </c>
      <c r="AR614" t="s">
        <v>3904</v>
      </c>
      <c r="AS614" t="s">
        <v>3905</v>
      </c>
      <c r="AT614" t="s">
        <v>5535</v>
      </c>
      <c r="AU614" t="s">
        <v>3944</v>
      </c>
      <c r="AV614" t="s">
        <v>3945</v>
      </c>
      <c r="AW614" t="s">
        <v>3946</v>
      </c>
      <c r="AX614">
        <v>24</v>
      </c>
      <c r="AY614">
        <v>2</v>
      </c>
      <c r="AZ614" t="s">
        <v>3897</v>
      </c>
      <c r="BA614">
        <v>10</v>
      </c>
      <c r="BB614" t="s">
        <v>3898</v>
      </c>
      <c r="BC614">
        <v>30</v>
      </c>
      <c r="BD614">
        <v>3</v>
      </c>
      <c r="BE614" t="s">
        <v>3911</v>
      </c>
      <c r="BF614">
        <v>30</v>
      </c>
      <c r="BG614" t="s">
        <v>3912</v>
      </c>
      <c r="BH614" t="s">
        <v>3913</v>
      </c>
      <c r="BI614" t="s">
        <v>5536</v>
      </c>
      <c r="BJ614">
        <v>1</v>
      </c>
      <c r="BK614" t="s">
        <v>3902</v>
      </c>
    </row>
    <row r="615" spans="1:63" x14ac:dyDescent="0.25">
      <c r="A615">
        <v>4598</v>
      </c>
      <c r="B615" t="str">
        <f>"20200130148017155099"</f>
        <v>20200130148017155099</v>
      </c>
      <c r="C615">
        <v>1</v>
      </c>
      <c r="D615">
        <v>1</v>
      </c>
      <c r="E615" t="s">
        <v>3886</v>
      </c>
      <c r="F615">
        <v>2</v>
      </c>
      <c r="G615">
        <v>0</v>
      </c>
      <c r="H615" t="s">
        <v>66</v>
      </c>
      <c r="I615">
        <v>0</v>
      </c>
      <c r="J615" t="s">
        <v>66</v>
      </c>
      <c r="K615">
        <v>1</v>
      </c>
      <c r="L615" t="s">
        <v>1627</v>
      </c>
      <c r="M615" t="s">
        <v>4236</v>
      </c>
      <c r="N615">
        <v>1</v>
      </c>
      <c r="O615" t="s">
        <v>1627</v>
      </c>
      <c r="P615" t="s">
        <v>5224</v>
      </c>
      <c r="Q615">
        <v>0</v>
      </c>
      <c r="R615" t="s">
        <v>66</v>
      </c>
      <c r="S615" t="s">
        <v>56</v>
      </c>
      <c r="T615" t="s">
        <v>56</v>
      </c>
      <c r="U615" t="s">
        <v>56</v>
      </c>
      <c r="V615" t="s">
        <v>56</v>
      </c>
      <c r="W615">
        <v>0</v>
      </c>
      <c r="X615" t="s">
        <v>66</v>
      </c>
      <c r="Y615" t="s">
        <v>56</v>
      </c>
      <c r="Z615">
        <v>0</v>
      </c>
      <c r="AA615" t="s">
        <v>66</v>
      </c>
      <c r="AB615" t="s">
        <v>56</v>
      </c>
      <c r="AC615">
        <v>0</v>
      </c>
      <c r="AD615" t="s">
        <v>66</v>
      </c>
      <c r="AE615" t="s">
        <v>56</v>
      </c>
      <c r="AF615">
        <v>0</v>
      </c>
      <c r="AG615" t="s">
        <v>66</v>
      </c>
      <c r="AH615" t="s">
        <v>56</v>
      </c>
      <c r="AI615">
        <v>1</v>
      </c>
      <c r="AJ615" t="s">
        <v>1627</v>
      </c>
      <c r="AK615" t="s">
        <v>56</v>
      </c>
      <c r="AL615" t="s">
        <v>56</v>
      </c>
      <c r="AM615" t="s">
        <v>56</v>
      </c>
      <c r="AN615" t="s">
        <v>56</v>
      </c>
      <c r="AO615" t="s">
        <v>4076</v>
      </c>
      <c r="AP615" t="s">
        <v>3962</v>
      </c>
      <c r="AQ615" t="s">
        <v>3963</v>
      </c>
      <c r="AR615" t="s">
        <v>3941</v>
      </c>
      <c r="AS615" t="s">
        <v>3942</v>
      </c>
      <c r="AT615" t="s">
        <v>5537</v>
      </c>
      <c r="AU615" t="s">
        <v>3944</v>
      </c>
      <c r="AV615" t="s">
        <v>3945</v>
      </c>
      <c r="AW615" t="s">
        <v>3946</v>
      </c>
      <c r="AX615">
        <v>1</v>
      </c>
      <c r="AY615">
        <v>3</v>
      </c>
      <c r="AZ615" t="s">
        <v>3911</v>
      </c>
      <c r="BA615">
        <v>10</v>
      </c>
      <c r="BB615" t="s">
        <v>3898</v>
      </c>
      <c r="BC615">
        <v>90</v>
      </c>
      <c r="BD615">
        <v>3</v>
      </c>
      <c r="BE615" t="s">
        <v>3911</v>
      </c>
      <c r="BF615">
        <v>90</v>
      </c>
      <c r="BG615">
        <v>66</v>
      </c>
      <c r="BH615" t="s">
        <v>3965</v>
      </c>
      <c r="BI615" t="s">
        <v>5538</v>
      </c>
      <c r="BJ615">
        <v>1</v>
      </c>
      <c r="BK615" t="s">
        <v>3902</v>
      </c>
    </row>
    <row r="616" spans="1:63" x14ac:dyDescent="0.25">
      <c r="A616">
        <v>4599</v>
      </c>
      <c r="B616" t="str">
        <f>"20200130196017155805"</f>
        <v>20200130196017155805</v>
      </c>
      <c r="C616">
        <v>1</v>
      </c>
      <c r="D616">
        <v>1</v>
      </c>
      <c r="E616" t="s">
        <v>3886</v>
      </c>
      <c r="F616">
        <v>1</v>
      </c>
      <c r="G616">
        <v>0</v>
      </c>
      <c r="H616" t="s">
        <v>66</v>
      </c>
      <c r="I616">
        <v>0</v>
      </c>
      <c r="J616" t="s">
        <v>66</v>
      </c>
      <c r="K616">
        <v>1</v>
      </c>
      <c r="L616" t="s">
        <v>1627</v>
      </c>
      <c r="M616" t="s">
        <v>5539</v>
      </c>
      <c r="N616">
        <v>1</v>
      </c>
      <c r="O616" t="s">
        <v>1627</v>
      </c>
      <c r="P616" t="s">
        <v>5540</v>
      </c>
      <c r="Q616">
        <v>0</v>
      </c>
      <c r="R616" t="s">
        <v>66</v>
      </c>
      <c r="S616" t="s">
        <v>56</v>
      </c>
      <c r="T616" t="s">
        <v>56</v>
      </c>
      <c r="U616" t="s">
        <v>56</v>
      </c>
      <c r="V616" t="s">
        <v>56</v>
      </c>
      <c r="W616">
        <v>0</v>
      </c>
      <c r="X616" t="s">
        <v>66</v>
      </c>
      <c r="Y616" t="s">
        <v>56</v>
      </c>
      <c r="Z616">
        <v>0</v>
      </c>
      <c r="AA616" t="s">
        <v>66</v>
      </c>
      <c r="AB616" t="s">
        <v>56</v>
      </c>
      <c r="AC616">
        <v>0</v>
      </c>
      <c r="AD616" t="s">
        <v>66</v>
      </c>
      <c r="AE616" t="s">
        <v>56</v>
      </c>
      <c r="AF616">
        <v>0</v>
      </c>
      <c r="AG616" t="s">
        <v>66</v>
      </c>
      <c r="AH616" t="s">
        <v>56</v>
      </c>
      <c r="AI616">
        <v>1</v>
      </c>
      <c r="AJ616" t="s">
        <v>1627</v>
      </c>
      <c r="AK616" t="s">
        <v>56</v>
      </c>
      <c r="AL616" t="s">
        <v>56</v>
      </c>
      <c r="AM616" t="s">
        <v>56</v>
      </c>
      <c r="AN616" t="s">
        <v>56</v>
      </c>
      <c r="AO616" t="s">
        <v>4306</v>
      </c>
      <c r="AP616" t="s">
        <v>3889</v>
      </c>
      <c r="AQ616" t="s">
        <v>3890</v>
      </c>
      <c r="AR616" t="s">
        <v>3904</v>
      </c>
      <c r="AS616" t="s">
        <v>3905</v>
      </c>
      <c r="AT616" t="s">
        <v>5541</v>
      </c>
      <c r="AU616" t="s">
        <v>3944</v>
      </c>
      <c r="AV616" t="s">
        <v>3945</v>
      </c>
      <c r="AW616" t="s">
        <v>3946</v>
      </c>
      <c r="AX616">
        <v>24</v>
      </c>
      <c r="AY616">
        <v>2</v>
      </c>
      <c r="AZ616" t="s">
        <v>3897</v>
      </c>
      <c r="BA616">
        <v>5</v>
      </c>
      <c r="BB616" t="s">
        <v>3910</v>
      </c>
      <c r="BC616">
        <v>24</v>
      </c>
      <c r="BD616">
        <v>2</v>
      </c>
      <c r="BE616" t="s">
        <v>3897</v>
      </c>
      <c r="BF616">
        <v>6</v>
      </c>
      <c r="BG616">
        <v>13</v>
      </c>
      <c r="BH616" t="s">
        <v>3900</v>
      </c>
      <c r="BI616" t="s">
        <v>5542</v>
      </c>
      <c r="BJ616">
        <v>1</v>
      </c>
      <c r="BK616" t="s">
        <v>3902</v>
      </c>
    </row>
    <row r="617" spans="1:63" x14ac:dyDescent="0.25">
      <c r="A617">
        <v>4485</v>
      </c>
      <c r="B617" t="str">
        <f>"20200130155017128521"</f>
        <v>20200130155017128521</v>
      </c>
      <c r="C617">
        <v>1</v>
      </c>
      <c r="D617">
        <v>1</v>
      </c>
      <c r="E617" t="s">
        <v>3886</v>
      </c>
      <c r="F617">
        <v>2</v>
      </c>
      <c r="G617">
        <v>0</v>
      </c>
      <c r="H617" t="s">
        <v>66</v>
      </c>
      <c r="I617">
        <v>0</v>
      </c>
      <c r="J617" t="s">
        <v>66</v>
      </c>
      <c r="K617">
        <v>0</v>
      </c>
      <c r="L617" t="s">
        <v>66</v>
      </c>
      <c r="M617" t="s">
        <v>56</v>
      </c>
      <c r="N617">
        <v>0</v>
      </c>
      <c r="O617" t="s">
        <v>66</v>
      </c>
      <c r="P617" t="s">
        <v>56</v>
      </c>
      <c r="Q617">
        <v>0</v>
      </c>
      <c r="R617" t="s">
        <v>66</v>
      </c>
      <c r="S617" t="s">
        <v>56</v>
      </c>
      <c r="T617">
        <v>1</v>
      </c>
      <c r="U617" t="s">
        <v>1627</v>
      </c>
      <c r="V617" t="s">
        <v>56</v>
      </c>
      <c r="W617">
        <v>0</v>
      </c>
      <c r="X617" t="s">
        <v>66</v>
      </c>
      <c r="Y617" t="s">
        <v>56</v>
      </c>
      <c r="Z617">
        <v>0</v>
      </c>
      <c r="AA617" t="s">
        <v>66</v>
      </c>
      <c r="AB617" t="s">
        <v>56</v>
      </c>
      <c r="AC617">
        <v>1</v>
      </c>
      <c r="AD617" t="s">
        <v>1627</v>
      </c>
      <c r="AE617" t="s">
        <v>3887</v>
      </c>
      <c r="AF617">
        <v>0</v>
      </c>
      <c r="AG617" t="s">
        <v>66</v>
      </c>
      <c r="AH617" t="s">
        <v>56</v>
      </c>
      <c r="AI617">
        <v>1</v>
      </c>
      <c r="AJ617" t="s">
        <v>1627</v>
      </c>
      <c r="AK617" t="s">
        <v>56</v>
      </c>
      <c r="AL617" t="s">
        <v>56</v>
      </c>
      <c r="AM617" t="s">
        <v>56</v>
      </c>
      <c r="AN617" t="s">
        <v>56</v>
      </c>
      <c r="AO617" t="s">
        <v>5543</v>
      </c>
      <c r="AP617" t="s">
        <v>3889</v>
      </c>
      <c r="AQ617" t="s">
        <v>3890</v>
      </c>
      <c r="AR617" t="s">
        <v>3941</v>
      </c>
      <c r="AS617" t="s">
        <v>3942</v>
      </c>
      <c r="AT617" t="s">
        <v>5544</v>
      </c>
      <c r="AU617" t="s">
        <v>3944</v>
      </c>
      <c r="AV617" t="s">
        <v>3945</v>
      </c>
      <c r="AW617" t="s">
        <v>3946</v>
      </c>
      <c r="AX617">
        <v>24</v>
      </c>
      <c r="AY617">
        <v>2</v>
      </c>
      <c r="AZ617" t="s">
        <v>3897</v>
      </c>
      <c r="BA617">
        <v>10</v>
      </c>
      <c r="BB617" t="s">
        <v>3898</v>
      </c>
      <c r="BC617">
        <v>30</v>
      </c>
      <c r="BD617">
        <v>3</v>
      </c>
      <c r="BE617" t="s">
        <v>3911</v>
      </c>
      <c r="BF617">
        <v>2</v>
      </c>
      <c r="BG617">
        <v>13</v>
      </c>
      <c r="BH617" t="s">
        <v>3900</v>
      </c>
      <c r="BI617" t="s">
        <v>5545</v>
      </c>
      <c r="BJ617">
        <v>1</v>
      </c>
      <c r="BK617" t="s">
        <v>3902</v>
      </c>
    </row>
    <row r="618" spans="1:63" x14ac:dyDescent="0.25">
      <c r="A618">
        <v>4486</v>
      </c>
      <c r="B618" t="str">
        <f>"20200130147017128637"</f>
        <v>20200130147017128637</v>
      </c>
      <c r="C618">
        <v>1</v>
      </c>
      <c r="D618">
        <v>1</v>
      </c>
      <c r="E618" t="s">
        <v>3886</v>
      </c>
      <c r="F618">
        <v>2</v>
      </c>
      <c r="G618">
        <v>0</v>
      </c>
      <c r="H618" t="s">
        <v>66</v>
      </c>
      <c r="I618">
        <v>0</v>
      </c>
      <c r="J618" t="s">
        <v>66</v>
      </c>
      <c r="K618">
        <v>0</v>
      </c>
      <c r="L618" t="s">
        <v>66</v>
      </c>
      <c r="M618" t="s">
        <v>56</v>
      </c>
      <c r="N618">
        <v>0</v>
      </c>
      <c r="O618" t="s">
        <v>66</v>
      </c>
      <c r="P618" t="s">
        <v>56</v>
      </c>
      <c r="Q618">
        <v>0</v>
      </c>
      <c r="R618" t="s">
        <v>66</v>
      </c>
      <c r="S618" t="s">
        <v>56</v>
      </c>
      <c r="T618">
        <v>1</v>
      </c>
      <c r="U618" t="s">
        <v>1627</v>
      </c>
      <c r="V618" t="s">
        <v>4419</v>
      </c>
      <c r="W618">
        <v>1</v>
      </c>
      <c r="X618" t="s">
        <v>1627</v>
      </c>
      <c r="Y618" t="s">
        <v>5546</v>
      </c>
      <c r="Z618">
        <v>0</v>
      </c>
      <c r="AA618" t="s">
        <v>66</v>
      </c>
      <c r="AB618" t="s">
        <v>56</v>
      </c>
      <c r="AC618">
        <v>0</v>
      </c>
      <c r="AD618" t="s">
        <v>66</v>
      </c>
      <c r="AE618" t="s">
        <v>56</v>
      </c>
      <c r="AF618">
        <v>0</v>
      </c>
      <c r="AG618" t="s">
        <v>66</v>
      </c>
      <c r="AH618" t="s">
        <v>56</v>
      </c>
      <c r="AI618">
        <v>1</v>
      </c>
      <c r="AJ618" t="s">
        <v>1627</v>
      </c>
      <c r="AK618" t="s">
        <v>56</v>
      </c>
      <c r="AL618" t="s">
        <v>56</v>
      </c>
      <c r="AM618" t="s">
        <v>56</v>
      </c>
      <c r="AN618" t="s">
        <v>56</v>
      </c>
      <c r="AO618" t="s">
        <v>4421</v>
      </c>
      <c r="AP618" t="s">
        <v>3889</v>
      </c>
      <c r="AQ618" t="s">
        <v>3890</v>
      </c>
      <c r="AR618" t="s">
        <v>3904</v>
      </c>
      <c r="AS618" t="s">
        <v>3905</v>
      </c>
      <c r="AT618" t="s">
        <v>5547</v>
      </c>
      <c r="AU618" t="s">
        <v>3944</v>
      </c>
      <c r="AV618" t="s">
        <v>3945</v>
      </c>
      <c r="AW618" t="s">
        <v>3946</v>
      </c>
      <c r="AX618">
        <v>24</v>
      </c>
      <c r="AY618">
        <v>2</v>
      </c>
      <c r="AZ618" t="s">
        <v>3897</v>
      </c>
      <c r="BA618">
        <v>3</v>
      </c>
      <c r="BB618" t="s">
        <v>4309</v>
      </c>
      <c r="BC618">
        <v>15</v>
      </c>
      <c r="BD618">
        <v>3</v>
      </c>
      <c r="BE618" t="s">
        <v>3911</v>
      </c>
      <c r="BF618">
        <v>15</v>
      </c>
      <c r="BG618" t="s">
        <v>3912</v>
      </c>
      <c r="BH618" t="s">
        <v>3913</v>
      </c>
      <c r="BI618" t="s">
        <v>5548</v>
      </c>
      <c r="BJ618">
        <v>1</v>
      </c>
      <c r="BK618" t="s">
        <v>3902</v>
      </c>
    </row>
    <row r="619" spans="1:63" x14ac:dyDescent="0.25">
      <c r="A619">
        <v>4487</v>
      </c>
      <c r="B619" t="str">
        <f>"20200130178017128815"</f>
        <v>20200130178017128815</v>
      </c>
      <c r="C619">
        <v>1</v>
      </c>
      <c r="D619">
        <v>1</v>
      </c>
      <c r="E619" t="s">
        <v>3886</v>
      </c>
      <c r="F619">
        <v>2</v>
      </c>
      <c r="G619">
        <v>0</v>
      </c>
      <c r="H619" t="s">
        <v>66</v>
      </c>
      <c r="I619">
        <v>0</v>
      </c>
      <c r="J619" t="s">
        <v>66</v>
      </c>
      <c r="K619">
        <v>1</v>
      </c>
      <c r="L619" t="s">
        <v>1627</v>
      </c>
      <c r="M619" t="s">
        <v>4030</v>
      </c>
      <c r="N619">
        <v>1</v>
      </c>
      <c r="O619" t="s">
        <v>1627</v>
      </c>
      <c r="P619" t="s">
        <v>5549</v>
      </c>
      <c r="Q619">
        <v>0</v>
      </c>
      <c r="R619" t="s">
        <v>66</v>
      </c>
      <c r="S619" t="s">
        <v>56</v>
      </c>
      <c r="T619" t="s">
        <v>56</v>
      </c>
      <c r="U619" t="s">
        <v>56</v>
      </c>
      <c r="V619" t="s">
        <v>56</v>
      </c>
      <c r="W619">
        <v>0</v>
      </c>
      <c r="X619" t="s">
        <v>66</v>
      </c>
      <c r="Y619" t="s">
        <v>56</v>
      </c>
      <c r="Z619">
        <v>0</v>
      </c>
      <c r="AA619" t="s">
        <v>66</v>
      </c>
      <c r="AB619" t="s">
        <v>56</v>
      </c>
      <c r="AC619">
        <v>0</v>
      </c>
      <c r="AD619" t="s">
        <v>66</v>
      </c>
      <c r="AE619" t="s">
        <v>56</v>
      </c>
      <c r="AF619">
        <v>0</v>
      </c>
      <c r="AG619" t="s">
        <v>66</v>
      </c>
      <c r="AH619" t="s">
        <v>56</v>
      </c>
      <c r="AI619">
        <v>1</v>
      </c>
      <c r="AJ619" t="s">
        <v>1627</v>
      </c>
      <c r="AK619" t="s">
        <v>56</v>
      </c>
      <c r="AL619" t="s">
        <v>56</v>
      </c>
      <c r="AM619" t="s">
        <v>56</v>
      </c>
      <c r="AN619" t="s">
        <v>56</v>
      </c>
      <c r="AO619" t="s">
        <v>4804</v>
      </c>
      <c r="AP619" t="s">
        <v>3962</v>
      </c>
      <c r="AQ619" t="s">
        <v>3963</v>
      </c>
      <c r="AR619" t="s">
        <v>3941</v>
      </c>
      <c r="AS619" t="s">
        <v>3942</v>
      </c>
      <c r="AT619" t="s">
        <v>5550</v>
      </c>
      <c r="AU619" t="s">
        <v>3944</v>
      </c>
      <c r="AV619" t="s">
        <v>3945</v>
      </c>
      <c r="AW619" t="s">
        <v>3946</v>
      </c>
      <c r="AX619">
        <v>12</v>
      </c>
      <c r="AY619">
        <v>2</v>
      </c>
      <c r="AZ619" t="s">
        <v>3897</v>
      </c>
      <c r="BA619">
        <v>10</v>
      </c>
      <c r="BB619" t="s">
        <v>3898</v>
      </c>
      <c r="BC619">
        <v>30</v>
      </c>
      <c r="BD619">
        <v>3</v>
      </c>
      <c r="BE619" t="s">
        <v>3911</v>
      </c>
      <c r="BF619">
        <v>60</v>
      </c>
      <c r="BG619">
        <v>66</v>
      </c>
      <c r="BH619" t="s">
        <v>3965</v>
      </c>
      <c r="BI619" t="s">
        <v>5551</v>
      </c>
      <c r="BJ619">
        <v>1</v>
      </c>
      <c r="BK619" t="s">
        <v>3902</v>
      </c>
    </row>
    <row r="620" spans="1:63" x14ac:dyDescent="0.25">
      <c r="A620">
        <v>4488</v>
      </c>
      <c r="B620" t="str">
        <f>"20200130127017128868"</f>
        <v>20200130127017128868</v>
      </c>
      <c r="C620">
        <v>1</v>
      </c>
      <c r="D620">
        <v>1</v>
      </c>
      <c r="E620" t="s">
        <v>3886</v>
      </c>
      <c r="F620">
        <v>2</v>
      </c>
      <c r="G620">
        <v>0</v>
      </c>
      <c r="H620" t="s">
        <v>66</v>
      </c>
      <c r="I620">
        <v>0</v>
      </c>
      <c r="J620" t="s">
        <v>66</v>
      </c>
      <c r="K620">
        <v>1</v>
      </c>
      <c r="L620" t="s">
        <v>1627</v>
      </c>
      <c r="M620" t="s">
        <v>4112</v>
      </c>
      <c r="N620">
        <v>1</v>
      </c>
      <c r="O620" t="s">
        <v>1627</v>
      </c>
      <c r="P620" t="s">
        <v>5552</v>
      </c>
      <c r="Q620">
        <v>0</v>
      </c>
      <c r="R620" t="s">
        <v>66</v>
      </c>
      <c r="S620" t="s">
        <v>56</v>
      </c>
      <c r="T620" t="s">
        <v>56</v>
      </c>
      <c r="U620" t="s">
        <v>56</v>
      </c>
      <c r="V620" t="s">
        <v>56</v>
      </c>
      <c r="W620">
        <v>0</v>
      </c>
      <c r="X620" t="s">
        <v>66</v>
      </c>
      <c r="Y620" t="s">
        <v>56</v>
      </c>
      <c r="Z620">
        <v>0</v>
      </c>
      <c r="AA620" t="s">
        <v>66</v>
      </c>
      <c r="AB620" t="s">
        <v>56</v>
      </c>
      <c r="AC620">
        <v>0</v>
      </c>
      <c r="AD620" t="s">
        <v>66</v>
      </c>
      <c r="AE620" t="s">
        <v>56</v>
      </c>
      <c r="AF620">
        <v>0</v>
      </c>
      <c r="AG620" t="s">
        <v>66</v>
      </c>
      <c r="AH620" t="s">
        <v>56</v>
      </c>
      <c r="AI620">
        <v>1</v>
      </c>
      <c r="AJ620" t="s">
        <v>1627</v>
      </c>
      <c r="AK620" t="s">
        <v>56</v>
      </c>
      <c r="AL620" t="s">
        <v>56</v>
      </c>
      <c r="AM620" t="s">
        <v>56</v>
      </c>
      <c r="AN620" t="s">
        <v>56</v>
      </c>
      <c r="AO620" t="s">
        <v>5182</v>
      </c>
      <c r="AP620" t="s">
        <v>3939</v>
      </c>
      <c r="AQ620" t="s">
        <v>3940</v>
      </c>
      <c r="AR620" t="s">
        <v>3941</v>
      </c>
      <c r="AS620" t="s">
        <v>3942</v>
      </c>
      <c r="AT620" t="s">
        <v>5553</v>
      </c>
      <c r="AU620" t="s">
        <v>3944</v>
      </c>
      <c r="AV620" t="s">
        <v>3945</v>
      </c>
      <c r="AW620" t="s">
        <v>3946</v>
      </c>
      <c r="AX620">
        <v>12</v>
      </c>
      <c r="AY620">
        <v>2</v>
      </c>
      <c r="AZ620" t="s">
        <v>3897</v>
      </c>
      <c r="BA620">
        <v>10</v>
      </c>
      <c r="BB620" t="s">
        <v>3898</v>
      </c>
      <c r="BC620">
        <v>30</v>
      </c>
      <c r="BD620">
        <v>3</v>
      </c>
      <c r="BE620" t="s">
        <v>3911</v>
      </c>
      <c r="BF620">
        <v>60</v>
      </c>
      <c r="BG620">
        <v>66</v>
      </c>
      <c r="BH620" t="s">
        <v>3965</v>
      </c>
      <c r="BI620" t="s">
        <v>5554</v>
      </c>
      <c r="BJ620">
        <v>1</v>
      </c>
      <c r="BK620" t="s">
        <v>3902</v>
      </c>
    </row>
    <row r="621" spans="1:63" x14ac:dyDescent="0.25">
      <c r="A621">
        <v>4489</v>
      </c>
      <c r="B621" t="str">
        <f>"20200130186017129262"</f>
        <v>20200130186017129262</v>
      </c>
      <c r="C621">
        <v>1</v>
      </c>
      <c r="D621">
        <v>1</v>
      </c>
      <c r="E621" t="s">
        <v>3886</v>
      </c>
      <c r="F621">
        <v>2</v>
      </c>
      <c r="G621">
        <v>0</v>
      </c>
      <c r="H621" t="s">
        <v>66</v>
      </c>
      <c r="I621">
        <v>0</v>
      </c>
      <c r="J621" t="s">
        <v>66</v>
      </c>
      <c r="K621">
        <v>1</v>
      </c>
      <c r="L621" t="s">
        <v>1627</v>
      </c>
      <c r="M621" t="s">
        <v>4517</v>
      </c>
      <c r="N621">
        <v>1</v>
      </c>
      <c r="O621" t="s">
        <v>1627</v>
      </c>
      <c r="P621" t="s">
        <v>5555</v>
      </c>
      <c r="Q621">
        <v>0</v>
      </c>
      <c r="R621" t="s">
        <v>66</v>
      </c>
      <c r="S621" t="s">
        <v>56</v>
      </c>
      <c r="T621" t="s">
        <v>56</v>
      </c>
      <c r="U621" t="s">
        <v>56</v>
      </c>
      <c r="V621" t="s">
        <v>56</v>
      </c>
      <c r="W621">
        <v>0</v>
      </c>
      <c r="X621" t="s">
        <v>66</v>
      </c>
      <c r="Y621" t="s">
        <v>56</v>
      </c>
      <c r="Z621">
        <v>0</v>
      </c>
      <c r="AA621" t="s">
        <v>66</v>
      </c>
      <c r="AB621" t="s">
        <v>56</v>
      </c>
      <c r="AC621">
        <v>0</v>
      </c>
      <c r="AD621" t="s">
        <v>66</v>
      </c>
      <c r="AE621" t="s">
        <v>56</v>
      </c>
      <c r="AF621">
        <v>0</v>
      </c>
      <c r="AG621" t="s">
        <v>66</v>
      </c>
      <c r="AH621" t="s">
        <v>56</v>
      </c>
      <c r="AI621">
        <v>1</v>
      </c>
      <c r="AJ621" t="s">
        <v>1627</v>
      </c>
      <c r="AK621" t="s">
        <v>56</v>
      </c>
      <c r="AL621" t="s">
        <v>56</v>
      </c>
      <c r="AM621" t="s">
        <v>56</v>
      </c>
      <c r="AN621" t="s">
        <v>56</v>
      </c>
      <c r="AO621" t="s">
        <v>4339</v>
      </c>
      <c r="AP621" t="s">
        <v>3962</v>
      </c>
      <c r="AQ621" t="s">
        <v>3963</v>
      </c>
      <c r="AR621" t="s">
        <v>3941</v>
      </c>
      <c r="AS621" t="s">
        <v>3942</v>
      </c>
      <c r="AT621" t="s">
        <v>5556</v>
      </c>
      <c r="AU621" t="s">
        <v>3944</v>
      </c>
      <c r="AV621" t="s">
        <v>3945</v>
      </c>
      <c r="AW621" t="s">
        <v>3946</v>
      </c>
      <c r="AX621">
        <v>12</v>
      </c>
      <c r="AY621">
        <v>2</v>
      </c>
      <c r="AZ621" t="s">
        <v>3897</v>
      </c>
      <c r="BA621">
        <v>10</v>
      </c>
      <c r="BB621" t="s">
        <v>3898</v>
      </c>
      <c r="BC621">
        <v>3</v>
      </c>
      <c r="BD621">
        <v>5</v>
      </c>
      <c r="BE621" t="s">
        <v>3899</v>
      </c>
      <c r="BF621">
        <v>180</v>
      </c>
      <c r="BG621">
        <v>66</v>
      </c>
      <c r="BH621" t="s">
        <v>3965</v>
      </c>
      <c r="BI621" t="s">
        <v>5231</v>
      </c>
      <c r="BJ621">
        <v>1</v>
      </c>
      <c r="BK621" t="s">
        <v>3902</v>
      </c>
    </row>
    <row r="622" spans="1:63" x14ac:dyDescent="0.25">
      <c r="A622">
        <v>4490</v>
      </c>
      <c r="B622" t="str">
        <f>"20200130153017130926"</f>
        <v>20200130153017130926</v>
      </c>
      <c r="C622">
        <v>1</v>
      </c>
      <c r="D622">
        <v>1</v>
      </c>
      <c r="E622" t="s">
        <v>3886</v>
      </c>
      <c r="F622">
        <v>2</v>
      </c>
      <c r="G622">
        <v>0</v>
      </c>
      <c r="H622" t="s">
        <v>66</v>
      </c>
      <c r="I622">
        <v>0</v>
      </c>
      <c r="J622" t="s">
        <v>66</v>
      </c>
      <c r="K622">
        <v>0</v>
      </c>
      <c r="L622" t="s">
        <v>66</v>
      </c>
      <c r="M622" t="s">
        <v>56</v>
      </c>
      <c r="N622">
        <v>0</v>
      </c>
      <c r="O622" t="s">
        <v>66</v>
      </c>
      <c r="P622" t="s">
        <v>56</v>
      </c>
      <c r="Q622">
        <v>0</v>
      </c>
      <c r="R622" t="s">
        <v>66</v>
      </c>
      <c r="S622" t="s">
        <v>56</v>
      </c>
      <c r="T622">
        <v>1</v>
      </c>
      <c r="U622" t="s">
        <v>1627</v>
      </c>
      <c r="V622" t="s">
        <v>56</v>
      </c>
      <c r="W622">
        <v>0</v>
      </c>
      <c r="X622" t="s">
        <v>66</v>
      </c>
      <c r="Y622" t="s">
        <v>56</v>
      </c>
      <c r="Z622">
        <v>0</v>
      </c>
      <c r="AA622" t="s">
        <v>66</v>
      </c>
      <c r="AB622" t="s">
        <v>56</v>
      </c>
      <c r="AC622">
        <v>1</v>
      </c>
      <c r="AD622" t="s">
        <v>1627</v>
      </c>
      <c r="AE622" t="s">
        <v>3887</v>
      </c>
      <c r="AF622">
        <v>0</v>
      </c>
      <c r="AG622" t="s">
        <v>66</v>
      </c>
      <c r="AH622" t="s">
        <v>56</v>
      </c>
      <c r="AI622">
        <v>1</v>
      </c>
      <c r="AJ622" t="s">
        <v>1627</v>
      </c>
      <c r="AK622" t="s">
        <v>56</v>
      </c>
      <c r="AL622" t="s">
        <v>56</v>
      </c>
      <c r="AM622" t="s">
        <v>56</v>
      </c>
      <c r="AN622" t="s">
        <v>56</v>
      </c>
      <c r="AO622" t="s">
        <v>5557</v>
      </c>
      <c r="AP622" t="s">
        <v>3889</v>
      </c>
      <c r="AQ622" t="s">
        <v>3890</v>
      </c>
      <c r="AR622" t="s">
        <v>2324</v>
      </c>
      <c r="AS622" t="s">
        <v>4266</v>
      </c>
      <c r="AT622" t="s">
        <v>5558</v>
      </c>
      <c r="AU622" t="s">
        <v>3944</v>
      </c>
      <c r="AV622" t="s">
        <v>3945</v>
      </c>
      <c r="AW622" t="s">
        <v>3946</v>
      </c>
      <c r="AX622">
        <v>1</v>
      </c>
      <c r="AY622">
        <v>1</v>
      </c>
      <c r="AZ622" t="s">
        <v>4099</v>
      </c>
      <c r="BA622">
        <v>10</v>
      </c>
      <c r="BB622" t="s">
        <v>3898</v>
      </c>
      <c r="BC622">
        <v>90</v>
      </c>
      <c r="BD622">
        <v>3</v>
      </c>
      <c r="BE622" t="s">
        <v>3911</v>
      </c>
      <c r="BF622">
        <v>6</v>
      </c>
      <c r="BG622">
        <v>65</v>
      </c>
      <c r="BH622" t="s">
        <v>4360</v>
      </c>
      <c r="BI622" t="s">
        <v>5559</v>
      </c>
      <c r="BJ622">
        <v>1</v>
      </c>
      <c r="BK622" t="s">
        <v>3902</v>
      </c>
    </row>
    <row r="623" spans="1:63" x14ac:dyDescent="0.25">
      <c r="A623">
        <v>4491</v>
      </c>
      <c r="B623" t="str">
        <f>"20200130137017130929"</f>
        <v>20200130137017130929</v>
      </c>
      <c r="C623">
        <v>1</v>
      </c>
      <c r="D623">
        <v>1</v>
      </c>
      <c r="E623" t="s">
        <v>3886</v>
      </c>
      <c r="F623">
        <v>2</v>
      </c>
      <c r="G623">
        <v>0</v>
      </c>
      <c r="H623" t="s">
        <v>66</v>
      </c>
      <c r="I623">
        <v>0</v>
      </c>
      <c r="J623" t="s">
        <v>66</v>
      </c>
      <c r="K623">
        <v>1</v>
      </c>
      <c r="L623" t="s">
        <v>1627</v>
      </c>
      <c r="M623" t="s">
        <v>3976</v>
      </c>
      <c r="N623">
        <v>1</v>
      </c>
      <c r="O623" t="s">
        <v>1627</v>
      </c>
      <c r="P623" t="s">
        <v>5560</v>
      </c>
      <c r="Q623">
        <v>0</v>
      </c>
      <c r="R623" t="s">
        <v>66</v>
      </c>
      <c r="S623" t="s">
        <v>56</v>
      </c>
      <c r="T623" t="s">
        <v>56</v>
      </c>
      <c r="U623" t="s">
        <v>56</v>
      </c>
      <c r="V623" t="s">
        <v>56</v>
      </c>
      <c r="W623">
        <v>0</v>
      </c>
      <c r="X623" t="s">
        <v>66</v>
      </c>
      <c r="Y623" t="s">
        <v>56</v>
      </c>
      <c r="Z623">
        <v>0</v>
      </c>
      <c r="AA623" t="s">
        <v>66</v>
      </c>
      <c r="AB623" t="s">
        <v>56</v>
      </c>
      <c r="AC623">
        <v>0</v>
      </c>
      <c r="AD623" t="s">
        <v>66</v>
      </c>
      <c r="AE623" t="s">
        <v>56</v>
      </c>
      <c r="AF623">
        <v>0</v>
      </c>
      <c r="AG623" t="s">
        <v>66</v>
      </c>
      <c r="AH623" t="s">
        <v>56</v>
      </c>
      <c r="AI623">
        <v>1</v>
      </c>
      <c r="AJ623" t="s">
        <v>1627</v>
      </c>
      <c r="AK623" t="s">
        <v>56</v>
      </c>
      <c r="AL623" t="s">
        <v>56</v>
      </c>
      <c r="AM623" t="s">
        <v>56</v>
      </c>
      <c r="AN623" t="s">
        <v>56</v>
      </c>
      <c r="AO623" t="s">
        <v>4339</v>
      </c>
      <c r="AP623" t="s">
        <v>3962</v>
      </c>
      <c r="AQ623" t="s">
        <v>3963</v>
      </c>
      <c r="AR623" t="s">
        <v>3941</v>
      </c>
      <c r="AS623" t="s">
        <v>3942</v>
      </c>
      <c r="AT623" t="s">
        <v>5561</v>
      </c>
      <c r="AU623" t="s">
        <v>3944</v>
      </c>
      <c r="AV623" t="s">
        <v>3945</v>
      </c>
      <c r="AW623" t="s">
        <v>3946</v>
      </c>
      <c r="AX623">
        <v>12</v>
      </c>
      <c r="AY623">
        <v>2</v>
      </c>
      <c r="AZ623" t="s">
        <v>3897</v>
      </c>
      <c r="BA623">
        <v>10</v>
      </c>
      <c r="BB623" t="s">
        <v>3898</v>
      </c>
      <c r="BC623">
        <v>6</v>
      </c>
      <c r="BD623">
        <v>5</v>
      </c>
      <c r="BE623" t="s">
        <v>3899</v>
      </c>
      <c r="BF623">
        <v>360</v>
      </c>
      <c r="BG623">
        <v>66</v>
      </c>
      <c r="BH623" t="s">
        <v>3965</v>
      </c>
      <c r="BI623" t="s">
        <v>5562</v>
      </c>
      <c r="BJ623">
        <v>1</v>
      </c>
      <c r="BK623" t="s">
        <v>3902</v>
      </c>
    </row>
    <row r="624" spans="1:63" x14ac:dyDescent="0.25">
      <c r="A624">
        <v>4492</v>
      </c>
      <c r="B624" t="str">
        <f>"20200130110017131238"</f>
        <v>20200130110017131238</v>
      </c>
      <c r="C624">
        <v>1</v>
      </c>
      <c r="D624">
        <v>1</v>
      </c>
      <c r="E624" t="s">
        <v>3886</v>
      </c>
      <c r="F624">
        <v>2</v>
      </c>
      <c r="G624">
        <v>0</v>
      </c>
      <c r="H624" t="s">
        <v>66</v>
      </c>
      <c r="I624">
        <v>0</v>
      </c>
      <c r="J624" t="s">
        <v>66</v>
      </c>
      <c r="K624">
        <v>0</v>
      </c>
      <c r="L624" t="s">
        <v>66</v>
      </c>
      <c r="M624" t="s">
        <v>56</v>
      </c>
      <c r="N624">
        <v>0</v>
      </c>
      <c r="O624" t="s">
        <v>66</v>
      </c>
      <c r="P624" t="s">
        <v>56</v>
      </c>
      <c r="Q624">
        <v>0</v>
      </c>
      <c r="R624" t="s">
        <v>66</v>
      </c>
      <c r="S624" t="s">
        <v>56</v>
      </c>
      <c r="T624">
        <v>1</v>
      </c>
      <c r="U624" t="s">
        <v>1627</v>
      </c>
      <c r="V624" t="s">
        <v>56</v>
      </c>
      <c r="W624">
        <v>0</v>
      </c>
      <c r="X624" t="s">
        <v>66</v>
      </c>
      <c r="Y624" t="s">
        <v>56</v>
      </c>
      <c r="Z624">
        <v>0</v>
      </c>
      <c r="AA624" t="s">
        <v>66</v>
      </c>
      <c r="AB624" t="s">
        <v>56</v>
      </c>
      <c r="AC624">
        <v>1</v>
      </c>
      <c r="AD624" t="s">
        <v>1627</v>
      </c>
      <c r="AE624" t="s">
        <v>3887</v>
      </c>
      <c r="AF624">
        <v>0</v>
      </c>
      <c r="AG624" t="s">
        <v>66</v>
      </c>
      <c r="AH624" t="s">
        <v>56</v>
      </c>
      <c r="AI624">
        <v>1</v>
      </c>
      <c r="AJ624" t="s">
        <v>1627</v>
      </c>
      <c r="AK624" t="s">
        <v>56</v>
      </c>
      <c r="AL624" t="s">
        <v>56</v>
      </c>
      <c r="AM624" t="s">
        <v>56</v>
      </c>
      <c r="AN624" t="s">
        <v>56</v>
      </c>
      <c r="AO624" t="s">
        <v>3888</v>
      </c>
      <c r="AP624" t="s">
        <v>3889</v>
      </c>
      <c r="AQ624" t="s">
        <v>3890</v>
      </c>
      <c r="AR624" t="s">
        <v>3891</v>
      </c>
      <c r="AS624" t="s">
        <v>3892</v>
      </c>
      <c r="AT624" t="s">
        <v>3893</v>
      </c>
      <c r="AU624" t="s">
        <v>3894</v>
      </c>
      <c r="AV624" t="s">
        <v>3895</v>
      </c>
      <c r="AW624" t="s">
        <v>3896</v>
      </c>
      <c r="AX624">
        <v>8</v>
      </c>
      <c r="AY624">
        <v>2</v>
      </c>
      <c r="AZ624" t="s">
        <v>3897</v>
      </c>
      <c r="BA624">
        <v>10</v>
      </c>
      <c r="BB624" t="s">
        <v>3898</v>
      </c>
      <c r="BC624">
        <v>3</v>
      </c>
      <c r="BD624">
        <v>5</v>
      </c>
      <c r="BE624" t="s">
        <v>3899</v>
      </c>
      <c r="BF624">
        <v>2</v>
      </c>
      <c r="BG624">
        <v>13</v>
      </c>
      <c r="BH624" t="s">
        <v>3900</v>
      </c>
      <c r="BI624" t="s">
        <v>4898</v>
      </c>
      <c r="BJ624">
        <v>1</v>
      </c>
      <c r="BK624" t="s">
        <v>3902</v>
      </c>
    </row>
    <row r="625" spans="1:63" x14ac:dyDescent="0.25">
      <c r="A625">
        <v>4493</v>
      </c>
      <c r="B625" t="str">
        <f>"20200130157017131358"</f>
        <v>20200130157017131358</v>
      </c>
      <c r="C625">
        <v>1</v>
      </c>
      <c r="D625">
        <v>1</v>
      </c>
      <c r="E625" t="s">
        <v>3886</v>
      </c>
      <c r="F625">
        <v>2</v>
      </c>
      <c r="G625">
        <v>0</v>
      </c>
      <c r="H625" t="s">
        <v>66</v>
      </c>
      <c r="I625">
        <v>0</v>
      </c>
      <c r="J625" t="s">
        <v>66</v>
      </c>
      <c r="K625">
        <v>0</v>
      </c>
      <c r="L625" t="s">
        <v>66</v>
      </c>
      <c r="M625" t="s">
        <v>56</v>
      </c>
      <c r="N625">
        <v>0</v>
      </c>
      <c r="O625" t="s">
        <v>66</v>
      </c>
      <c r="P625" t="s">
        <v>56</v>
      </c>
      <c r="Q625">
        <v>0</v>
      </c>
      <c r="R625" t="s">
        <v>66</v>
      </c>
      <c r="S625" t="s">
        <v>56</v>
      </c>
      <c r="T625">
        <v>1</v>
      </c>
      <c r="U625" t="s">
        <v>1627</v>
      </c>
      <c r="V625" t="s">
        <v>56</v>
      </c>
      <c r="W625">
        <v>0</v>
      </c>
      <c r="X625" t="s">
        <v>66</v>
      </c>
      <c r="Y625" t="s">
        <v>56</v>
      </c>
      <c r="Z625">
        <v>0</v>
      </c>
      <c r="AA625" t="s">
        <v>66</v>
      </c>
      <c r="AB625" t="s">
        <v>56</v>
      </c>
      <c r="AC625">
        <v>1</v>
      </c>
      <c r="AD625" t="s">
        <v>1627</v>
      </c>
      <c r="AE625" t="s">
        <v>3887</v>
      </c>
      <c r="AF625">
        <v>0</v>
      </c>
      <c r="AG625" t="s">
        <v>66</v>
      </c>
      <c r="AH625" t="s">
        <v>56</v>
      </c>
      <c r="AI625">
        <v>1</v>
      </c>
      <c r="AJ625" t="s">
        <v>1627</v>
      </c>
      <c r="AK625" t="s">
        <v>56</v>
      </c>
      <c r="AL625" t="s">
        <v>56</v>
      </c>
      <c r="AM625" t="s">
        <v>56</v>
      </c>
      <c r="AN625" t="s">
        <v>56</v>
      </c>
      <c r="AO625" t="s">
        <v>4272</v>
      </c>
      <c r="AP625" t="s">
        <v>3889</v>
      </c>
      <c r="AQ625" t="s">
        <v>3890</v>
      </c>
      <c r="AR625" t="s">
        <v>3891</v>
      </c>
      <c r="AS625" t="s">
        <v>3892</v>
      </c>
      <c r="AT625" t="s">
        <v>4273</v>
      </c>
      <c r="AU625" t="s">
        <v>3894</v>
      </c>
      <c r="AV625" t="s">
        <v>3895</v>
      </c>
      <c r="AW625" t="s">
        <v>3896</v>
      </c>
      <c r="AX625">
        <v>12</v>
      </c>
      <c r="AY625">
        <v>2</v>
      </c>
      <c r="AZ625" t="s">
        <v>3897</v>
      </c>
      <c r="BA625">
        <v>10</v>
      </c>
      <c r="BB625" t="s">
        <v>3898</v>
      </c>
      <c r="BC625">
        <v>3</v>
      </c>
      <c r="BD625">
        <v>5</v>
      </c>
      <c r="BE625" t="s">
        <v>3899</v>
      </c>
      <c r="BF625">
        <v>2</v>
      </c>
      <c r="BG625">
        <v>13</v>
      </c>
      <c r="BH625" t="s">
        <v>3900</v>
      </c>
      <c r="BI625" t="s">
        <v>5563</v>
      </c>
      <c r="BJ625">
        <v>1</v>
      </c>
      <c r="BK625" t="s">
        <v>3902</v>
      </c>
    </row>
    <row r="626" spans="1:63" x14ac:dyDescent="0.25">
      <c r="A626">
        <v>4494</v>
      </c>
      <c r="B626" t="str">
        <f>"20200130176017131479"</f>
        <v>20200130176017131479</v>
      </c>
      <c r="C626">
        <v>1</v>
      </c>
      <c r="D626">
        <v>1</v>
      </c>
      <c r="E626" t="s">
        <v>3886</v>
      </c>
      <c r="F626">
        <v>2</v>
      </c>
      <c r="G626">
        <v>0</v>
      </c>
      <c r="H626" t="s">
        <v>66</v>
      </c>
      <c r="I626">
        <v>0</v>
      </c>
      <c r="J626" t="s">
        <v>66</v>
      </c>
      <c r="K626">
        <v>1</v>
      </c>
      <c r="L626" t="s">
        <v>1627</v>
      </c>
      <c r="M626" t="s">
        <v>4030</v>
      </c>
      <c r="N626">
        <v>1</v>
      </c>
      <c r="O626" t="s">
        <v>1627</v>
      </c>
      <c r="P626" t="s">
        <v>4409</v>
      </c>
      <c r="Q626">
        <v>0</v>
      </c>
      <c r="R626" t="s">
        <v>66</v>
      </c>
      <c r="S626" t="s">
        <v>56</v>
      </c>
      <c r="T626" t="s">
        <v>56</v>
      </c>
      <c r="U626" t="s">
        <v>56</v>
      </c>
      <c r="V626" t="s">
        <v>56</v>
      </c>
      <c r="W626">
        <v>0</v>
      </c>
      <c r="X626" t="s">
        <v>66</v>
      </c>
      <c r="Y626" t="s">
        <v>56</v>
      </c>
      <c r="Z626">
        <v>0</v>
      </c>
      <c r="AA626" t="s">
        <v>66</v>
      </c>
      <c r="AB626" t="s">
        <v>56</v>
      </c>
      <c r="AC626">
        <v>0</v>
      </c>
      <c r="AD626" t="s">
        <v>66</v>
      </c>
      <c r="AE626" t="s">
        <v>56</v>
      </c>
      <c r="AF626">
        <v>0</v>
      </c>
      <c r="AG626" t="s">
        <v>66</v>
      </c>
      <c r="AH626" t="s">
        <v>56</v>
      </c>
      <c r="AI626">
        <v>1</v>
      </c>
      <c r="AJ626" t="s">
        <v>1627</v>
      </c>
      <c r="AK626" t="s">
        <v>56</v>
      </c>
      <c r="AL626" t="s">
        <v>56</v>
      </c>
      <c r="AM626" t="s">
        <v>56</v>
      </c>
      <c r="AN626" t="s">
        <v>56</v>
      </c>
      <c r="AO626" t="s">
        <v>5564</v>
      </c>
      <c r="AP626" t="s">
        <v>3962</v>
      </c>
      <c r="AQ626" t="s">
        <v>3963</v>
      </c>
      <c r="AR626" t="s">
        <v>3941</v>
      </c>
      <c r="AS626" t="s">
        <v>3942</v>
      </c>
      <c r="AT626" t="s">
        <v>5565</v>
      </c>
      <c r="AU626">
        <v>9000</v>
      </c>
      <c r="AV626" t="s">
        <v>3956</v>
      </c>
      <c r="AW626" t="s">
        <v>3956</v>
      </c>
      <c r="AX626">
        <v>8</v>
      </c>
      <c r="AY626">
        <v>2</v>
      </c>
      <c r="AZ626" t="s">
        <v>3897</v>
      </c>
      <c r="BA626">
        <v>10</v>
      </c>
      <c r="BB626" t="s">
        <v>3898</v>
      </c>
      <c r="BC626">
        <v>14</v>
      </c>
      <c r="BD626">
        <v>3</v>
      </c>
      <c r="BE626" t="s">
        <v>3911</v>
      </c>
      <c r="BF626">
        <v>42</v>
      </c>
      <c r="BG626">
        <v>66</v>
      </c>
      <c r="BH626" t="s">
        <v>3965</v>
      </c>
      <c r="BI626" t="s">
        <v>5566</v>
      </c>
      <c r="BJ626">
        <v>1</v>
      </c>
      <c r="BK626" t="s">
        <v>3902</v>
      </c>
    </row>
    <row r="627" spans="1:63" x14ac:dyDescent="0.25">
      <c r="A627">
        <v>4342</v>
      </c>
      <c r="B627" t="str">
        <f>"20200129117017098464"</f>
        <v>20200129117017098464</v>
      </c>
      <c r="C627">
        <v>1</v>
      </c>
      <c r="D627">
        <v>1</v>
      </c>
      <c r="E627" t="s">
        <v>3886</v>
      </c>
      <c r="F627">
        <v>2</v>
      </c>
      <c r="G627">
        <v>0</v>
      </c>
      <c r="H627" t="s">
        <v>66</v>
      </c>
      <c r="I627">
        <v>0</v>
      </c>
      <c r="J627" t="s">
        <v>66</v>
      </c>
      <c r="K627">
        <v>0</v>
      </c>
      <c r="L627" t="s">
        <v>66</v>
      </c>
      <c r="M627" t="s">
        <v>56</v>
      </c>
      <c r="N627">
        <v>0</v>
      </c>
      <c r="O627" t="s">
        <v>66</v>
      </c>
      <c r="P627" t="s">
        <v>56</v>
      </c>
      <c r="Q627">
        <v>0</v>
      </c>
      <c r="R627" t="s">
        <v>66</v>
      </c>
      <c r="S627" t="s">
        <v>56</v>
      </c>
      <c r="T627">
        <v>1</v>
      </c>
      <c r="U627" t="s">
        <v>1627</v>
      </c>
      <c r="V627" t="s">
        <v>56</v>
      </c>
      <c r="W627">
        <v>0</v>
      </c>
      <c r="X627" t="s">
        <v>66</v>
      </c>
      <c r="Y627" t="s">
        <v>56</v>
      </c>
      <c r="Z627">
        <v>0</v>
      </c>
      <c r="AA627" t="s">
        <v>66</v>
      </c>
      <c r="AB627" t="s">
        <v>56</v>
      </c>
      <c r="AC627">
        <v>1</v>
      </c>
      <c r="AD627" t="s">
        <v>1627</v>
      </c>
      <c r="AE627" t="s">
        <v>3887</v>
      </c>
      <c r="AF627">
        <v>0</v>
      </c>
      <c r="AG627" t="s">
        <v>66</v>
      </c>
      <c r="AH627" t="s">
        <v>56</v>
      </c>
      <c r="AI627">
        <v>1</v>
      </c>
      <c r="AJ627" t="s">
        <v>1627</v>
      </c>
      <c r="AK627" t="s">
        <v>56</v>
      </c>
      <c r="AL627" t="s">
        <v>56</v>
      </c>
      <c r="AM627" t="s">
        <v>56</v>
      </c>
      <c r="AN627" t="s">
        <v>56</v>
      </c>
      <c r="AO627" t="s">
        <v>4374</v>
      </c>
      <c r="AP627" t="s">
        <v>4375</v>
      </c>
      <c r="AQ627" t="s">
        <v>4376</v>
      </c>
      <c r="AR627" t="s">
        <v>4071</v>
      </c>
      <c r="AS627" t="s">
        <v>4072</v>
      </c>
      <c r="AT627" t="s">
        <v>5567</v>
      </c>
      <c r="AU627">
        <v>9000</v>
      </c>
      <c r="AV627" t="s">
        <v>3956</v>
      </c>
      <c r="AW627" t="s">
        <v>3956</v>
      </c>
      <c r="AX627">
        <v>12</v>
      </c>
      <c r="AY627">
        <v>2</v>
      </c>
      <c r="AZ627" t="s">
        <v>3897</v>
      </c>
      <c r="BA627">
        <v>10</v>
      </c>
      <c r="BB627" t="s">
        <v>3898</v>
      </c>
      <c r="BC627">
        <v>30</v>
      </c>
      <c r="BD627">
        <v>3</v>
      </c>
      <c r="BE627" t="s">
        <v>3911</v>
      </c>
      <c r="BF627">
        <v>4</v>
      </c>
      <c r="BG627">
        <v>73</v>
      </c>
      <c r="BH627" t="s">
        <v>3999</v>
      </c>
      <c r="BI627" t="s">
        <v>5568</v>
      </c>
      <c r="BJ627">
        <v>1</v>
      </c>
      <c r="BK627" t="s">
        <v>3902</v>
      </c>
    </row>
    <row r="628" spans="1:63" x14ac:dyDescent="0.25">
      <c r="A628">
        <v>4343</v>
      </c>
      <c r="B628" t="str">
        <f>"20200129124017098623"</f>
        <v>20200129124017098623</v>
      </c>
      <c r="C628">
        <v>1</v>
      </c>
      <c r="D628">
        <v>1</v>
      </c>
      <c r="E628" t="s">
        <v>3886</v>
      </c>
      <c r="F628">
        <v>2</v>
      </c>
      <c r="G628">
        <v>0</v>
      </c>
      <c r="H628" t="s">
        <v>66</v>
      </c>
      <c r="I628">
        <v>0</v>
      </c>
      <c r="J628" t="s">
        <v>66</v>
      </c>
      <c r="K628">
        <v>0</v>
      </c>
      <c r="L628" t="s">
        <v>66</v>
      </c>
      <c r="M628" t="s">
        <v>56</v>
      </c>
      <c r="N628">
        <v>0</v>
      </c>
      <c r="O628" t="s">
        <v>66</v>
      </c>
      <c r="P628" t="s">
        <v>56</v>
      </c>
      <c r="Q628">
        <v>0</v>
      </c>
      <c r="R628" t="s">
        <v>66</v>
      </c>
      <c r="S628" t="s">
        <v>56</v>
      </c>
      <c r="T628">
        <v>1</v>
      </c>
      <c r="U628" t="s">
        <v>1627</v>
      </c>
      <c r="V628" t="s">
        <v>56</v>
      </c>
      <c r="W628">
        <v>0</v>
      </c>
      <c r="X628" t="s">
        <v>66</v>
      </c>
      <c r="Y628" t="s">
        <v>56</v>
      </c>
      <c r="Z628">
        <v>0</v>
      </c>
      <c r="AA628" t="s">
        <v>66</v>
      </c>
      <c r="AB628" t="s">
        <v>56</v>
      </c>
      <c r="AC628">
        <v>1</v>
      </c>
      <c r="AD628" t="s">
        <v>1627</v>
      </c>
      <c r="AE628" t="s">
        <v>3887</v>
      </c>
      <c r="AF628">
        <v>0</v>
      </c>
      <c r="AG628" t="s">
        <v>66</v>
      </c>
      <c r="AH628" t="s">
        <v>56</v>
      </c>
      <c r="AI628">
        <v>1</v>
      </c>
      <c r="AJ628" t="s">
        <v>1627</v>
      </c>
      <c r="AK628" t="s">
        <v>56</v>
      </c>
      <c r="AL628" t="s">
        <v>56</v>
      </c>
      <c r="AM628" t="s">
        <v>56</v>
      </c>
      <c r="AN628" t="s">
        <v>56</v>
      </c>
      <c r="AO628" t="s">
        <v>5569</v>
      </c>
      <c r="AP628" t="s">
        <v>5337</v>
      </c>
      <c r="AQ628" t="s">
        <v>5338</v>
      </c>
      <c r="AR628" t="s">
        <v>3941</v>
      </c>
      <c r="AS628" t="s">
        <v>3942</v>
      </c>
      <c r="AT628" t="s">
        <v>5570</v>
      </c>
      <c r="AU628" t="s">
        <v>4213</v>
      </c>
      <c r="AV628" t="s">
        <v>4214</v>
      </c>
      <c r="AW628" t="s">
        <v>4215</v>
      </c>
      <c r="AX628">
        <v>24</v>
      </c>
      <c r="AY628">
        <v>2</v>
      </c>
      <c r="AZ628" t="s">
        <v>3897</v>
      </c>
      <c r="BA628">
        <v>10</v>
      </c>
      <c r="BB628" t="s">
        <v>3898</v>
      </c>
      <c r="BC628">
        <v>3</v>
      </c>
      <c r="BD628">
        <v>5</v>
      </c>
      <c r="BE628" t="s">
        <v>3899</v>
      </c>
      <c r="BF628">
        <v>9</v>
      </c>
      <c r="BG628">
        <v>13</v>
      </c>
      <c r="BH628" t="s">
        <v>3900</v>
      </c>
      <c r="BI628" t="s">
        <v>5571</v>
      </c>
      <c r="BJ628">
        <v>1</v>
      </c>
      <c r="BK628" t="s">
        <v>3902</v>
      </c>
    </row>
    <row r="629" spans="1:63" x14ac:dyDescent="0.25">
      <c r="A629">
        <v>4344</v>
      </c>
      <c r="B629" t="str">
        <f>"20200129124017098663"</f>
        <v>20200129124017098663</v>
      </c>
      <c r="C629">
        <v>1</v>
      </c>
      <c r="D629">
        <v>1</v>
      </c>
      <c r="E629" t="s">
        <v>3886</v>
      </c>
      <c r="F629">
        <v>2</v>
      </c>
      <c r="G629">
        <v>0</v>
      </c>
      <c r="H629" t="s">
        <v>66</v>
      </c>
      <c r="I629">
        <v>0</v>
      </c>
      <c r="J629" t="s">
        <v>66</v>
      </c>
      <c r="K629">
        <v>0</v>
      </c>
      <c r="L629" t="s">
        <v>66</v>
      </c>
      <c r="M629" t="s">
        <v>56</v>
      </c>
      <c r="N629">
        <v>0</v>
      </c>
      <c r="O629" t="s">
        <v>66</v>
      </c>
      <c r="P629" t="s">
        <v>56</v>
      </c>
      <c r="Q629">
        <v>0</v>
      </c>
      <c r="R629" t="s">
        <v>66</v>
      </c>
      <c r="S629" t="s">
        <v>56</v>
      </c>
      <c r="T629">
        <v>1</v>
      </c>
      <c r="U629" t="s">
        <v>1627</v>
      </c>
      <c r="V629" t="s">
        <v>56</v>
      </c>
      <c r="W629">
        <v>0</v>
      </c>
      <c r="X629" t="s">
        <v>66</v>
      </c>
      <c r="Y629" t="s">
        <v>56</v>
      </c>
      <c r="Z629">
        <v>0</v>
      </c>
      <c r="AA629" t="s">
        <v>66</v>
      </c>
      <c r="AB629" t="s">
        <v>56</v>
      </c>
      <c r="AC629">
        <v>1</v>
      </c>
      <c r="AD629" t="s">
        <v>1627</v>
      </c>
      <c r="AE629" t="s">
        <v>3887</v>
      </c>
      <c r="AF629">
        <v>0</v>
      </c>
      <c r="AG629" t="s">
        <v>66</v>
      </c>
      <c r="AH629" t="s">
        <v>56</v>
      </c>
      <c r="AI629">
        <v>1</v>
      </c>
      <c r="AJ629" t="s">
        <v>1627</v>
      </c>
      <c r="AK629" t="s">
        <v>56</v>
      </c>
      <c r="AL629" t="s">
        <v>56</v>
      </c>
      <c r="AM629" t="s">
        <v>56</v>
      </c>
      <c r="AN629" t="s">
        <v>56</v>
      </c>
      <c r="AO629" t="s">
        <v>4101</v>
      </c>
      <c r="AP629" t="s">
        <v>3962</v>
      </c>
      <c r="AQ629" t="s">
        <v>3963</v>
      </c>
      <c r="AR629" t="s">
        <v>3941</v>
      </c>
      <c r="AS629" t="s">
        <v>3942</v>
      </c>
      <c r="AT629" t="s">
        <v>5572</v>
      </c>
      <c r="AU629" t="s">
        <v>3944</v>
      </c>
      <c r="AV629" t="s">
        <v>3945</v>
      </c>
      <c r="AW629" t="s">
        <v>3946</v>
      </c>
      <c r="AX629">
        <v>12</v>
      </c>
      <c r="AY629">
        <v>2</v>
      </c>
      <c r="AZ629" t="s">
        <v>3897</v>
      </c>
      <c r="BA629">
        <v>10</v>
      </c>
      <c r="BB629" t="s">
        <v>3898</v>
      </c>
      <c r="BC629">
        <v>3</v>
      </c>
      <c r="BD629">
        <v>5</v>
      </c>
      <c r="BE629" t="s">
        <v>3899</v>
      </c>
      <c r="BF629">
        <v>180</v>
      </c>
      <c r="BG629">
        <v>66</v>
      </c>
      <c r="BH629" t="s">
        <v>3965</v>
      </c>
      <c r="BI629" t="s">
        <v>5573</v>
      </c>
      <c r="BJ629">
        <v>1</v>
      </c>
      <c r="BK629" t="s">
        <v>3902</v>
      </c>
    </row>
    <row r="630" spans="1:63" x14ac:dyDescent="0.25">
      <c r="A630">
        <v>4345</v>
      </c>
      <c r="B630" t="str">
        <f>"20200129121017099656"</f>
        <v>20200129121017099656</v>
      </c>
      <c r="C630">
        <v>1</v>
      </c>
      <c r="D630">
        <v>1</v>
      </c>
      <c r="E630" t="s">
        <v>3886</v>
      </c>
      <c r="F630">
        <v>2</v>
      </c>
      <c r="G630">
        <v>0</v>
      </c>
      <c r="H630" t="s">
        <v>66</v>
      </c>
      <c r="I630">
        <v>0</v>
      </c>
      <c r="J630" t="s">
        <v>66</v>
      </c>
      <c r="K630">
        <v>0</v>
      </c>
      <c r="L630" t="s">
        <v>66</v>
      </c>
      <c r="M630" t="s">
        <v>56</v>
      </c>
      <c r="N630">
        <v>0</v>
      </c>
      <c r="O630" t="s">
        <v>66</v>
      </c>
      <c r="P630" t="s">
        <v>56</v>
      </c>
      <c r="Q630">
        <v>0</v>
      </c>
      <c r="R630" t="s">
        <v>66</v>
      </c>
      <c r="S630" t="s">
        <v>56</v>
      </c>
      <c r="T630">
        <v>1</v>
      </c>
      <c r="U630" t="s">
        <v>1627</v>
      </c>
      <c r="V630" t="s">
        <v>56</v>
      </c>
      <c r="W630">
        <v>0</v>
      </c>
      <c r="X630" t="s">
        <v>66</v>
      </c>
      <c r="Y630" t="s">
        <v>56</v>
      </c>
      <c r="Z630">
        <v>0</v>
      </c>
      <c r="AA630" t="s">
        <v>66</v>
      </c>
      <c r="AB630" t="s">
        <v>56</v>
      </c>
      <c r="AC630">
        <v>1</v>
      </c>
      <c r="AD630" t="s">
        <v>1627</v>
      </c>
      <c r="AE630" t="s">
        <v>3887</v>
      </c>
      <c r="AF630">
        <v>0</v>
      </c>
      <c r="AG630" t="s">
        <v>66</v>
      </c>
      <c r="AH630" t="s">
        <v>56</v>
      </c>
      <c r="AI630">
        <v>1</v>
      </c>
      <c r="AJ630" t="s">
        <v>1627</v>
      </c>
      <c r="AK630" t="s">
        <v>56</v>
      </c>
      <c r="AL630" t="s">
        <v>56</v>
      </c>
      <c r="AM630" t="s">
        <v>56</v>
      </c>
      <c r="AN630" t="s">
        <v>56</v>
      </c>
      <c r="AO630" t="s">
        <v>4294</v>
      </c>
      <c r="AP630" t="s">
        <v>3962</v>
      </c>
      <c r="AQ630" t="s">
        <v>3963</v>
      </c>
      <c r="AR630" t="s">
        <v>3941</v>
      </c>
      <c r="AS630" t="s">
        <v>3942</v>
      </c>
      <c r="AT630" t="s">
        <v>5574</v>
      </c>
      <c r="AU630">
        <v>9000</v>
      </c>
      <c r="AV630" t="s">
        <v>3956</v>
      </c>
      <c r="AW630" t="s">
        <v>3956</v>
      </c>
      <c r="AX630">
        <v>24</v>
      </c>
      <c r="AY630">
        <v>2</v>
      </c>
      <c r="AZ630" t="s">
        <v>3897</v>
      </c>
      <c r="BA630">
        <v>10</v>
      </c>
      <c r="BB630" t="s">
        <v>3898</v>
      </c>
      <c r="BC630">
        <v>90</v>
      </c>
      <c r="BD630">
        <v>3</v>
      </c>
      <c r="BE630" t="s">
        <v>3911</v>
      </c>
      <c r="BF630">
        <v>90</v>
      </c>
      <c r="BG630">
        <v>66</v>
      </c>
      <c r="BH630" t="s">
        <v>3965</v>
      </c>
      <c r="BI630" t="s">
        <v>5575</v>
      </c>
      <c r="BJ630">
        <v>1</v>
      </c>
      <c r="BK630" t="s">
        <v>3902</v>
      </c>
    </row>
    <row r="631" spans="1:63" x14ac:dyDescent="0.25">
      <c r="A631">
        <v>4346</v>
      </c>
      <c r="B631" t="str">
        <f>"20200129127017099816"</f>
        <v>20200129127017099816</v>
      </c>
      <c r="C631">
        <v>1</v>
      </c>
      <c r="D631">
        <v>1</v>
      </c>
      <c r="E631" t="s">
        <v>3886</v>
      </c>
      <c r="F631">
        <v>2</v>
      </c>
      <c r="G631">
        <v>0</v>
      </c>
      <c r="H631" t="s">
        <v>66</v>
      </c>
      <c r="I631">
        <v>0</v>
      </c>
      <c r="J631" t="s">
        <v>66</v>
      </c>
      <c r="K631">
        <v>0</v>
      </c>
      <c r="L631" t="s">
        <v>66</v>
      </c>
      <c r="M631" t="s">
        <v>56</v>
      </c>
      <c r="N631">
        <v>0</v>
      </c>
      <c r="O631" t="s">
        <v>66</v>
      </c>
      <c r="P631" t="s">
        <v>56</v>
      </c>
      <c r="Q631">
        <v>0</v>
      </c>
      <c r="R631" t="s">
        <v>66</v>
      </c>
      <c r="S631" t="s">
        <v>56</v>
      </c>
      <c r="T631">
        <v>1</v>
      </c>
      <c r="U631" t="s">
        <v>1627</v>
      </c>
      <c r="V631" t="s">
        <v>56</v>
      </c>
      <c r="W631">
        <v>0</v>
      </c>
      <c r="X631" t="s">
        <v>66</v>
      </c>
      <c r="Y631" t="s">
        <v>56</v>
      </c>
      <c r="Z631">
        <v>0</v>
      </c>
      <c r="AA631" t="s">
        <v>66</v>
      </c>
      <c r="AB631" t="s">
        <v>56</v>
      </c>
      <c r="AC631">
        <v>1</v>
      </c>
      <c r="AD631" t="s">
        <v>1627</v>
      </c>
      <c r="AE631" t="s">
        <v>3887</v>
      </c>
      <c r="AF631">
        <v>0</v>
      </c>
      <c r="AG631" t="s">
        <v>66</v>
      </c>
      <c r="AH631" t="s">
        <v>56</v>
      </c>
      <c r="AI631">
        <v>1</v>
      </c>
      <c r="AJ631" t="s">
        <v>1627</v>
      </c>
      <c r="AK631" t="s">
        <v>56</v>
      </c>
      <c r="AL631" t="s">
        <v>56</v>
      </c>
      <c r="AM631" t="s">
        <v>56</v>
      </c>
      <c r="AN631" t="s">
        <v>56</v>
      </c>
      <c r="AO631" t="s">
        <v>4410</v>
      </c>
      <c r="AP631" t="s">
        <v>3971</v>
      </c>
      <c r="AQ631" t="s">
        <v>3972</v>
      </c>
      <c r="AR631" t="s">
        <v>4411</v>
      </c>
      <c r="AS631" t="s">
        <v>4412</v>
      </c>
      <c r="AT631" t="s">
        <v>5576</v>
      </c>
      <c r="AU631" t="s">
        <v>3907</v>
      </c>
      <c r="AV631" t="s">
        <v>3908</v>
      </c>
      <c r="AW631" t="s">
        <v>3909</v>
      </c>
      <c r="AX631">
        <v>3</v>
      </c>
      <c r="AY631">
        <v>3</v>
      </c>
      <c r="AZ631" t="s">
        <v>3911</v>
      </c>
      <c r="BA631">
        <v>10</v>
      </c>
      <c r="BB631" t="s">
        <v>3898</v>
      </c>
      <c r="BC631">
        <v>8</v>
      </c>
      <c r="BD631">
        <v>4</v>
      </c>
      <c r="BE631" t="s">
        <v>4302</v>
      </c>
      <c r="BF631">
        <v>24</v>
      </c>
      <c r="BG631">
        <v>75</v>
      </c>
      <c r="BH631" t="s">
        <v>4017</v>
      </c>
      <c r="BI631" t="s">
        <v>5577</v>
      </c>
      <c r="BJ631">
        <v>1</v>
      </c>
      <c r="BK631" t="s">
        <v>3902</v>
      </c>
    </row>
    <row r="632" spans="1:63" x14ac:dyDescent="0.25">
      <c r="A632">
        <v>4347</v>
      </c>
      <c r="B632" t="str">
        <f>"20200129114017099997"</f>
        <v>20200129114017099997</v>
      </c>
      <c r="C632">
        <v>1</v>
      </c>
      <c r="D632">
        <v>1</v>
      </c>
      <c r="E632" t="s">
        <v>3886</v>
      </c>
      <c r="F632">
        <v>2</v>
      </c>
      <c r="G632">
        <v>0</v>
      </c>
      <c r="H632" t="s">
        <v>66</v>
      </c>
      <c r="I632">
        <v>0</v>
      </c>
      <c r="J632" t="s">
        <v>66</v>
      </c>
      <c r="K632">
        <v>1</v>
      </c>
      <c r="L632" t="s">
        <v>1627</v>
      </c>
      <c r="M632" t="s">
        <v>4123</v>
      </c>
      <c r="N632">
        <v>1</v>
      </c>
      <c r="O632" t="s">
        <v>1627</v>
      </c>
      <c r="P632" t="s">
        <v>4124</v>
      </c>
      <c r="Q632">
        <v>0</v>
      </c>
      <c r="R632" t="s">
        <v>66</v>
      </c>
      <c r="S632" t="s">
        <v>56</v>
      </c>
      <c r="T632" t="s">
        <v>56</v>
      </c>
      <c r="U632" t="s">
        <v>56</v>
      </c>
      <c r="V632" t="s">
        <v>56</v>
      </c>
      <c r="W632">
        <v>0</v>
      </c>
      <c r="X632" t="s">
        <v>66</v>
      </c>
      <c r="Y632" t="s">
        <v>56</v>
      </c>
      <c r="Z632">
        <v>0</v>
      </c>
      <c r="AA632" t="s">
        <v>66</v>
      </c>
      <c r="AB632" t="s">
        <v>56</v>
      </c>
      <c r="AC632">
        <v>0</v>
      </c>
      <c r="AD632" t="s">
        <v>66</v>
      </c>
      <c r="AE632" t="s">
        <v>56</v>
      </c>
      <c r="AF632">
        <v>0</v>
      </c>
      <c r="AG632" t="s">
        <v>66</v>
      </c>
      <c r="AH632" t="s">
        <v>56</v>
      </c>
      <c r="AI632">
        <v>1</v>
      </c>
      <c r="AJ632" t="s">
        <v>1627</v>
      </c>
      <c r="AK632">
        <v>0</v>
      </c>
      <c r="AL632" t="s">
        <v>66</v>
      </c>
      <c r="AM632" t="s">
        <v>56</v>
      </c>
      <c r="AN632" t="s">
        <v>56</v>
      </c>
      <c r="AO632" t="s">
        <v>4125</v>
      </c>
      <c r="AP632" t="s">
        <v>3962</v>
      </c>
      <c r="AQ632" t="s">
        <v>3963</v>
      </c>
      <c r="AR632" t="s">
        <v>3941</v>
      </c>
      <c r="AS632" t="s">
        <v>3942</v>
      </c>
      <c r="AT632" t="s">
        <v>4126</v>
      </c>
      <c r="AU632" t="s">
        <v>4026</v>
      </c>
      <c r="AV632" t="s">
        <v>4027</v>
      </c>
      <c r="AW632" t="s">
        <v>4028</v>
      </c>
      <c r="AX632">
        <v>12</v>
      </c>
      <c r="AY632">
        <v>2</v>
      </c>
      <c r="AZ632" t="s">
        <v>3897</v>
      </c>
      <c r="BA632">
        <v>10</v>
      </c>
      <c r="BB632" t="s">
        <v>3898</v>
      </c>
      <c r="BC632">
        <v>2</v>
      </c>
      <c r="BD632">
        <v>5</v>
      </c>
      <c r="BE632" t="s">
        <v>3899</v>
      </c>
      <c r="BF632">
        <v>120</v>
      </c>
      <c r="BG632">
        <v>74</v>
      </c>
      <c r="BH632" t="s">
        <v>3923</v>
      </c>
      <c r="BI632" t="s">
        <v>5578</v>
      </c>
      <c r="BJ632">
        <v>1</v>
      </c>
      <c r="BK632" t="s">
        <v>3902</v>
      </c>
    </row>
    <row r="633" spans="1:63" x14ac:dyDescent="0.25">
      <c r="A633">
        <v>4348</v>
      </c>
      <c r="B633" t="str">
        <f>"20200129191017100897"</f>
        <v>20200129191017100897</v>
      </c>
      <c r="C633">
        <v>1</v>
      </c>
      <c r="D633">
        <v>1</v>
      </c>
      <c r="E633" t="s">
        <v>3886</v>
      </c>
      <c r="F633">
        <v>2</v>
      </c>
      <c r="G633">
        <v>0</v>
      </c>
      <c r="H633" t="s">
        <v>66</v>
      </c>
      <c r="I633">
        <v>0</v>
      </c>
      <c r="J633" t="s">
        <v>66</v>
      </c>
      <c r="K633">
        <v>1</v>
      </c>
      <c r="L633" t="s">
        <v>1627</v>
      </c>
      <c r="M633" t="s">
        <v>4517</v>
      </c>
      <c r="N633">
        <v>1</v>
      </c>
      <c r="O633" t="s">
        <v>1627</v>
      </c>
      <c r="P633" t="s">
        <v>5579</v>
      </c>
      <c r="Q633">
        <v>0</v>
      </c>
      <c r="R633" t="s">
        <v>66</v>
      </c>
      <c r="S633" t="s">
        <v>56</v>
      </c>
      <c r="T633" t="s">
        <v>56</v>
      </c>
      <c r="U633" t="s">
        <v>56</v>
      </c>
      <c r="V633" t="s">
        <v>56</v>
      </c>
      <c r="W633">
        <v>0</v>
      </c>
      <c r="X633" t="s">
        <v>66</v>
      </c>
      <c r="Y633" t="s">
        <v>56</v>
      </c>
      <c r="Z633">
        <v>0</v>
      </c>
      <c r="AA633" t="s">
        <v>66</v>
      </c>
      <c r="AB633" t="s">
        <v>56</v>
      </c>
      <c r="AC633">
        <v>0</v>
      </c>
      <c r="AD633" t="s">
        <v>66</v>
      </c>
      <c r="AE633" t="s">
        <v>56</v>
      </c>
      <c r="AF633">
        <v>0</v>
      </c>
      <c r="AG633" t="s">
        <v>66</v>
      </c>
      <c r="AH633" t="s">
        <v>56</v>
      </c>
      <c r="AI633">
        <v>1</v>
      </c>
      <c r="AJ633" t="s">
        <v>1627</v>
      </c>
      <c r="AK633" t="s">
        <v>56</v>
      </c>
      <c r="AL633" t="s">
        <v>56</v>
      </c>
      <c r="AM633" t="s">
        <v>56</v>
      </c>
      <c r="AN633" t="s">
        <v>56</v>
      </c>
      <c r="AO633" t="s">
        <v>3982</v>
      </c>
      <c r="AP633" t="s">
        <v>3962</v>
      </c>
      <c r="AQ633" t="s">
        <v>3963</v>
      </c>
      <c r="AR633" t="s">
        <v>3941</v>
      </c>
      <c r="AS633" t="s">
        <v>3942</v>
      </c>
      <c r="AT633" t="s">
        <v>5580</v>
      </c>
      <c r="AU633" t="s">
        <v>3944</v>
      </c>
      <c r="AV633" t="s">
        <v>3945</v>
      </c>
      <c r="AW633" t="s">
        <v>3946</v>
      </c>
      <c r="AX633">
        <v>24</v>
      </c>
      <c r="AY633">
        <v>2</v>
      </c>
      <c r="AZ633" t="s">
        <v>3897</v>
      </c>
      <c r="BA633">
        <v>10</v>
      </c>
      <c r="BB633" t="s">
        <v>3898</v>
      </c>
      <c r="BC633">
        <v>180</v>
      </c>
      <c r="BD633">
        <v>3</v>
      </c>
      <c r="BE633" t="s">
        <v>3911</v>
      </c>
      <c r="BF633">
        <v>180</v>
      </c>
      <c r="BG633">
        <v>66</v>
      </c>
      <c r="BH633" t="s">
        <v>3965</v>
      </c>
      <c r="BI633" t="s">
        <v>5581</v>
      </c>
      <c r="BJ633">
        <v>1</v>
      </c>
      <c r="BK633" t="s">
        <v>3902</v>
      </c>
    </row>
    <row r="634" spans="1:63" x14ac:dyDescent="0.25">
      <c r="A634">
        <v>4349</v>
      </c>
      <c r="B634" t="str">
        <f>"20200129197017100999"</f>
        <v>20200129197017100999</v>
      </c>
      <c r="C634">
        <v>1</v>
      </c>
      <c r="D634">
        <v>1</v>
      </c>
      <c r="E634" t="s">
        <v>3886</v>
      </c>
      <c r="F634">
        <v>1</v>
      </c>
      <c r="G634">
        <v>0</v>
      </c>
      <c r="H634" t="s">
        <v>66</v>
      </c>
      <c r="I634">
        <v>0</v>
      </c>
      <c r="J634" t="s">
        <v>66</v>
      </c>
      <c r="K634">
        <v>0</v>
      </c>
      <c r="L634" t="s">
        <v>66</v>
      </c>
      <c r="M634" t="s">
        <v>56</v>
      </c>
      <c r="N634">
        <v>0</v>
      </c>
      <c r="O634" t="s">
        <v>66</v>
      </c>
      <c r="P634" t="s">
        <v>56</v>
      </c>
      <c r="Q634">
        <v>0</v>
      </c>
      <c r="R634" t="s">
        <v>66</v>
      </c>
      <c r="S634" t="s">
        <v>56</v>
      </c>
      <c r="T634">
        <v>1</v>
      </c>
      <c r="U634" t="s">
        <v>1627</v>
      </c>
      <c r="V634" t="s">
        <v>56</v>
      </c>
      <c r="W634">
        <v>0</v>
      </c>
      <c r="X634" t="s">
        <v>66</v>
      </c>
      <c r="Y634" t="s">
        <v>56</v>
      </c>
      <c r="Z634">
        <v>0</v>
      </c>
      <c r="AA634" t="s">
        <v>66</v>
      </c>
      <c r="AB634" t="s">
        <v>56</v>
      </c>
      <c r="AC634">
        <v>1</v>
      </c>
      <c r="AD634" t="s">
        <v>1627</v>
      </c>
      <c r="AE634" t="s">
        <v>3887</v>
      </c>
      <c r="AF634">
        <v>0</v>
      </c>
      <c r="AG634" t="s">
        <v>66</v>
      </c>
      <c r="AH634" t="s">
        <v>56</v>
      </c>
      <c r="AI634">
        <v>1</v>
      </c>
      <c r="AJ634" t="s">
        <v>1627</v>
      </c>
      <c r="AK634" t="s">
        <v>56</v>
      </c>
      <c r="AL634" t="s">
        <v>56</v>
      </c>
      <c r="AM634" t="s">
        <v>56</v>
      </c>
      <c r="AN634" t="s">
        <v>56</v>
      </c>
      <c r="AO634" t="s">
        <v>4928</v>
      </c>
      <c r="AP634" t="s">
        <v>3971</v>
      </c>
      <c r="AQ634" t="s">
        <v>3972</v>
      </c>
      <c r="AR634" t="s">
        <v>3904</v>
      </c>
      <c r="AS634" t="s">
        <v>3905</v>
      </c>
      <c r="AT634" t="s">
        <v>5582</v>
      </c>
      <c r="AU634" t="s">
        <v>3944</v>
      </c>
      <c r="AV634" t="s">
        <v>3945</v>
      </c>
      <c r="AW634" t="s">
        <v>3946</v>
      </c>
      <c r="AX634">
        <v>12</v>
      </c>
      <c r="AY634">
        <v>2</v>
      </c>
      <c r="AZ634" t="s">
        <v>3897</v>
      </c>
      <c r="BA634">
        <v>10</v>
      </c>
      <c r="BB634" t="s">
        <v>3898</v>
      </c>
      <c r="BC634">
        <v>14</v>
      </c>
      <c r="BD634">
        <v>3</v>
      </c>
      <c r="BE634" t="s">
        <v>3911</v>
      </c>
      <c r="BF634">
        <v>29</v>
      </c>
      <c r="BG634" t="s">
        <v>3912</v>
      </c>
      <c r="BH634" t="s">
        <v>3913</v>
      </c>
      <c r="BI634" t="s">
        <v>5583</v>
      </c>
      <c r="BJ634">
        <v>1</v>
      </c>
      <c r="BK634" t="s">
        <v>3902</v>
      </c>
    </row>
    <row r="635" spans="1:63" x14ac:dyDescent="0.25">
      <c r="A635">
        <v>4350</v>
      </c>
      <c r="B635" t="str">
        <f>"20200129197017100999"</f>
        <v>20200129197017100999</v>
      </c>
      <c r="C635">
        <v>2</v>
      </c>
      <c r="D635">
        <v>1</v>
      </c>
      <c r="E635" t="s">
        <v>3886</v>
      </c>
      <c r="F635">
        <v>1</v>
      </c>
      <c r="G635">
        <v>0</v>
      </c>
      <c r="H635" t="s">
        <v>66</v>
      </c>
      <c r="I635">
        <v>0</v>
      </c>
      <c r="J635" t="s">
        <v>66</v>
      </c>
      <c r="K635">
        <v>0</v>
      </c>
      <c r="L635" t="s">
        <v>66</v>
      </c>
      <c r="M635" t="s">
        <v>56</v>
      </c>
      <c r="N635">
        <v>0</v>
      </c>
      <c r="O635" t="s">
        <v>66</v>
      </c>
      <c r="P635" t="s">
        <v>56</v>
      </c>
      <c r="Q635">
        <v>0</v>
      </c>
      <c r="R635" t="s">
        <v>66</v>
      </c>
      <c r="S635" t="s">
        <v>56</v>
      </c>
      <c r="T635">
        <v>1</v>
      </c>
      <c r="U635" t="s">
        <v>1627</v>
      </c>
      <c r="V635" t="s">
        <v>56</v>
      </c>
      <c r="W635">
        <v>0</v>
      </c>
      <c r="X635" t="s">
        <v>66</v>
      </c>
      <c r="Y635" t="s">
        <v>56</v>
      </c>
      <c r="Z635">
        <v>0</v>
      </c>
      <c r="AA635" t="s">
        <v>66</v>
      </c>
      <c r="AB635" t="s">
        <v>56</v>
      </c>
      <c r="AC635">
        <v>1</v>
      </c>
      <c r="AD635" t="s">
        <v>1627</v>
      </c>
      <c r="AE635" t="s">
        <v>3887</v>
      </c>
      <c r="AF635">
        <v>0</v>
      </c>
      <c r="AG635" t="s">
        <v>66</v>
      </c>
      <c r="AH635" t="s">
        <v>56</v>
      </c>
      <c r="AI635">
        <v>1</v>
      </c>
      <c r="AJ635" t="s">
        <v>1627</v>
      </c>
      <c r="AK635" t="s">
        <v>56</v>
      </c>
      <c r="AL635" t="s">
        <v>56</v>
      </c>
      <c r="AM635" t="s">
        <v>56</v>
      </c>
      <c r="AN635" t="s">
        <v>56</v>
      </c>
      <c r="AO635" t="s">
        <v>4925</v>
      </c>
      <c r="AP635" t="s">
        <v>3971</v>
      </c>
      <c r="AQ635" t="s">
        <v>3972</v>
      </c>
      <c r="AR635" t="s">
        <v>3904</v>
      </c>
      <c r="AS635" t="s">
        <v>3905</v>
      </c>
      <c r="AT635" t="s">
        <v>5584</v>
      </c>
      <c r="AU635" t="s">
        <v>3929</v>
      </c>
      <c r="AV635" t="s">
        <v>3930</v>
      </c>
      <c r="AW635" t="s">
        <v>3931</v>
      </c>
      <c r="AX635">
        <v>8</v>
      </c>
      <c r="AY635">
        <v>2</v>
      </c>
      <c r="AZ635" t="s">
        <v>3897</v>
      </c>
      <c r="BA635">
        <v>10</v>
      </c>
      <c r="BB635" t="s">
        <v>3898</v>
      </c>
      <c r="BC635">
        <v>14</v>
      </c>
      <c r="BD635">
        <v>3</v>
      </c>
      <c r="BE635" t="s">
        <v>3911</v>
      </c>
      <c r="BF635">
        <v>42</v>
      </c>
      <c r="BG635" t="s">
        <v>3912</v>
      </c>
      <c r="BH635" t="s">
        <v>3913</v>
      </c>
      <c r="BI635" t="s">
        <v>4927</v>
      </c>
      <c r="BJ635">
        <v>1</v>
      </c>
      <c r="BK635" t="s">
        <v>3902</v>
      </c>
    </row>
    <row r="636" spans="1:63" x14ac:dyDescent="0.25">
      <c r="A636">
        <v>4351</v>
      </c>
      <c r="B636" t="str">
        <f>"20200129135017101288"</f>
        <v>20200129135017101288</v>
      </c>
      <c r="C636">
        <v>1</v>
      </c>
      <c r="D636">
        <v>1</v>
      </c>
      <c r="E636" t="s">
        <v>3886</v>
      </c>
      <c r="F636">
        <v>2</v>
      </c>
      <c r="G636">
        <v>0</v>
      </c>
      <c r="H636" t="s">
        <v>66</v>
      </c>
      <c r="I636">
        <v>0</v>
      </c>
      <c r="J636" t="s">
        <v>66</v>
      </c>
      <c r="K636">
        <v>1</v>
      </c>
      <c r="L636" t="s">
        <v>1627</v>
      </c>
      <c r="M636" t="s">
        <v>4366</v>
      </c>
      <c r="N636">
        <v>1</v>
      </c>
      <c r="O636" t="s">
        <v>1627</v>
      </c>
      <c r="P636" t="s">
        <v>5415</v>
      </c>
      <c r="Q636">
        <v>0</v>
      </c>
      <c r="R636" t="s">
        <v>66</v>
      </c>
      <c r="S636" t="s">
        <v>56</v>
      </c>
      <c r="T636" t="s">
        <v>56</v>
      </c>
      <c r="U636" t="s">
        <v>56</v>
      </c>
      <c r="V636" t="s">
        <v>56</v>
      </c>
      <c r="W636">
        <v>0</v>
      </c>
      <c r="X636" t="s">
        <v>66</v>
      </c>
      <c r="Y636" t="s">
        <v>56</v>
      </c>
      <c r="Z636">
        <v>0</v>
      </c>
      <c r="AA636" t="s">
        <v>66</v>
      </c>
      <c r="AB636" t="s">
        <v>56</v>
      </c>
      <c r="AC636">
        <v>0</v>
      </c>
      <c r="AD636" t="s">
        <v>66</v>
      </c>
      <c r="AE636" t="s">
        <v>56</v>
      </c>
      <c r="AF636">
        <v>0</v>
      </c>
      <c r="AG636" t="s">
        <v>66</v>
      </c>
      <c r="AH636" t="s">
        <v>56</v>
      </c>
      <c r="AI636">
        <v>1</v>
      </c>
      <c r="AJ636" t="s">
        <v>1627</v>
      </c>
      <c r="AK636" t="s">
        <v>56</v>
      </c>
      <c r="AL636" t="s">
        <v>56</v>
      </c>
      <c r="AM636" t="s">
        <v>56</v>
      </c>
      <c r="AN636" t="s">
        <v>56</v>
      </c>
      <c r="AO636" t="s">
        <v>4118</v>
      </c>
      <c r="AP636" t="s">
        <v>3962</v>
      </c>
      <c r="AQ636" t="s">
        <v>3963</v>
      </c>
      <c r="AR636" t="s">
        <v>3941</v>
      </c>
      <c r="AS636" t="s">
        <v>3942</v>
      </c>
      <c r="AT636" t="s">
        <v>5585</v>
      </c>
      <c r="AU636" t="s">
        <v>4026</v>
      </c>
      <c r="AV636" t="s">
        <v>4027</v>
      </c>
      <c r="AW636" t="s">
        <v>4028</v>
      </c>
      <c r="AX636">
        <v>12</v>
      </c>
      <c r="AY636">
        <v>2</v>
      </c>
      <c r="AZ636" t="s">
        <v>3897</v>
      </c>
      <c r="BA636">
        <v>10</v>
      </c>
      <c r="BB636" t="s">
        <v>3898</v>
      </c>
      <c r="BC636">
        <v>4</v>
      </c>
      <c r="BD636">
        <v>5</v>
      </c>
      <c r="BE636" t="s">
        <v>3899</v>
      </c>
      <c r="BF636">
        <v>240</v>
      </c>
      <c r="BG636">
        <v>66</v>
      </c>
      <c r="BH636" t="s">
        <v>3965</v>
      </c>
      <c r="BI636" t="s">
        <v>4369</v>
      </c>
      <c r="BJ636">
        <v>1</v>
      </c>
      <c r="BK636" t="s">
        <v>3902</v>
      </c>
    </row>
    <row r="637" spans="1:63" x14ac:dyDescent="0.25">
      <c r="A637">
        <v>4352</v>
      </c>
      <c r="B637" t="str">
        <f>"20200129135017101288"</f>
        <v>20200129135017101288</v>
      </c>
      <c r="C637">
        <v>2</v>
      </c>
      <c r="D637">
        <v>1</v>
      </c>
      <c r="E637" t="s">
        <v>3886</v>
      </c>
      <c r="F637">
        <v>2</v>
      </c>
      <c r="G637">
        <v>0</v>
      </c>
      <c r="H637" t="s">
        <v>66</v>
      </c>
      <c r="I637">
        <v>0</v>
      </c>
      <c r="J637" t="s">
        <v>66</v>
      </c>
      <c r="K637">
        <v>1</v>
      </c>
      <c r="L637" t="s">
        <v>1627</v>
      </c>
      <c r="M637" t="s">
        <v>4116</v>
      </c>
      <c r="N637">
        <v>1</v>
      </c>
      <c r="O637" t="s">
        <v>1627</v>
      </c>
      <c r="P637" t="s">
        <v>5415</v>
      </c>
      <c r="Q637">
        <v>0</v>
      </c>
      <c r="R637" t="s">
        <v>66</v>
      </c>
      <c r="S637" t="s">
        <v>56</v>
      </c>
      <c r="T637" t="s">
        <v>56</v>
      </c>
      <c r="U637" t="s">
        <v>56</v>
      </c>
      <c r="V637" t="s">
        <v>56</v>
      </c>
      <c r="W637">
        <v>0</v>
      </c>
      <c r="X637" t="s">
        <v>66</v>
      </c>
      <c r="Y637" t="s">
        <v>56</v>
      </c>
      <c r="Z637">
        <v>0</v>
      </c>
      <c r="AA637" t="s">
        <v>66</v>
      </c>
      <c r="AB637" t="s">
        <v>56</v>
      </c>
      <c r="AC637">
        <v>0</v>
      </c>
      <c r="AD637" t="s">
        <v>66</v>
      </c>
      <c r="AE637" t="s">
        <v>56</v>
      </c>
      <c r="AF637">
        <v>0</v>
      </c>
      <c r="AG637" t="s">
        <v>66</v>
      </c>
      <c r="AH637" t="s">
        <v>56</v>
      </c>
      <c r="AI637">
        <v>1</v>
      </c>
      <c r="AJ637" t="s">
        <v>1627</v>
      </c>
      <c r="AK637" t="s">
        <v>56</v>
      </c>
      <c r="AL637" t="s">
        <v>56</v>
      </c>
      <c r="AM637" t="s">
        <v>56</v>
      </c>
      <c r="AN637" t="s">
        <v>56</v>
      </c>
      <c r="AO637" t="s">
        <v>5317</v>
      </c>
      <c r="AP637" t="s">
        <v>3939</v>
      </c>
      <c r="AQ637" t="s">
        <v>3940</v>
      </c>
      <c r="AR637" t="s">
        <v>3941</v>
      </c>
      <c r="AS637" t="s">
        <v>3942</v>
      </c>
      <c r="AT637" t="s">
        <v>5586</v>
      </c>
      <c r="AU637" t="s">
        <v>3944</v>
      </c>
      <c r="AV637" t="s">
        <v>3945</v>
      </c>
      <c r="AW637" t="s">
        <v>3946</v>
      </c>
      <c r="AX637">
        <v>1</v>
      </c>
      <c r="AY637">
        <v>3</v>
      </c>
      <c r="AZ637" t="s">
        <v>3911</v>
      </c>
      <c r="BA637">
        <v>10</v>
      </c>
      <c r="BB637" t="s">
        <v>3898</v>
      </c>
      <c r="BC637">
        <v>4</v>
      </c>
      <c r="BD637">
        <v>5</v>
      </c>
      <c r="BE637" t="s">
        <v>3899</v>
      </c>
      <c r="BF637">
        <v>120</v>
      </c>
      <c r="BG637">
        <v>14</v>
      </c>
      <c r="BH637" t="s">
        <v>3947</v>
      </c>
      <c r="BI637" t="s">
        <v>5587</v>
      </c>
      <c r="BJ637">
        <v>1</v>
      </c>
      <c r="BK637" t="s">
        <v>3902</v>
      </c>
    </row>
    <row r="638" spans="1:63" x14ac:dyDescent="0.25">
      <c r="A638">
        <v>4353</v>
      </c>
      <c r="B638" t="str">
        <f>"20200129113017101430"</f>
        <v>20200129113017101430</v>
      </c>
      <c r="C638">
        <v>1</v>
      </c>
      <c r="D638">
        <v>1</v>
      </c>
      <c r="E638" t="s">
        <v>3886</v>
      </c>
      <c r="F638">
        <v>2</v>
      </c>
      <c r="G638">
        <v>0</v>
      </c>
      <c r="H638" t="s">
        <v>66</v>
      </c>
      <c r="I638">
        <v>0</v>
      </c>
      <c r="J638" t="s">
        <v>66</v>
      </c>
      <c r="K638">
        <v>0</v>
      </c>
      <c r="L638" t="s">
        <v>66</v>
      </c>
      <c r="M638" t="s">
        <v>56</v>
      </c>
      <c r="N638">
        <v>0</v>
      </c>
      <c r="O638" t="s">
        <v>66</v>
      </c>
      <c r="P638" t="s">
        <v>56</v>
      </c>
      <c r="Q638">
        <v>0</v>
      </c>
      <c r="R638" t="s">
        <v>66</v>
      </c>
      <c r="S638" t="s">
        <v>56</v>
      </c>
      <c r="T638">
        <v>1</v>
      </c>
      <c r="U638" t="s">
        <v>1627</v>
      </c>
      <c r="V638" t="s">
        <v>56</v>
      </c>
      <c r="W638">
        <v>0</v>
      </c>
      <c r="X638" t="s">
        <v>66</v>
      </c>
      <c r="Y638" t="s">
        <v>56</v>
      </c>
      <c r="Z638">
        <v>0</v>
      </c>
      <c r="AA638" t="s">
        <v>66</v>
      </c>
      <c r="AB638" t="s">
        <v>56</v>
      </c>
      <c r="AC638">
        <v>1</v>
      </c>
      <c r="AD638" t="s">
        <v>1627</v>
      </c>
      <c r="AE638" t="s">
        <v>3887</v>
      </c>
      <c r="AF638">
        <v>0</v>
      </c>
      <c r="AG638" t="s">
        <v>66</v>
      </c>
      <c r="AH638" t="s">
        <v>56</v>
      </c>
      <c r="AI638">
        <v>1</v>
      </c>
      <c r="AJ638" t="s">
        <v>1627</v>
      </c>
      <c r="AK638" t="s">
        <v>56</v>
      </c>
      <c r="AL638" t="s">
        <v>56</v>
      </c>
      <c r="AM638" t="s">
        <v>56</v>
      </c>
      <c r="AN638" t="s">
        <v>56</v>
      </c>
      <c r="AO638" t="s">
        <v>4050</v>
      </c>
      <c r="AP638" t="s">
        <v>3962</v>
      </c>
      <c r="AQ638" t="s">
        <v>3963</v>
      </c>
      <c r="AR638" t="s">
        <v>3941</v>
      </c>
      <c r="AS638" t="s">
        <v>3942</v>
      </c>
      <c r="AT638" t="s">
        <v>5588</v>
      </c>
      <c r="AU638" t="s">
        <v>3944</v>
      </c>
      <c r="AV638" t="s">
        <v>3945</v>
      </c>
      <c r="AW638" t="s">
        <v>3946</v>
      </c>
      <c r="AX638">
        <v>6</v>
      </c>
      <c r="AY638">
        <v>2</v>
      </c>
      <c r="AZ638" t="s">
        <v>3897</v>
      </c>
      <c r="BA638">
        <v>10</v>
      </c>
      <c r="BB638" t="s">
        <v>3898</v>
      </c>
      <c r="BC638">
        <v>2</v>
      </c>
      <c r="BD638">
        <v>5</v>
      </c>
      <c r="BE638" t="s">
        <v>3899</v>
      </c>
      <c r="BF638">
        <v>240</v>
      </c>
      <c r="BG638">
        <v>66</v>
      </c>
      <c r="BH638" t="s">
        <v>3965</v>
      </c>
      <c r="BI638" t="s">
        <v>5589</v>
      </c>
      <c r="BJ638">
        <v>1</v>
      </c>
      <c r="BK638" t="s">
        <v>3902</v>
      </c>
    </row>
    <row r="639" spans="1:63" x14ac:dyDescent="0.25">
      <c r="A639">
        <v>4354</v>
      </c>
      <c r="B639" t="str">
        <f>"20200129173017101751"</f>
        <v>20200129173017101751</v>
      </c>
      <c r="C639">
        <v>1</v>
      </c>
      <c r="D639">
        <v>1</v>
      </c>
      <c r="E639" t="s">
        <v>3886</v>
      </c>
      <c r="F639">
        <v>1</v>
      </c>
      <c r="G639">
        <v>0</v>
      </c>
      <c r="H639" t="s">
        <v>66</v>
      </c>
      <c r="I639">
        <v>0</v>
      </c>
      <c r="J639" t="s">
        <v>66</v>
      </c>
      <c r="K639">
        <v>0</v>
      </c>
      <c r="L639" t="s">
        <v>66</v>
      </c>
      <c r="M639" t="s">
        <v>56</v>
      </c>
      <c r="N639">
        <v>0</v>
      </c>
      <c r="O639" t="s">
        <v>66</v>
      </c>
      <c r="P639" t="s">
        <v>56</v>
      </c>
      <c r="Q639">
        <v>0</v>
      </c>
      <c r="R639" t="s">
        <v>66</v>
      </c>
      <c r="S639" t="s">
        <v>56</v>
      </c>
      <c r="T639">
        <v>1</v>
      </c>
      <c r="U639" t="s">
        <v>1627</v>
      </c>
      <c r="V639" t="s">
        <v>56</v>
      </c>
      <c r="W639">
        <v>0</v>
      </c>
      <c r="X639" t="s">
        <v>66</v>
      </c>
      <c r="Y639" t="s">
        <v>56</v>
      </c>
      <c r="Z639">
        <v>0</v>
      </c>
      <c r="AA639" t="s">
        <v>66</v>
      </c>
      <c r="AB639" t="s">
        <v>56</v>
      </c>
      <c r="AC639">
        <v>1</v>
      </c>
      <c r="AD639" t="s">
        <v>1627</v>
      </c>
      <c r="AE639" t="s">
        <v>3887</v>
      </c>
      <c r="AF639">
        <v>0</v>
      </c>
      <c r="AG639" t="s">
        <v>66</v>
      </c>
      <c r="AH639" t="s">
        <v>56</v>
      </c>
      <c r="AI639">
        <v>1</v>
      </c>
      <c r="AJ639" t="s">
        <v>1627</v>
      </c>
      <c r="AK639" t="s">
        <v>56</v>
      </c>
      <c r="AL639" t="s">
        <v>56</v>
      </c>
      <c r="AM639" t="s">
        <v>56</v>
      </c>
      <c r="AN639" t="s">
        <v>56</v>
      </c>
      <c r="AO639" t="s">
        <v>3949</v>
      </c>
      <c r="AP639" t="s">
        <v>3889</v>
      </c>
      <c r="AQ639" t="s">
        <v>3890</v>
      </c>
      <c r="AR639" t="s">
        <v>3891</v>
      </c>
      <c r="AS639" t="s">
        <v>3892</v>
      </c>
      <c r="AT639" t="s">
        <v>4794</v>
      </c>
      <c r="AU639" t="s">
        <v>3894</v>
      </c>
      <c r="AV639" t="s">
        <v>3895</v>
      </c>
      <c r="AW639" t="s">
        <v>3896</v>
      </c>
      <c r="AX639">
        <v>6</v>
      </c>
      <c r="AY639">
        <v>2</v>
      </c>
      <c r="AZ639" t="s">
        <v>3897</v>
      </c>
      <c r="BA639">
        <v>10</v>
      </c>
      <c r="BB639" t="s">
        <v>3898</v>
      </c>
      <c r="BC639">
        <v>4</v>
      </c>
      <c r="BD639">
        <v>5</v>
      </c>
      <c r="BE639" t="s">
        <v>3899</v>
      </c>
      <c r="BF639">
        <v>4</v>
      </c>
      <c r="BG639">
        <v>13</v>
      </c>
      <c r="BH639" t="s">
        <v>3900</v>
      </c>
      <c r="BI639" t="s">
        <v>5590</v>
      </c>
      <c r="BJ639">
        <v>1</v>
      </c>
      <c r="BK639" t="s">
        <v>3902</v>
      </c>
    </row>
    <row r="640" spans="1:63" x14ac:dyDescent="0.25">
      <c r="A640">
        <v>4355</v>
      </c>
      <c r="B640" t="str">
        <f>"20200129140017101801"</f>
        <v>20200129140017101801</v>
      </c>
      <c r="C640">
        <v>1</v>
      </c>
      <c r="D640">
        <v>1</v>
      </c>
      <c r="E640" t="s">
        <v>3886</v>
      </c>
      <c r="F640">
        <v>2</v>
      </c>
      <c r="G640">
        <v>0</v>
      </c>
      <c r="H640" t="s">
        <v>66</v>
      </c>
      <c r="I640">
        <v>0</v>
      </c>
      <c r="J640" t="s">
        <v>66</v>
      </c>
      <c r="K640">
        <v>0</v>
      </c>
      <c r="L640" t="s">
        <v>66</v>
      </c>
      <c r="M640" t="s">
        <v>56</v>
      </c>
      <c r="N640">
        <v>0</v>
      </c>
      <c r="O640" t="s">
        <v>66</v>
      </c>
      <c r="P640" t="s">
        <v>56</v>
      </c>
      <c r="Q640">
        <v>0</v>
      </c>
      <c r="R640" t="s">
        <v>66</v>
      </c>
      <c r="S640" t="s">
        <v>56</v>
      </c>
      <c r="T640">
        <v>1</v>
      </c>
      <c r="U640" t="s">
        <v>1627</v>
      </c>
      <c r="V640" t="s">
        <v>56</v>
      </c>
      <c r="W640">
        <v>0</v>
      </c>
      <c r="X640" t="s">
        <v>66</v>
      </c>
      <c r="Y640" t="s">
        <v>56</v>
      </c>
      <c r="Z640">
        <v>0</v>
      </c>
      <c r="AA640" t="s">
        <v>66</v>
      </c>
      <c r="AB640" t="s">
        <v>56</v>
      </c>
      <c r="AC640">
        <v>1</v>
      </c>
      <c r="AD640" t="s">
        <v>1627</v>
      </c>
      <c r="AE640" t="s">
        <v>3887</v>
      </c>
      <c r="AF640">
        <v>0</v>
      </c>
      <c r="AG640" t="s">
        <v>66</v>
      </c>
      <c r="AH640" t="s">
        <v>56</v>
      </c>
      <c r="AI640">
        <v>1</v>
      </c>
      <c r="AJ640" t="s">
        <v>1627</v>
      </c>
      <c r="AK640" t="s">
        <v>56</v>
      </c>
      <c r="AL640" t="s">
        <v>56</v>
      </c>
      <c r="AM640" t="s">
        <v>56</v>
      </c>
      <c r="AN640" t="s">
        <v>56</v>
      </c>
      <c r="AO640" t="s">
        <v>3949</v>
      </c>
      <c r="AP640" t="s">
        <v>3889</v>
      </c>
      <c r="AQ640" t="s">
        <v>3890</v>
      </c>
      <c r="AR640" t="s">
        <v>3891</v>
      </c>
      <c r="AS640" t="s">
        <v>3892</v>
      </c>
      <c r="AT640" t="s">
        <v>5591</v>
      </c>
      <c r="AU640" t="s">
        <v>3894</v>
      </c>
      <c r="AV640" t="s">
        <v>3895</v>
      </c>
      <c r="AW640" t="s">
        <v>3896</v>
      </c>
      <c r="AX640">
        <v>8</v>
      </c>
      <c r="AY640">
        <v>2</v>
      </c>
      <c r="AZ640" t="s">
        <v>3897</v>
      </c>
      <c r="BA640">
        <v>10</v>
      </c>
      <c r="BB640" t="s">
        <v>3898</v>
      </c>
      <c r="BC640">
        <v>6</v>
      </c>
      <c r="BD640">
        <v>5</v>
      </c>
      <c r="BE640" t="s">
        <v>3899</v>
      </c>
      <c r="BF640">
        <v>6</v>
      </c>
      <c r="BG640">
        <v>13</v>
      </c>
      <c r="BH640" t="s">
        <v>3900</v>
      </c>
      <c r="BI640" t="s">
        <v>5592</v>
      </c>
      <c r="BJ640">
        <v>1</v>
      </c>
      <c r="BK640" t="s">
        <v>3902</v>
      </c>
    </row>
    <row r="641" spans="1:63" x14ac:dyDescent="0.25">
      <c r="A641">
        <v>4356</v>
      </c>
      <c r="B641" t="str">
        <f>"20200129144017102086"</f>
        <v>20200129144017102086</v>
      </c>
      <c r="C641">
        <v>1</v>
      </c>
      <c r="D641">
        <v>1</v>
      </c>
      <c r="E641" t="s">
        <v>3886</v>
      </c>
      <c r="F641">
        <v>2</v>
      </c>
      <c r="G641">
        <v>0</v>
      </c>
      <c r="H641" t="s">
        <v>66</v>
      </c>
      <c r="I641">
        <v>0</v>
      </c>
      <c r="J641" t="s">
        <v>66</v>
      </c>
      <c r="K641">
        <v>1</v>
      </c>
      <c r="L641" t="s">
        <v>1627</v>
      </c>
      <c r="M641" t="s">
        <v>4366</v>
      </c>
      <c r="N641">
        <v>1</v>
      </c>
      <c r="O641" t="s">
        <v>1627</v>
      </c>
      <c r="P641" t="s">
        <v>4497</v>
      </c>
      <c r="Q641">
        <v>0</v>
      </c>
      <c r="R641" t="s">
        <v>66</v>
      </c>
      <c r="S641" t="s">
        <v>56</v>
      </c>
      <c r="T641" t="s">
        <v>56</v>
      </c>
      <c r="U641" t="s">
        <v>56</v>
      </c>
      <c r="V641" t="s">
        <v>56</v>
      </c>
      <c r="W641">
        <v>0</v>
      </c>
      <c r="X641" t="s">
        <v>66</v>
      </c>
      <c r="Y641" t="s">
        <v>56</v>
      </c>
      <c r="Z641">
        <v>0</v>
      </c>
      <c r="AA641" t="s">
        <v>66</v>
      </c>
      <c r="AB641" t="s">
        <v>56</v>
      </c>
      <c r="AC641">
        <v>0</v>
      </c>
      <c r="AD641" t="s">
        <v>66</v>
      </c>
      <c r="AE641" t="s">
        <v>56</v>
      </c>
      <c r="AF641">
        <v>0</v>
      </c>
      <c r="AG641" t="s">
        <v>66</v>
      </c>
      <c r="AH641" t="s">
        <v>56</v>
      </c>
      <c r="AI641">
        <v>1</v>
      </c>
      <c r="AJ641" t="s">
        <v>1627</v>
      </c>
      <c r="AK641" t="s">
        <v>56</v>
      </c>
      <c r="AL641" t="s">
        <v>56</v>
      </c>
      <c r="AM641" t="s">
        <v>56</v>
      </c>
      <c r="AN641" t="s">
        <v>56</v>
      </c>
      <c r="AO641" t="s">
        <v>4118</v>
      </c>
      <c r="AP641" t="s">
        <v>3962</v>
      </c>
      <c r="AQ641" t="s">
        <v>3963</v>
      </c>
      <c r="AR641" t="s">
        <v>3941</v>
      </c>
      <c r="AS641" t="s">
        <v>3942</v>
      </c>
      <c r="AT641" t="s">
        <v>5593</v>
      </c>
      <c r="AU641" t="s">
        <v>4026</v>
      </c>
      <c r="AV641" t="s">
        <v>4027</v>
      </c>
      <c r="AW641" t="s">
        <v>4028</v>
      </c>
      <c r="AX641">
        <v>12</v>
      </c>
      <c r="AY641">
        <v>2</v>
      </c>
      <c r="AZ641" t="s">
        <v>3897</v>
      </c>
      <c r="BA641">
        <v>10</v>
      </c>
      <c r="BB641" t="s">
        <v>3898</v>
      </c>
      <c r="BC641">
        <v>4</v>
      </c>
      <c r="BD641">
        <v>5</v>
      </c>
      <c r="BE641" t="s">
        <v>3899</v>
      </c>
      <c r="BF641">
        <v>240</v>
      </c>
      <c r="BG641">
        <v>66</v>
      </c>
      <c r="BH641" t="s">
        <v>3965</v>
      </c>
      <c r="BI641" t="s">
        <v>4369</v>
      </c>
      <c r="BJ641">
        <v>1</v>
      </c>
      <c r="BK641" t="s">
        <v>3902</v>
      </c>
    </row>
    <row r="642" spans="1:63" x14ac:dyDescent="0.25">
      <c r="A642">
        <v>4357</v>
      </c>
      <c r="B642" t="str">
        <f>"20200129181017102153"</f>
        <v>20200129181017102153</v>
      </c>
      <c r="C642">
        <v>1</v>
      </c>
      <c r="D642">
        <v>1</v>
      </c>
      <c r="E642" t="s">
        <v>3886</v>
      </c>
      <c r="F642">
        <v>1</v>
      </c>
      <c r="G642">
        <v>0</v>
      </c>
      <c r="H642" t="s">
        <v>66</v>
      </c>
      <c r="I642">
        <v>0</v>
      </c>
      <c r="J642" t="s">
        <v>66</v>
      </c>
      <c r="K642">
        <v>0</v>
      </c>
      <c r="L642" t="s">
        <v>66</v>
      </c>
      <c r="M642" t="s">
        <v>56</v>
      </c>
      <c r="N642">
        <v>0</v>
      </c>
      <c r="O642" t="s">
        <v>66</v>
      </c>
      <c r="P642" t="s">
        <v>56</v>
      </c>
      <c r="Q642">
        <v>0</v>
      </c>
      <c r="R642" t="s">
        <v>66</v>
      </c>
      <c r="S642" t="s">
        <v>56</v>
      </c>
      <c r="T642">
        <v>1</v>
      </c>
      <c r="U642" t="s">
        <v>1627</v>
      </c>
      <c r="V642" t="s">
        <v>56</v>
      </c>
      <c r="W642">
        <v>0</v>
      </c>
      <c r="X642" t="s">
        <v>66</v>
      </c>
      <c r="Y642" t="s">
        <v>56</v>
      </c>
      <c r="Z642">
        <v>0</v>
      </c>
      <c r="AA642" t="s">
        <v>66</v>
      </c>
      <c r="AB642" t="s">
        <v>56</v>
      </c>
      <c r="AC642">
        <v>1</v>
      </c>
      <c r="AD642" t="s">
        <v>1627</v>
      </c>
      <c r="AE642" t="s">
        <v>3887</v>
      </c>
      <c r="AF642">
        <v>0</v>
      </c>
      <c r="AG642" t="s">
        <v>66</v>
      </c>
      <c r="AH642" t="s">
        <v>56</v>
      </c>
      <c r="AI642">
        <v>1</v>
      </c>
      <c r="AJ642" t="s">
        <v>1627</v>
      </c>
      <c r="AK642" t="s">
        <v>56</v>
      </c>
      <c r="AL642" t="s">
        <v>56</v>
      </c>
      <c r="AM642" t="s">
        <v>56</v>
      </c>
      <c r="AN642" t="s">
        <v>56</v>
      </c>
      <c r="AO642" t="s">
        <v>4046</v>
      </c>
      <c r="AP642" t="s">
        <v>3889</v>
      </c>
      <c r="AQ642" t="s">
        <v>3890</v>
      </c>
      <c r="AR642" t="s">
        <v>3926</v>
      </c>
      <c r="AS642" t="s">
        <v>3927</v>
      </c>
      <c r="AT642" t="s">
        <v>5594</v>
      </c>
      <c r="AU642" t="s">
        <v>3894</v>
      </c>
      <c r="AV642" t="s">
        <v>3895</v>
      </c>
      <c r="AW642" t="s">
        <v>3896</v>
      </c>
      <c r="AX642">
        <v>12</v>
      </c>
      <c r="AY642">
        <v>2</v>
      </c>
      <c r="AZ642" t="s">
        <v>3897</v>
      </c>
      <c r="BA642">
        <v>10</v>
      </c>
      <c r="BB642" t="s">
        <v>3898</v>
      </c>
      <c r="BC642">
        <v>3</v>
      </c>
      <c r="BD642">
        <v>5</v>
      </c>
      <c r="BE642" t="s">
        <v>3899</v>
      </c>
      <c r="BF642">
        <v>3</v>
      </c>
      <c r="BG642">
        <v>13</v>
      </c>
      <c r="BH642" t="s">
        <v>3900</v>
      </c>
      <c r="BI642" t="s">
        <v>5595</v>
      </c>
      <c r="BJ642">
        <v>1</v>
      </c>
      <c r="BK642" t="s">
        <v>3902</v>
      </c>
    </row>
    <row r="643" spans="1:63" x14ac:dyDescent="0.25">
      <c r="A643">
        <v>4358</v>
      </c>
      <c r="B643" t="str">
        <f>"20200129111017102223"</f>
        <v>20200129111017102223</v>
      </c>
      <c r="C643">
        <v>1</v>
      </c>
      <c r="D643">
        <v>1</v>
      </c>
      <c r="E643" t="s">
        <v>3886</v>
      </c>
      <c r="F643">
        <v>2</v>
      </c>
      <c r="G643">
        <v>0</v>
      </c>
      <c r="H643" t="s">
        <v>66</v>
      </c>
      <c r="I643">
        <v>0</v>
      </c>
      <c r="J643" t="s">
        <v>66</v>
      </c>
      <c r="K643">
        <v>1</v>
      </c>
      <c r="L643" t="s">
        <v>1627</v>
      </c>
      <c r="M643" t="s">
        <v>4063</v>
      </c>
      <c r="N643">
        <v>1</v>
      </c>
      <c r="O643" t="s">
        <v>1627</v>
      </c>
      <c r="P643" t="s">
        <v>5596</v>
      </c>
      <c r="Q643">
        <v>0</v>
      </c>
      <c r="R643" t="s">
        <v>66</v>
      </c>
      <c r="S643" t="s">
        <v>56</v>
      </c>
      <c r="T643" t="s">
        <v>56</v>
      </c>
      <c r="U643" t="s">
        <v>56</v>
      </c>
      <c r="V643" t="s">
        <v>56</v>
      </c>
      <c r="W643">
        <v>0</v>
      </c>
      <c r="X643" t="s">
        <v>66</v>
      </c>
      <c r="Y643" t="s">
        <v>56</v>
      </c>
      <c r="Z643">
        <v>0</v>
      </c>
      <c r="AA643" t="s">
        <v>66</v>
      </c>
      <c r="AB643" t="s">
        <v>56</v>
      </c>
      <c r="AC643">
        <v>0</v>
      </c>
      <c r="AD643" t="s">
        <v>66</v>
      </c>
      <c r="AE643" t="s">
        <v>56</v>
      </c>
      <c r="AF643">
        <v>0</v>
      </c>
      <c r="AG643" t="s">
        <v>66</v>
      </c>
      <c r="AH643" t="s">
        <v>56</v>
      </c>
      <c r="AI643">
        <v>1</v>
      </c>
      <c r="AJ643" t="s">
        <v>1627</v>
      </c>
      <c r="AK643" t="s">
        <v>56</v>
      </c>
      <c r="AL643" t="s">
        <v>56</v>
      </c>
      <c r="AM643" t="s">
        <v>56</v>
      </c>
      <c r="AN643" t="s">
        <v>56</v>
      </c>
      <c r="AO643" t="s">
        <v>3938</v>
      </c>
      <c r="AP643" t="s">
        <v>3962</v>
      </c>
      <c r="AQ643" t="s">
        <v>3963</v>
      </c>
      <c r="AR643" t="s">
        <v>3941</v>
      </c>
      <c r="AS643" t="s">
        <v>3942</v>
      </c>
      <c r="AT643" t="s">
        <v>5597</v>
      </c>
      <c r="AU643" t="s">
        <v>4026</v>
      </c>
      <c r="AV643" t="s">
        <v>4027</v>
      </c>
      <c r="AW643" t="s">
        <v>4028</v>
      </c>
      <c r="AX643">
        <v>24</v>
      </c>
      <c r="AY643">
        <v>2</v>
      </c>
      <c r="AZ643" t="s">
        <v>3897</v>
      </c>
      <c r="BA643">
        <v>10</v>
      </c>
      <c r="BB643" t="s">
        <v>3898</v>
      </c>
      <c r="BC643">
        <v>4</v>
      </c>
      <c r="BD643">
        <v>5</v>
      </c>
      <c r="BE643" t="s">
        <v>3899</v>
      </c>
      <c r="BF643">
        <v>120</v>
      </c>
      <c r="BG643">
        <v>66</v>
      </c>
      <c r="BH643" t="s">
        <v>3965</v>
      </c>
      <c r="BI643" t="s">
        <v>5598</v>
      </c>
      <c r="BJ643">
        <v>1</v>
      </c>
      <c r="BK643" t="s">
        <v>3902</v>
      </c>
    </row>
    <row r="644" spans="1:63" x14ac:dyDescent="0.25">
      <c r="A644">
        <v>4390</v>
      </c>
      <c r="B644" t="str">
        <f>"20200129118017109345"</f>
        <v>20200129118017109345</v>
      </c>
      <c r="C644">
        <v>1</v>
      </c>
      <c r="D644">
        <v>1</v>
      </c>
      <c r="E644" t="s">
        <v>3886</v>
      </c>
      <c r="F644">
        <v>2</v>
      </c>
      <c r="G644">
        <v>0</v>
      </c>
      <c r="H644" t="s">
        <v>66</v>
      </c>
      <c r="I644">
        <v>0</v>
      </c>
      <c r="J644" t="s">
        <v>66</v>
      </c>
      <c r="K644">
        <v>1</v>
      </c>
      <c r="L644" t="s">
        <v>1627</v>
      </c>
      <c r="M644" t="s">
        <v>5599</v>
      </c>
      <c r="N644">
        <v>1</v>
      </c>
      <c r="O644" t="s">
        <v>1627</v>
      </c>
      <c r="P644" t="s">
        <v>4464</v>
      </c>
      <c r="Q644">
        <v>0</v>
      </c>
      <c r="R644" t="s">
        <v>66</v>
      </c>
      <c r="S644" t="s">
        <v>56</v>
      </c>
      <c r="T644" t="s">
        <v>56</v>
      </c>
      <c r="U644" t="s">
        <v>56</v>
      </c>
      <c r="V644" t="s">
        <v>56</v>
      </c>
      <c r="W644">
        <v>0</v>
      </c>
      <c r="X644" t="s">
        <v>66</v>
      </c>
      <c r="Y644" t="s">
        <v>56</v>
      </c>
      <c r="Z644">
        <v>0</v>
      </c>
      <c r="AA644" t="s">
        <v>66</v>
      </c>
      <c r="AB644" t="s">
        <v>56</v>
      </c>
      <c r="AC644">
        <v>0</v>
      </c>
      <c r="AD644" t="s">
        <v>66</v>
      </c>
      <c r="AE644" t="s">
        <v>56</v>
      </c>
      <c r="AF644">
        <v>0</v>
      </c>
      <c r="AG644" t="s">
        <v>66</v>
      </c>
      <c r="AH644" t="s">
        <v>56</v>
      </c>
      <c r="AI644">
        <v>1</v>
      </c>
      <c r="AJ644" t="s">
        <v>1627</v>
      </c>
      <c r="AK644" t="s">
        <v>56</v>
      </c>
      <c r="AL644" t="s">
        <v>56</v>
      </c>
      <c r="AM644" t="s">
        <v>56</v>
      </c>
      <c r="AN644" t="s">
        <v>56</v>
      </c>
      <c r="AO644" t="s">
        <v>5600</v>
      </c>
      <c r="AP644" t="s">
        <v>5601</v>
      </c>
      <c r="AQ644" t="s">
        <v>5602</v>
      </c>
      <c r="AR644" t="s">
        <v>4071</v>
      </c>
      <c r="AS644" t="s">
        <v>4072</v>
      </c>
      <c r="AT644" t="s">
        <v>5603</v>
      </c>
      <c r="AU644">
        <v>9000</v>
      </c>
      <c r="AV644" t="s">
        <v>3956</v>
      </c>
      <c r="AW644" t="s">
        <v>3956</v>
      </c>
      <c r="AX644">
        <v>12</v>
      </c>
      <c r="AY644">
        <v>2</v>
      </c>
      <c r="AZ644" t="s">
        <v>3897</v>
      </c>
      <c r="BA644">
        <v>10</v>
      </c>
      <c r="BB644" t="s">
        <v>3898</v>
      </c>
      <c r="BC644">
        <v>90</v>
      </c>
      <c r="BD644">
        <v>3</v>
      </c>
      <c r="BE644" t="s">
        <v>3911</v>
      </c>
      <c r="BF644">
        <v>4</v>
      </c>
      <c r="BG644">
        <v>13</v>
      </c>
      <c r="BH644" t="s">
        <v>3900</v>
      </c>
      <c r="BI644" t="s">
        <v>5604</v>
      </c>
      <c r="BJ644">
        <v>1</v>
      </c>
      <c r="BK644" t="s">
        <v>3902</v>
      </c>
    </row>
    <row r="645" spans="1:63" x14ac:dyDescent="0.25">
      <c r="A645">
        <v>4391</v>
      </c>
      <c r="B645" t="str">
        <f>"20200129118017109345"</f>
        <v>20200129118017109345</v>
      </c>
      <c r="C645">
        <v>2</v>
      </c>
      <c r="D645">
        <v>1</v>
      </c>
      <c r="E645" t="s">
        <v>3886</v>
      </c>
      <c r="F645">
        <v>2</v>
      </c>
      <c r="G645">
        <v>0</v>
      </c>
      <c r="H645" t="s">
        <v>66</v>
      </c>
      <c r="I645">
        <v>0</v>
      </c>
      <c r="J645" t="s">
        <v>66</v>
      </c>
      <c r="K645">
        <v>1</v>
      </c>
      <c r="L645" t="s">
        <v>1627</v>
      </c>
      <c r="M645" t="s">
        <v>4963</v>
      </c>
      <c r="N645">
        <v>1</v>
      </c>
      <c r="O645" t="s">
        <v>1627</v>
      </c>
      <c r="P645" t="s">
        <v>4464</v>
      </c>
      <c r="Q645">
        <v>0</v>
      </c>
      <c r="R645" t="s">
        <v>66</v>
      </c>
      <c r="S645" t="s">
        <v>56</v>
      </c>
      <c r="T645" t="s">
        <v>56</v>
      </c>
      <c r="U645" t="s">
        <v>56</v>
      </c>
      <c r="V645" t="s">
        <v>56</v>
      </c>
      <c r="W645">
        <v>0</v>
      </c>
      <c r="X645" t="s">
        <v>66</v>
      </c>
      <c r="Y645" t="s">
        <v>56</v>
      </c>
      <c r="Z645">
        <v>0</v>
      </c>
      <c r="AA645" t="s">
        <v>66</v>
      </c>
      <c r="AB645" t="s">
        <v>56</v>
      </c>
      <c r="AC645">
        <v>0</v>
      </c>
      <c r="AD645" t="s">
        <v>66</v>
      </c>
      <c r="AE645" t="s">
        <v>56</v>
      </c>
      <c r="AF645">
        <v>0</v>
      </c>
      <c r="AG645" t="s">
        <v>66</v>
      </c>
      <c r="AH645" t="s">
        <v>56</v>
      </c>
      <c r="AI645">
        <v>1</v>
      </c>
      <c r="AJ645" t="s">
        <v>1627</v>
      </c>
      <c r="AK645" t="s">
        <v>56</v>
      </c>
      <c r="AL645" t="s">
        <v>56</v>
      </c>
      <c r="AM645" t="s">
        <v>56</v>
      </c>
      <c r="AN645" t="s">
        <v>56</v>
      </c>
      <c r="AO645" t="s">
        <v>5605</v>
      </c>
      <c r="AP645" t="s">
        <v>3962</v>
      </c>
      <c r="AQ645" t="s">
        <v>3963</v>
      </c>
      <c r="AR645" t="s">
        <v>3941</v>
      </c>
      <c r="AS645" t="s">
        <v>3942</v>
      </c>
      <c r="AT645" t="s">
        <v>5603</v>
      </c>
      <c r="AU645" t="s">
        <v>3944</v>
      </c>
      <c r="AV645" t="s">
        <v>3945</v>
      </c>
      <c r="AW645" t="s">
        <v>3946</v>
      </c>
      <c r="AX645">
        <v>24</v>
      </c>
      <c r="AY645">
        <v>2</v>
      </c>
      <c r="AZ645" t="s">
        <v>3897</v>
      </c>
      <c r="BA645">
        <v>10</v>
      </c>
      <c r="BB645" t="s">
        <v>3898</v>
      </c>
      <c r="BC645">
        <v>90</v>
      </c>
      <c r="BD645">
        <v>3</v>
      </c>
      <c r="BE645" t="s">
        <v>3911</v>
      </c>
      <c r="BF645">
        <v>90</v>
      </c>
      <c r="BG645">
        <v>66</v>
      </c>
      <c r="BH645" t="s">
        <v>3965</v>
      </c>
      <c r="BI645" t="s">
        <v>5606</v>
      </c>
      <c r="BJ645">
        <v>1</v>
      </c>
      <c r="BK645" t="s">
        <v>3902</v>
      </c>
    </row>
    <row r="646" spans="1:63" x14ac:dyDescent="0.25">
      <c r="A646">
        <v>4392</v>
      </c>
      <c r="B646" t="str">
        <f>"20200129199017109660"</f>
        <v>20200129199017109660</v>
      </c>
      <c r="C646">
        <v>1</v>
      </c>
      <c r="D646">
        <v>1</v>
      </c>
      <c r="E646" t="s">
        <v>3886</v>
      </c>
      <c r="F646">
        <v>2</v>
      </c>
      <c r="G646">
        <v>0</v>
      </c>
      <c r="H646" t="s">
        <v>66</v>
      </c>
      <c r="I646">
        <v>0</v>
      </c>
      <c r="J646" t="s">
        <v>66</v>
      </c>
      <c r="K646">
        <v>0</v>
      </c>
      <c r="L646" t="s">
        <v>66</v>
      </c>
      <c r="M646" t="s">
        <v>56</v>
      </c>
      <c r="N646">
        <v>0</v>
      </c>
      <c r="O646" t="s">
        <v>66</v>
      </c>
      <c r="P646" t="s">
        <v>56</v>
      </c>
      <c r="Q646">
        <v>0</v>
      </c>
      <c r="R646" t="s">
        <v>66</v>
      </c>
      <c r="S646" t="s">
        <v>56</v>
      </c>
      <c r="T646">
        <v>1</v>
      </c>
      <c r="U646" t="s">
        <v>1627</v>
      </c>
      <c r="V646" t="s">
        <v>56</v>
      </c>
      <c r="W646">
        <v>0</v>
      </c>
      <c r="X646" t="s">
        <v>66</v>
      </c>
      <c r="Y646" t="s">
        <v>56</v>
      </c>
      <c r="Z646">
        <v>0</v>
      </c>
      <c r="AA646" t="s">
        <v>66</v>
      </c>
      <c r="AB646" t="s">
        <v>56</v>
      </c>
      <c r="AC646">
        <v>1</v>
      </c>
      <c r="AD646" t="s">
        <v>1627</v>
      </c>
      <c r="AE646" t="s">
        <v>3887</v>
      </c>
      <c r="AF646">
        <v>0</v>
      </c>
      <c r="AG646" t="s">
        <v>66</v>
      </c>
      <c r="AH646" t="s">
        <v>56</v>
      </c>
      <c r="AI646">
        <v>1</v>
      </c>
      <c r="AJ646" t="s">
        <v>1627</v>
      </c>
      <c r="AK646">
        <v>0</v>
      </c>
      <c r="AL646" t="s">
        <v>66</v>
      </c>
      <c r="AM646" t="s">
        <v>56</v>
      </c>
      <c r="AN646" t="s">
        <v>56</v>
      </c>
      <c r="AO646" t="s">
        <v>5607</v>
      </c>
      <c r="AP646" t="s">
        <v>3962</v>
      </c>
      <c r="AQ646" t="s">
        <v>3963</v>
      </c>
      <c r="AR646" t="s">
        <v>3941</v>
      </c>
      <c r="AS646" t="s">
        <v>3942</v>
      </c>
      <c r="AT646" t="s">
        <v>5608</v>
      </c>
      <c r="AU646" t="s">
        <v>3944</v>
      </c>
      <c r="AV646" t="s">
        <v>3945</v>
      </c>
      <c r="AW646" t="s">
        <v>3946</v>
      </c>
      <c r="AX646">
        <v>24</v>
      </c>
      <c r="AY646">
        <v>2</v>
      </c>
      <c r="AZ646" t="s">
        <v>3897</v>
      </c>
      <c r="BA646">
        <v>10</v>
      </c>
      <c r="BB646" t="s">
        <v>3898</v>
      </c>
      <c r="BC646">
        <v>60</v>
      </c>
      <c r="BD646">
        <v>2</v>
      </c>
      <c r="BE646" t="s">
        <v>3897</v>
      </c>
      <c r="BF646">
        <v>120</v>
      </c>
      <c r="BG646">
        <v>66</v>
      </c>
      <c r="BH646" t="s">
        <v>3965</v>
      </c>
      <c r="BI646" t="s">
        <v>5609</v>
      </c>
      <c r="BJ646">
        <v>1</v>
      </c>
      <c r="BK646" t="s">
        <v>3902</v>
      </c>
    </row>
    <row r="647" spans="1:63" x14ac:dyDescent="0.25">
      <c r="A647">
        <v>4393</v>
      </c>
      <c r="B647" t="str">
        <f>"20200129170017109754"</f>
        <v>20200129170017109754</v>
      </c>
      <c r="C647">
        <v>1</v>
      </c>
      <c r="D647">
        <v>1</v>
      </c>
      <c r="E647" t="s">
        <v>3886</v>
      </c>
      <c r="F647">
        <v>2</v>
      </c>
      <c r="G647">
        <v>0</v>
      </c>
      <c r="H647" t="s">
        <v>66</v>
      </c>
      <c r="I647">
        <v>0</v>
      </c>
      <c r="J647" t="s">
        <v>66</v>
      </c>
      <c r="K647">
        <v>1</v>
      </c>
      <c r="L647" t="s">
        <v>1627</v>
      </c>
      <c r="M647" t="s">
        <v>4628</v>
      </c>
      <c r="N647">
        <v>1</v>
      </c>
      <c r="O647" t="s">
        <v>1627</v>
      </c>
      <c r="P647" t="s">
        <v>5610</v>
      </c>
      <c r="Q647">
        <v>0</v>
      </c>
      <c r="R647" t="s">
        <v>66</v>
      </c>
      <c r="S647" t="s">
        <v>56</v>
      </c>
      <c r="T647" t="s">
        <v>56</v>
      </c>
      <c r="U647" t="s">
        <v>56</v>
      </c>
      <c r="V647" t="s">
        <v>56</v>
      </c>
      <c r="W647">
        <v>0</v>
      </c>
      <c r="X647" t="s">
        <v>66</v>
      </c>
      <c r="Y647" t="s">
        <v>56</v>
      </c>
      <c r="Z647">
        <v>0</v>
      </c>
      <c r="AA647" t="s">
        <v>66</v>
      </c>
      <c r="AB647" t="s">
        <v>56</v>
      </c>
      <c r="AC647">
        <v>0</v>
      </c>
      <c r="AD647" t="s">
        <v>66</v>
      </c>
      <c r="AE647" t="s">
        <v>56</v>
      </c>
      <c r="AF647">
        <v>0</v>
      </c>
      <c r="AG647" t="s">
        <v>66</v>
      </c>
      <c r="AH647" t="s">
        <v>56</v>
      </c>
      <c r="AI647">
        <v>1</v>
      </c>
      <c r="AJ647" t="s">
        <v>1627</v>
      </c>
      <c r="AK647" t="s">
        <v>56</v>
      </c>
      <c r="AL647" t="s">
        <v>56</v>
      </c>
      <c r="AM647" t="s">
        <v>56</v>
      </c>
      <c r="AN647" t="s">
        <v>56</v>
      </c>
      <c r="AO647" t="s">
        <v>5611</v>
      </c>
      <c r="AP647" t="s">
        <v>3962</v>
      </c>
      <c r="AQ647" t="s">
        <v>3963</v>
      </c>
      <c r="AR647" t="s">
        <v>3941</v>
      </c>
      <c r="AS647" t="s">
        <v>3942</v>
      </c>
      <c r="AT647" t="s">
        <v>5612</v>
      </c>
      <c r="AU647" t="s">
        <v>3907</v>
      </c>
      <c r="AV647" t="s">
        <v>3908</v>
      </c>
      <c r="AW647" t="s">
        <v>3909</v>
      </c>
      <c r="AX647">
        <v>1</v>
      </c>
      <c r="AY647">
        <v>3</v>
      </c>
      <c r="AZ647" t="s">
        <v>3911</v>
      </c>
      <c r="BA647">
        <v>10</v>
      </c>
      <c r="BB647" t="s">
        <v>3898</v>
      </c>
      <c r="BC647">
        <v>28</v>
      </c>
      <c r="BD647">
        <v>3</v>
      </c>
      <c r="BE647" t="s">
        <v>3911</v>
      </c>
      <c r="BF647">
        <v>28</v>
      </c>
      <c r="BG647">
        <v>66</v>
      </c>
      <c r="BH647" t="s">
        <v>3965</v>
      </c>
      <c r="BI647" t="s">
        <v>5613</v>
      </c>
      <c r="BJ647">
        <v>1</v>
      </c>
      <c r="BK647" t="s">
        <v>3902</v>
      </c>
    </row>
    <row r="648" spans="1:63" x14ac:dyDescent="0.25">
      <c r="A648">
        <v>4394</v>
      </c>
      <c r="B648" t="str">
        <f>"20200129177017109769"</f>
        <v>20200129177017109769</v>
      </c>
      <c r="C648">
        <v>1</v>
      </c>
      <c r="D648">
        <v>1</v>
      </c>
      <c r="E648" t="s">
        <v>3886</v>
      </c>
      <c r="F648">
        <v>2</v>
      </c>
      <c r="G648">
        <v>0</v>
      </c>
      <c r="H648" t="s">
        <v>66</v>
      </c>
      <c r="I648">
        <v>0</v>
      </c>
      <c r="J648" t="s">
        <v>66</v>
      </c>
      <c r="K648">
        <v>1</v>
      </c>
      <c r="L648" t="s">
        <v>1627</v>
      </c>
      <c r="M648" t="s">
        <v>4463</v>
      </c>
      <c r="N648">
        <v>1</v>
      </c>
      <c r="O648" t="s">
        <v>1627</v>
      </c>
      <c r="P648" t="s">
        <v>4464</v>
      </c>
      <c r="Q648">
        <v>0</v>
      </c>
      <c r="R648" t="s">
        <v>66</v>
      </c>
      <c r="S648" t="s">
        <v>56</v>
      </c>
      <c r="T648" t="s">
        <v>56</v>
      </c>
      <c r="U648" t="s">
        <v>56</v>
      </c>
      <c r="V648" t="s">
        <v>56</v>
      </c>
      <c r="W648">
        <v>0</v>
      </c>
      <c r="X648" t="s">
        <v>66</v>
      </c>
      <c r="Y648" t="s">
        <v>56</v>
      </c>
      <c r="Z648">
        <v>0</v>
      </c>
      <c r="AA648" t="s">
        <v>66</v>
      </c>
      <c r="AB648" t="s">
        <v>56</v>
      </c>
      <c r="AC648">
        <v>0</v>
      </c>
      <c r="AD648" t="s">
        <v>66</v>
      </c>
      <c r="AE648" t="s">
        <v>56</v>
      </c>
      <c r="AF648">
        <v>0</v>
      </c>
      <c r="AG648" t="s">
        <v>66</v>
      </c>
      <c r="AH648" t="s">
        <v>56</v>
      </c>
      <c r="AI648">
        <v>1</v>
      </c>
      <c r="AJ648" t="s">
        <v>1627</v>
      </c>
      <c r="AK648" t="s">
        <v>56</v>
      </c>
      <c r="AL648" t="s">
        <v>56</v>
      </c>
      <c r="AM648" t="s">
        <v>56</v>
      </c>
      <c r="AN648" t="s">
        <v>56</v>
      </c>
      <c r="AO648" t="s">
        <v>4349</v>
      </c>
      <c r="AP648" t="s">
        <v>3962</v>
      </c>
      <c r="AQ648" t="s">
        <v>3963</v>
      </c>
      <c r="AR648" t="s">
        <v>3941</v>
      </c>
      <c r="AS648" t="s">
        <v>3942</v>
      </c>
      <c r="AT648" t="s">
        <v>5614</v>
      </c>
      <c r="AU648" t="s">
        <v>3944</v>
      </c>
      <c r="AV648" t="s">
        <v>3945</v>
      </c>
      <c r="AW648" t="s">
        <v>3946</v>
      </c>
      <c r="AX648">
        <v>24</v>
      </c>
      <c r="AY648">
        <v>2</v>
      </c>
      <c r="AZ648" t="s">
        <v>3897</v>
      </c>
      <c r="BA648">
        <v>10</v>
      </c>
      <c r="BB648" t="s">
        <v>3898</v>
      </c>
      <c r="BC648">
        <v>90</v>
      </c>
      <c r="BD648">
        <v>3</v>
      </c>
      <c r="BE648" t="s">
        <v>3911</v>
      </c>
      <c r="BF648">
        <v>90</v>
      </c>
      <c r="BG648">
        <v>66</v>
      </c>
      <c r="BH648" t="s">
        <v>3965</v>
      </c>
      <c r="BI648" t="s">
        <v>4466</v>
      </c>
      <c r="BJ648">
        <v>1</v>
      </c>
      <c r="BK648" t="s">
        <v>3902</v>
      </c>
    </row>
    <row r="649" spans="1:63" x14ac:dyDescent="0.25">
      <c r="A649">
        <v>4395</v>
      </c>
      <c r="B649" t="str">
        <f>"20200129118017109948"</f>
        <v>20200129118017109948</v>
      </c>
      <c r="C649">
        <v>1</v>
      </c>
      <c r="D649">
        <v>1</v>
      </c>
      <c r="E649" t="s">
        <v>3886</v>
      </c>
      <c r="F649">
        <v>2</v>
      </c>
      <c r="G649">
        <v>0</v>
      </c>
      <c r="H649" t="s">
        <v>66</v>
      </c>
      <c r="I649">
        <v>0</v>
      </c>
      <c r="J649" t="s">
        <v>66</v>
      </c>
      <c r="K649">
        <v>1</v>
      </c>
      <c r="L649" t="s">
        <v>1627</v>
      </c>
      <c r="M649" t="s">
        <v>4030</v>
      </c>
      <c r="N649">
        <v>1</v>
      </c>
      <c r="O649" t="s">
        <v>1627</v>
      </c>
      <c r="P649" t="s">
        <v>5615</v>
      </c>
      <c r="Q649">
        <v>0</v>
      </c>
      <c r="R649" t="s">
        <v>66</v>
      </c>
      <c r="S649" t="s">
        <v>56</v>
      </c>
      <c r="T649" t="s">
        <v>56</v>
      </c>
      <c r="U649" t="s">
        <v>56</v>
      </c>
      <c r="V649" t="s">
        <v>56</v>
      </c>
      <c r="W649">
        <v>0</v>
      </c>
      <c r="X649" t="s">
        <v>66</v>
      </c>
      <c r="Y649" t="s">
        <v>56</v>
      </c>
      <c r="Z649">
        <v>0</v>
      </c>
      <c r="AA649" t="s">
        <v>66</v>
      </c>
      <c r="AB649" t="s">
        <v>56</v>
      </c>
      <c r="AC649">
        <v>0</v>
      </c>
      <c r="AD649" t="s">
        <v>66</v>
      </c>
      <c r="AE649" t="s">
        <v>56</v>
      </c>
      <c r="AF649">
        <v>0</v>
      </c>
      <c r="AG649" t="s">
        <v>66</v>
      </c>
      <c r="AH649" t="s">
        <v>56</v>
      </c>
      <c r="AI649">
        <v>1</v>
      </c>
      <c r="AJ649" t="s">
        <v>1627</v>
      </c>
      <c r="AK649" t="s">
        <v>56</v>
      </c>
      <c r="AL649" t="s">
        <v>56</v>
      </c>
      <c r="AM649" t="s">
        <v>56</v>
      </c>
      <c r="AN649" t="s">
        <v>56</v>
      </c>
      <c r="AO649" t="s">
        <v>4804</v>
      </c>
      <c r="AP649" t="s">
        <v>3962</v>
      </c>
      <c r="AQ649" t="s">
        <v>3963</v>
      </c>
      <c r="AR649" t="s">
        <v>3941</v>
      </c>
      <c r="AS649" t="s">
        <v>3942</v>
      </c>
      <c r="AT649" t="s">
        <v>5616</v>
      </c>
      <c r="AU649">
        <v>9000</v>
      </c>
      <c r="AV649" t="s">
        <v>3956</v>
      </c>
      <c r="AW649" t="s">
        <v>3956</v>
      </c>
      <c r="AX649">
        <v>24</v>
      </c>
      <c r="AY649">
        <v>2</v>
      </c>
      <c r="AZ649" t="s">
        <v>3897</v>
      </c>
      <c r="BA649">
        <v>10</v>
      </c>
      <c r="BB649" t="s">
        <v>3898</v>
      </c>
      <c r="BC649">
        <v>30</v>
      </c>
      <c r="BD649">
        <v>3</v>
      </c>
      <c r="BE649" t="s">
        <v>3911</v>
      </c>
      <c r="BF649">
        <v>30</v>
      </c>
      <c r="BG649">
        <v>66</v>
      </c>
      <c r="BH649" t="s">
        <v>3965</v>
      </c>
      <c r="BI649" t="s">
        <v>5617</v>
      </c>
      <c r="BJ649">
        <v>1</v>
      </c>
      <c r="BK649" t="s">
        <v>3902</v>
      </c>
    </row>
    <row r="650" spans="1:63" x14ac:dyDescent="0.25">
      <c r="A650">
        <v>4396</v>
      </c>
      <c r="B650" t="str">
        <f>"20200129195017110204"</f>
        <v>20200129195017110204</v>
      </c>
      <c r="C650">
        <v>1</v>
      </c>
      <c r="D650">
        <v>1</v>
      </c>
      <c r="E650" t="s">
        <v>3886</v>
      </c>
      <c r="F650">
        <v>1</v>
      </c>
      <c r="G650">
        <v>0</v>
      </c>
      <c r="H650" t="s">
        <v>66</v>
      </c>
      <c r="I650">
        <v>0</v>
      </c>
      <c r="J650" t="s">
        <v>66</v>
      </c>
      <c r="K650">
        <v>0</v>
      </c>
      <c r="L650" t="s">
        <v>66</v>
      </c>
      <c r="M650" t="s">
        <v>56</v>
      </c>
      <c r="N650">
        <v>0</v>
      </c>
      <c r="O650" t="s">
        <v>66</v>
      </c>
      <c r="P650" t="s">
        <v>56</v>
      </c>
      <c r="Q650">
        <v>0</v>
      </c>
      <c r="R650" t="s">
        <v>66</v>
      </c>
      <c r="S650" t="s">
        <v>56</v>
      </c>
      <c r="T650">
        <v>1</v>
      </c>
      <c r="U650" t="s">
        <v>1627</v>
      </c>
      <c r="V650" t="s">
        <v>56</v>
      </c>
      <c r="W650">
        <v>0</v>
      </c>
      <c r="X650" t="s">
        <v>66</v>
      </c>
      <c r="Y650" t="s">
        <v>56</v>
      </c>
      <c r="Z650">
        <v>0</v>
      </c>
      <c r="AA650" t="s">
        <v>66</v>
      </c>
      <c r="AB650" t="s">
        <v>56</v>
      </c>
      <c r="AC650">
        <v>1</v>
      </c>
      <c r="AD650" t="s">
        <v>1627</v>
      </c>
      <c r="AE650" t="s">
        <v>3887</v>
      </c>
      <c r="AF650">
        <v>0</v>
      </c>
      <c r="AG650" t="s">
        <v>66</v>
      </c>
      <c r="AH650" t="s">
        <v>56</v>
      </c>
      <c r="AI650">
        <v>1</v>
      </c>
      <c r="AJ650" t="s">
        <v>1627</v>
      </c>
      <c r="AK650" t="s">
        <v>56</v>
      </c>
      <c r="AL650" t="s">
        <v>56</v>
      </c>
      <c r="AM650" t="s">
        <v>56</v>
      </c>
      <c r="AN650" t="s">
        <v>56</v>
      </c>
      <c r="AO650" t="s">
        <v>5618</v>
      </c>
      <c r="AP650" t="s">
        <v>3962</v>
      </c>
      <c r="AQ650" t="s">
        <v>3963</v>
      </c>
      <c r="AR650" t="s">
        <v>3941</v>
      </c>
      <c r="AS650" t="s">
        <v>3942</v>
      </c>
      <c r="AT650" t="s">
        <v>5619</v>
      </c>
      <c r="AU650">
        <v>9000</v>
      </c>
      <c r="AV650" t="s">
        <v>3956</v>
      </c>
      <c r="AW650" t="s">
        <v>3956</v>
      </c>
      <c r="AX650">
        <v>24</v>
      </c>
      <c r="AY650">
        <v>2</v>
      </c>
      <c r="AZ650" t="s">
        <v>3897</v>
      </c>
      <c r="BA650">
        <v>10</v>
      </c>
      <c r="BB650" t="s">
        <v>3898</v>
      </c>
      <c r="BC650">
        <v>90</v>
      </c>
      <c r="BD650">
        <v>3</v>
      </c>
      <c r="BE650" t="s">
        <v>3911</v>
      </c>
      <c r="BF650">
        <v>90</v>
      </c>
      <c r="BG650">
        <v>66</v>
      </c>
      <c r="BH650" t="s">
        <v>3965</v>
      </c>
      <c r="BI650" t="s">
        <v>5620</v>
      </c>
      <c r="BJ650">
        <v>1</v>
      </c>
      <c r="BK650" t="s">
        <v>3902</v>
      </c>
    </row>
    <row r="651" spans="1:63" x14ac:dyDescent="0.25">
      <c r="A651">
        <v>4397</v>
      </c>
      <c r="B651" t="str">
        <f>"20200129115017110302"</f>
        <v>20200129115017110302</v>
      </c>
      <c r="C651">
        <v>1</v>
      </c>
      <c r="D651">
        <v>1</v>
      </c>
      <c r="E651" t="s">
        <v>3886</v>
      </c>
      <c r="F651">
        <v>1</v>
      </c>
      <c r="G651">
        <v>0</v>
      </c>
      <c r="H651" t="s">
        <v>66</v>
      </c>
      <c r="I651">
        <v>0</v>
      </c>
      <c r="J651" t="s">
        <v>66</v>
      </c>
      <c r="K651">
        <v>0</v>
      </c>
      <c r="L651" t="s">
        <v>66</v>
      </c>
      <c r="M651" t="s">
        <v>56</v>
      </c>
      <c r="N651">
        <v>0</v>
      </c>
      <c r="O651" t="s">
        <v>66</v>
      </c>
      <c r="P651" t="s">
        <v>56</v>
      </c>
      <c r="Q651">
        <v>0</v>
      </c>
      <c r="R651" t="s">
        <v>66</v>
      </c>
      <c r="S651" t="s">
        <v>56</v>
      </c>
      <c r="T651">
        <v>1</v>
      </c>
      <c r="U651" t="s">
        <v>1627</v>
      </c>
      <c r="V651" t="s">
        <v>56</v>
      </c>
      <c r="W651">
        <v>0</v>
      </c>
      <c r="X651" t="s">
        <v>66</v>
      </c>
      <c r="Y651" t="s">
        <v>56</v>
      </c>
      <c r="Z651">
        <v>0</v>
      </c>
      <c r="AA651" t="s">
        <v>66</v>
      </c>
      <c r="AB651" t="s">
        <v>56</v>
      </c>
      <c r="AC651">
        <v>1</v>
      </c>
      <c r="AD651" t="s">
        <v>1627</v>
      </c>
      <c r="AE651" t="s">
        <v>3887</v>
      </c>
      <c r="AF651">
        <v>0</v>
      </c>
      <c r="AG651" t="s">
        <v>66</v>
      </c>
      <c r="AH651" t="s">
        <v>56</v>
      </c>
      <c r="AI651">
        <v>1</v>
      </c>
      <c r="AJ651" t="s">
        <v>1627</v>
      </c>
      <c r="AK651" t="s">
        <v>56</v>
      </c>
      <c r="AL651" t="s">
        <v>56</v>
      </c>
      <c r="AM651" t="s">
        <v>56</v>
      </c>
      <c r="AN651" t="s">
        <v>56</v>
      </c>
      <c r="AO651" t="s">
        <v>5621</v>
      </c>
      <c r="AP651" t="s">
        <v>5337</v>
      </c>
      <c r="AQ651" t="s">
        <v>5338</v>
      </c>
      <c r="AR651" t="s">
        <v>3941</v>
      </c>
      <c r="AS651" t="s">
        <v>3942</v>
      </c>
      <c r="AT651" t="s">
        <v>5622</v>
      </c>
      <c r="AU651" t="s">
        <v>4213</v>
      </c>
      <c r="AV651" t="s">
        <v>4214</v>
      </c>
      <c r="AW651" t="s">
        <v>4215</v>
      </c>
      <c r="AX651">
        <v>12</v>
      </c>
      <c r="AY651">
        <v>2</v>
      </c>
      <c r="AZ651" t="s">
        <v>3897</v>
      </c>
      <c r="BA651">
        <v>10</v>
      </c>
      <c r="BB651" t="s">
        <v>3898</v>
      </c>
      <c r="BC651">
        <v>10</v>
      </c>
      <c r="BD651">
        <v>3</v>
      </c>
      <c r="BE651" t="s">
        <v>3911</v>
      </c>
      <c r="BF651">
        <v>1</v>
      </c>
      <c r="BG651">
        <v>13</v>
      </c>
      <c r="BH651" t="s">
        <v>3900</v>
      </c>
      <c r="BI651" t="s">
        <v>5623</v>
      </c>
      <c r="BJ651">
        <v>1</v>
      </c>
      <c r="BK651" t="s">
        <v>3902</v>
      </c>
    </row>
    <row r="652" spans="1:63" x14ac:dyDescent="0.25">
      <c r="A652">
        <v>4398</v>
      </c>
      <c r="B652" t="str">
        <f>"20200129184017110528"</f>
        <v>20200129184017110528</v>
      </c>
      <c r="C652">
        <v>1</v>
      </c>
      <c r="D652">
        <v>1</v>
      </c>
      <c r="E652" t="s">
        <v>3886</v>
      </c>
      <c r="F652">
        <v>2</v>
      </c>
      <c r="G652">
        <v>0</v>
      </c>
      <c r="H652" t="s">
        <v>66</v>
      </c>
      <c r="I652">
        <v>0</v>
      </c>
      <c r="J652" t="s">
        <v>66</v>
      </c>
      <c r="K652">
        <v>1</v>
      </c>
      <c r="L652" t="s">
        <v>1627</v>
      </c>
      <c r="M652" t="s">
        <v>4859</v>
      </c>
      <c r="N652">
        <v>1</v>
      </c>
      <c r="O652" t="s">
        <v>1627</v>
      </c>
      <c r="P652" t="s">
        <v>4200</v>
      </c>
      <c r="Q652">
        <v>0</v>
      </c>
      <c r="R652" t="s">
        <v>66</v>
      </c>
      <c r="S652" t="s">
        <v>56</v>
      </c>
      <c r="T652" t="s">
        <v>56</v>
      </c>
      <c r="U652" t="s">
        <v>56</v>
      </c>
      <c r="V652" t="s">
        <v>56</v>
      </c>
      <c r="W652">
        <v>0</v>
      </c>
      <c r="X652" t="s">
        <v>66</v>
      </c>
      <c r="Y652" t="s">
        <v>56</v>
      </c>
      <c r="Z652">
        <v>0</v>
      </c>
      <c r="AA652" t="s">
        <v>66</v>
      </c>
      <c r="AB652" t="s">
        <v>56</v>
      </c>
      <c r="AC652">
        <v>0</v>
      </c>
      <c r="AD652" t="s">
        <v>66</v>
      </c>
      <c r="AE652" t="s">
        <v>56</v>
      </c>
      <c r="AF652">
        <v>0</v>
      </c>
      <c r="AG652" t="s">
        <v>66</v>
      </c>
      <c r="AH652" t="s">
        <v>56</v>
      </c>
      <c r="AI652">
        <v>1</v>
      </c>
      <c r="AJ652" t="s">
        <v>1627</v>
      </c>
      <c r="AK652" t="s">
        <v>56</v>
      </c>
      <c r="AL652" t="s">
        <v>56</v>
      </c>
      <c r="AM652" t="s">
        <v>56</v>
      </c>
      <c r="AN652" t="s">
        <v>56</v>
      </c>
      <c r="AO652" t="s">
        <v>4860</v>
      </c>
      <c r="AP652" t="s">
        <v>3934</v>
      </c>
      <c r="AQ652" t="s">
        <v>3935</v>
      </c>
      <c r="AR652">
        <v>502</v>
      </c>
      <c r="AS652" t="s">
        <v>4688</v>
      </c>
      <c r="AT652" t="s">
        <v>5624</v>
      </c>
      <c r="AU652">
        <v>9000</v>
      </c>
      <c r="AV652" t="s">
        <v>3956</v>
      </c>
      <c r="AW652" t="s">
        <v>3956</v>
      </c>
      <c r="AX652">
        <v>12</v>
      </c>
      <c r="AY652">
        <v>2</v>
      </c>
      <c r="AZ652" t="s">
        <v>3897</v>
      </c>
      <c r="BA652">
        <v>10</v>
      </c>
      <c r="BB652" t="s">
        <v>3898</v>
      </c>
      <c r="BC652">
        <v>3</v>
      </c>
      <c r="BD652">
        <v>5</v>
      </c>
      <c r="BE652" t="s">
        <v>3899</v>
      </c>
      <c r="BF652">
        <v>3</v>
      </c>
      <c r="BG652">
        <v>13</v>
      </c>
      <c r="BH652" t="s">
        <v>3900</v>
      </c>
      <c r="BI652" t="s">
        <v>5625</v>
      </c>
      <c r="BJ652">
        <v>1</v>
      </c>
      <c r="BK652" t="s">
        <v>3902</v>
      </c>
    </row>
    <row r="653" spans="1:63" x14ac:dyDescent="0.25">
      <c r="A653">
        <v>4399</v>
      </c>
      <c r="B653" t="str">
        <f>"20200129119017110735"</f>
        <v>20200129119017110735</v>
      </c>
      <c r="C653">
        <v>1</v>
      </c>
      <c r="D653">
        <v>1</v>
      </c>
      <c r="E653" t="s">
        <v>3886</v>
      </c>
      <c r="F653">
        <v>2</v>
      </c>
      <c r="G653">
        <v>0</v>
      </c>
      <c r="H653" t="s">
        <v>66</v>
      </c>
      <c r="I653">
        <v>0</v>
      </c>
      <c r="J653" t="s">
        <v>66</v>
      </c>
      <c r="K653">
        <v>0</v>
      </c>
      <c r="L653" t="s">
        <v>66</v>
      </c>
      <c r="M653" t="s">
        <v>56</v>
      </c>
      <c r="N653">
        <v>0</v>
      </c>
      <c r="O653" t="s">
        <v>66</v>
      </c>
      <c r="P653" t="s">
        <v>56</v>
      </c>
      <c r="Q653">
        <v>0</v>
      </c>
      <c r="R653" t="s">
        <v>66</v>
      </c>
      <c r="S653" t="s">
        <v>56</v>
      </c>
      <c r="T653">
        <v>1</v>
      </c>
      <c r="U653" t="s">
        <v>1627</v>
      </c>
      <c r="V653" t="s">
        <v>56</v>
      </c>
      <c r="W653">
        <v>0</v>
      </c>
      <c r="X653" t="s">
        <v>66</v>
      </c>
      <c r="Y653" t="s">
        <v>56</v>
      </c>
      <c r="Z653">
        <v>0</v>
      </c>
      <c r="AA653" t="s">
        <v>66</v>
      </c>
      <c r="AB653" t="s">
        <v>56</v>
      </c>
      <c r="AC653">
        <v>1</v>
      </c>
      <c r="AD653" t="s">
        <v>1627</v>
      </c>
      <c r="AE653" t="s">
        <v>3887</v>
      </c>
      <c r="AF653">
        <v>0</v>
      </c>
      <c r="AG653" t="s">
        <v>66</v>
      </c>
      <c r="AH653" t="s">
        <v>56</v>
      </c>
      <c r="AI653">
        <v>1</v>
      </c>
      <c r="AJ653" t="s">
        <v>1627</v>
      </c>
      <c r="AK653" t="s">
        <v>56</v>
      </c>
      <c r="AL653" t="s">
        <v>56</v>
      </c>
      <c r="AM653" t="s">
        <v>56</v>
      </c>
      <c r="AN653" t="s">
        <v>56</v>
      </c>
      <c r="AO653" t="s">
        <v>3938</v>
      </c>
      <c r="AP653" t="s">
        <v>3962</v>
      </c>
      <c r="AQ653" t="s">
        <v>3963</v>
      </c>
      <c r="AR653" t="s">
        <v>3941</v>
      </c>
      <c r="AS653" t="s">
        <v>3942</v>
      </c>
      <c r="AT653" t="s">
        <v>5626</v>
      </c>
      <c r="AU653" t="s">
        <v>3944</v>
      </c>
      <c r="AV653" t="s">
        <v>3945</v>
      </c>
      <c r="AW653" t="s">
        <v>3946</v>
      </c>
      <c r="AX653">
        <v>12</v>
      </c>
      <c r="AY653">
        <v>2</v>
      </c>
      <c r="AZ653" t="s">
        <v>3897</v>
      </c>
      <c r="BA653">
        <v>10</v>
      </c>
      <c r="BB653" t="s">
        <v>3898</v>
      </c>
      <c r="BC653">
        <v>90</v>
      </c>
      <c r="BD653">
        <v>5</v>
      </c>
      <c r="BE653" t="s">
        <v>3899</v>
      </c>
      <c r="BF653">
        <v>180</v>
      </c>
      <c r="BG653">
        <v>66</v>
      </c>
      <c r="BH653" t="s">
        <v>3965</v>
      </c>
      <c r="BI653" t="s">
        <v>5627</v>
      </c>
      <c r="BJ653">
        <v>1</v>
      </c>
      <c r="BK653" t="s">
        <v>3902</v>
      </c>
    </row>
    <row r="654" spans="1:63" x14ac:dyDescent="0.25">
      <c r="A654">
        <v>4400</v>
      </c>
      <c r="B654" t="str">
        <f>"20200129110017110892"</f>
        <v>20200129110017110892</v>
      </c>
      <c r="C654">
        <v>1</v>
      </c>
      <c r="D654">
        <v>1</v>
      </c>
      <c r="E654" t="s">
        <v>3886</v>
      </c>
      <c r="F654">
        <v>2</v>
      </c>
      <c r="G654">
        <v>0</v>
      </c>
      <c r="H654" t="s">
        <v>66</v>
      </c>
      <c r="I654">
        <v>0</v>
      </c>
      <c r="J654" t="s">
        <v>66</v>
      </c>
      <c r="K654">
        <v>1</v>
      </c>
      <c r="L654" t="s">
        <v>1627</v>
      </c>
      <c r="M654" t="s">
        <v>4524</v>
      </c>
      <c r="N654">
        <v>1</v>
      </c>
      <c r="O654" t="s">
        <v>1627</v>
      </c>
      <c r="P654" t="s">
        <v>5628</v>
      </c>
      <c r="Q654">
        <v>0</v>
      </c>
      <c r="R654" t="s">
        <v>66</v>
      </c>
      <c r="S654" t="s">
        <v>56</v>
      </c>
      <c r="T654" t="s">
        <v>56</v>
      </c>
      <c r="U654" t="s">
        <v>56</v>
      </c>
      <c r="V654" t="s">
        <v>56</v>
      </c>
      <c r="W654">
        <v>0</v>
      </c>
      <c r="X654" t="s">
        <v>66</v>
      </c>
      <c r="Y654" t="s">
        <v>56</v>
      </c>
      <c r="Z654">
        <v>0</v>
      </c>
      <c r="AA654" t="s">
        <v>66</v>
      </c>
      <c r="AB654" t="s">
        <v>56</v>
      </c>
      <c r="AC654">
        <v>0</v>
      </c>
      <c r="AD654" t="s">
        <v>66</v>
      </c>
      <c r="AE654" t="s">
        <v>56</v>
      </c>
      <c r="AF654">
        <v>0</v>
      </c>
      <c r="AG654" t="s">
        <v>66</v>
      </c>
      <c r="AH654" t="s">
        <v>56</v>
      </c>
      <c r="AI654">
        <v>1</v>
      </c>
      <c r="AJ654" t="s">
        <v>1627</v>
      </c>
      <c r="AK654">
        <v>0</v>
      </c>
      <c r="AL654" t="s">
        <v>66</v>
      </c>
      <c r="AM654" t="s">
        <v>56</v>
      </c>
      <c r="AN654" t="s">
        <v>56</v>
      </c>
      <c r="AO654" t="s">
        <v>4526</v>
      </c>
      <c r="AP654" t="s">
        <v>3962</v>
      </c>
      <c r="AQ654" t="s">
        <v>3963</v>
      </c>
      <c r="AR654" t="s">
        <v>3941</v>
      </c>
      <c r="AS654" t="s">
        <v>3942</v>
      </c>
      <c r="AT654" t="s">
        <v>5629</v>
      </c>
      <c r="AU654" t="s">
        <v>3944</v>
      </c>
      <c r="AV654" t="s">
        <v>3945</v>
      </c>
      <c r="AW654" t="s">
        <v>3946</v>
      </c>
      <c r="AX654">
        <v>24</v>
      </c>
      <c r="AY654">
        <v>2</v>
      </c>
      <c r="AZ654" t="s">
        <v>3897</v>
      </c>
      <c r="BA654">
        <v>10</v>
      </c>
      <c r="BB654" t="s">
        <v>3898</v>
      </c>
      <c r="BC654">
        <v>3</v>
      </c>
      <c r="BD654">
        <v>5</v>
      </c>
      <c r="BE654" t="s">
        <v>3899</v>
      </c>
      <c r="BF654">
        <v>90</v>
      </c>
      <c r="BG654">
        <v>66</v>
      </c>
      <c r="BH654" t="s">
        <v>3965</v>
      </c>
      <c r="BI654" t="s">
        <v>5630</v>
      </c>
      <c r="BJ654">
        <v>1</v>
      </c>
      <c r="BK654" t="s">
        <v>3902</v>
      </c>
    </row>
    <row r="655" spans="1:63" x14ac:dyDescent="0.25">
      <c r="A655">
        <v>4401</v>
      </c>
      <c r="B655" t="str">
        <f>"20200129180017111006"</f>
        <v>20200129180017111006</v>
      </c>
      <c r="C655">
        <v>1</v>
      </c>
      <c r="D655">
        <v>1</v>
      </c>
      <c r="E655" t="s">
        <v>3886</v>
      </c>
      <c r="F655">
        <v>2</v>
      </c>
      <c r="G655">
        <v>0</v>
      </c>
      <c r="H655" t="s">
        <v>66</v>
      </c>
      <c r="I655">
        <v>0</v>
      </c>
      <c r="J655" t="s">
        <v>66</v>
      </c>
      <c r="K655">
        <v>0</v>
      </c>
      <c r="L655" t="s">
        <v>66</v>
      </c>
      <c r="M655" t="s">
        <v>56</v>
      </c>
      <c r="N655">
        <v>0</v>
      </c>
      <c r="O655" t="s">
        <v>66</v>
      </c>
      <c r="P655" t="s">
        <v>56</v>
      </c>
      <c r="Q655">
        <v>0</v>
      </c>
      <c r="R655" t="s">
        <v>66</v>
      </c>
      <c r="S655" t="s">
        <v>56</v>
      </c>
      <c r="T655">
        <v>1</v>
      </c>
      <c r="U655" t="s">
        <v>1627</v>
      </c>
      <c r="V655" t="s">
        <v>4112</v>
      </c>
      <c r="W655">
        <v>0</v>
      </c>
      <c r="X655" t="s">
        <v>66</v>
      </c>
      <c r="Y655" t="s">
        <v>56</v>
      </c>
      <c r="Z655">
        <v>1</v>
      </c>
      <c r="AA655" t="s">
        <v>1627</v>
      </c>
      <c r="AB655" t="s">
        <v>5631</v>
      </c>
      <c r="AC655">
        <v>0</v>
      </c>
      <c r="AD655" t="s">
        <v>66</v>
      </c>
      <c r="AE655" t="s">
        <v>56</v>
      </c>
      <c r="AF655">
        <v>0</v>
      </c>
      <c r="AG655" t="s">
        <v>66</v>
      </c>
      <c r="AH655" t="s">
        <v>56</v>
      </c>
      <c r="AI655">
        <v>1</v>
      </c>
      <c r="AJ655" t="s">
        <v>1627</v>
      </c>
      <c r="AK655" t="s">
        <v>56</v>
      </c>
      <c r="AL655" t="s">
        <v>56</v>
      </c>
      <c r="AM655" t="s">
        <v>56</v>
      </c>
      <c r="AN655" t="s">
        <v>56</v>
      </c>
      <c r="AO655" t="s">
        <v>3985</v>
      </c>
      <c r="AP655" t="s">
        <v>3962</v>
      </c>
      <c r="AQ655" t="s">
        <v>3963</v>
      </c>
      <c r="AR655" t="s">
        <v>3941</v>
      </c>
      <c r="AS655" t="s">
        <v>3942</v>
      </c>
      <c r="AT655" t="s">
        <v>5632</v>
      </c>
      <c r="AU655">
        <v>9000</v>
      </c>
      <c r="AV655" t="s">
        <v>3956</v>
      </c>
      <c r="AW655" t="s">
        <v>3956</v>
      </c>
      <c r="AX655">
        <v>24</v>
      </c>
      <c r="AY655">
        <v>2</v>
      </c>
      <c r="AZ655" t="s">
        <v>3897</v>
      </c>
      <c r="BA655">
        <v>10</v>
      </c>
      <c r="BB655" t="s">
        <v>3898</v>
      </c>
      <c r="BC655">
        <v>180</v>
      </c>
      <c r="BD655">
        <v>3</v>
      </c>
      <c r="BE655" t="s">
        <v>3911</v>
      </c>
      <c r="BF655">
        <v>180</v>
      </c>
      <c r="BG655">
        <v>66</v>
      </c>
      <c r="BH655" t="s">
        <v>3965</v>
      </c>
      <c r="BI655" t="s">
        <v>5633</v>
      </c>
      <c r="BJ655">
        <v>1</v>
      </c>
      <c r="BK655" t="s">
        <v>3902</v>
      </c>
    </row>
    <row r="656" spans="1:63" x14ac:dyDescent="0.25">
      <c r="A656">
        <v>4402</v>
      </c>
      <c r="B656" t="str">
        <f>"20200129144017111075"</f>
        <v>20200129144017111075</v>
      </c>
      <c r="C656">
        <v>1</v>
      </c>
      <c r="D656">
        <v>1</v>
      </c>
      <c r="E656" t="s">
        <v>3886</v>
      </c>
      <c r="F656">
        <v>1</v>
      </c>
      <c r="G656">
        <v>0</v>
      </c>
      <c r="H656" t="s">
        <v>66</v>
      </c>
      <c r="I656">
        <v>0</v>
      </c>
      <c r="J656" t="s">
        <v>66</v>
      </c>
      <c r="K656">
        <v>0</v>
      </c>
      <c r="L656" t="s">
        <v>66</v>
      </c>
      <c r="M656" t="s">
        <v>56</v>
      </c>
      <c r="N656">
        <v>0</v>
      </c>
      <c r="O656" t="s">
        <v>66</v>
      </c>
      <c r="P656" t="s">
        <v>56</v>
      </c>
      <c r="Q656">
        <v>0</v>
      </c>
      <c r="R656" t="s">
        <v>66</v>
      </c>
      <c r="S656" t="s">
        <v>56</v>
      </c>
      <c r="T656">
        <v>1</v>
      </c>
      <c r="U656" t="s">
        <v>1627</v>
      </c>
      <c r="V656" t="s">
        <v>56</v>
      </c>
      <c r="W656">
        <v>0</v>
      </c>
      <c r="X656" t="s">
        <v>66</v>
      </c>
      <c r="Y656" t="s">
        <v>56</v>
      </c>
      <c r="Z656">
        <v>0</v>
      </c>
      <c r="AA656" t="s">
        <v>66</v>
      </c>
      <c r="AB656" t="s">
        <v>56</v>
      </c>
      <c r="AC656">
        <v>1</v>
      </c>
      <c r="AD656" t="s">
        <v>1627</v>
      </c>
      <c r="AE656" t="s">
        <v>3887</v>
      </c>
      <c r="AF656">
        <v>0</v>
      </c>
      <c r="AG656" t="s">
        <v>66</v>
      </c>
      <c r="AH656" t="s">
        <v>56</v>
      </c>
      <c r="AI656">
        <v>1</v>
      </c>
      <c r="AJ656" t="s">
        <v>1627</v>
      </c>
      <c r="AK656" t="s">
        <v>56</v>
      </c>
      <c r="AL656" t="s">
        <v>56</v>
      </c>
      <c r="AM656" t="s">
        <v>56</v>
      </c>
      <c r="AN656" t="s">
        <v>56</v>
      </c>
      <c r="AO656" t="s">
        <v>4553</v>
      </c>
      <c r="AP656" t="s">
        <v>4077</v>
      </c>
      <c r="AQ656" t="s">
        <v>4078</v>
      </c>
      <c r="AR656" t="s">
        <v>3941</v>
      </c>
      <c r="AS656" t="s">
        <v>3942</v>
      </c>
      <c r="AT656" t="s">
        <v>5634</v>
      </c>
      <c r="AU656" t="s">
        <v>3944</v>
      </c>
      <c r="AV656" t="s">
        <v>3945</v>
      </c>
      <c r="AW656" t="s">
        <v>3946</v>
      </c>
      <c r="AX656">
        <v>24</v>
      </c>
      <c r="AY656">
        <v>2</v>
      </c>
      <c r="AZ656" t="s">
        <v>3897</v>
      </c>
      <c r="BA656">
        <v>10</v>
      </c>
      <c r="BB656" t="s">
        <v>3898</v>
      </c>
      <c r="BC656">
        <v>90</v>
      </c>
      <c r="BD656">
        <v>3</v>
      </c>
      <c r="BE656" t="s">
        <v>3911</v>
      </c>
      <c r="BF656">
        <v>90</v>
      </c>
      <c r="BG656">
        <v>66</v>
      </c>
      <c r="BH656" t="s">
        <v>3965</v>
      </c>
      <c r="BI656" t="s">
        <v>5635</v>
      </c>
      <c r="BJ656">
        <v>1</v>
      </c>
      <c r="BK656" t="s">
        <v>3902</v>
      </c>
    </row>
    <row r="657" spans="1:63" x14ac:dyDescent="0.25">
      <c r="A657">
        <v>4403</v>
      </c>
      <c r="B657" t="str">
        <f>"20200129124017111160"</f>
        <v>20200129124017111160</v>
      </c>
      <c r="C657">
        <v>1</v>
      </c>
      <c r="D657">
        <v>1</v>
      </c>
      <c r="E657" t="s">
        <v>3886</v>
      </c>
      <c r="F657">
        <v>1</v>
      </c>
      <c r="G657">
        <v>0</v>
      </c>
      <c r="H657" t="s">
        <v>66</v>
      </c>
      <c r="I657">
        <v>0</v>
      </c>
      <c r="J657" t="s">
        <v>66</v>
      </c>
      <c r="K657">
        <v>0</v>
      </c>
      <c r="L657" t="s">
        <v>66</v>
      </c>
      <c r="M657" t="s">
        <v>56</v>
      </c>
      <c r="N657">
        <v>0</v>
      </c>
      <c r="O657" t="s">
        <v>66</v>
      </c>
      <c r="P657" t="s">
        <v>56</v>
      </c>
      <c r="Q657">
        <v>0</v>
      </c>
      <c r="R657" t="s">
        <v>66</v>
      </c>
      <c r="S657" t="s">
        <v>56</v>
      </c>
      <c r="T657">
        <v>1</v>
      </c>
      <c r="U657" t="s">
        <v>1627</v>
      </c>
      <c r="V657" t="s">
        <v>56</v>
      </c>
      <c r="W657">
        <v>0</v>
      </c>
      <c r="X657" t="s">
        <v>66</v>
      </c>
      <c r="Y657" t="s">
        <v>56</v>
      </c>
      <c r="Z657">
        <v>0</v>
      </c>
      <c r="AA657" t="s">
        <v>66</v>
      </c>
      <c r="AB657" t="s">
        <v>56</v>
      </c>
      <c r="AC657">
        <v>1</v>
      </c>
      <c r="AD657" t="s">
        <v>1627</v>
      </c>
      <c r="AE657" t="s">
        <v>3887</v>
      </c>
      <c r="AF657">
        <v>0</v>
      </c>
      <c r="AG657" t="s">
        <v>66</v>
      </c>
      <c r="AH657" t="s">
        <v>56</v>
      </c>
      <c r="AI657">
        <v>1</v>
      </c>
      <c r="AJ657" t="s">
        <v>1627</v>
      </c>
      <c r="AK657" t="s">
        <v>56</v>
      </c>
      <c r="AL657" t="s">
        <v>56</v>
      </c>
      <c r="AM657" t="s">
        <v>56</v>
      </c>
      <c r="AN657" t="s">
        <v>56</v>
      </c>
      <c r="AO657" t="s">
        <v>4139</v>
      </c>
      <c r="AP657" t="s">
        <v>3889</v>
      </c>
      <c r="AQ657" t="s">
        <v>3890</v>
      </c>
      <c r="AR657" t="s">
        <v>3891</v>
      </c>
      <c r="AS657" t="s">
        <v>3892</v>
      </c>
      <c r="AT657" t="s">
        <v>5275</v>
      </c>
      <c r="AU657" t="s">
        <v>3894</v>
      </c>
      <c r="AV657" t="s">
        <v>3895</v>
      </c>
      <c r="AW657" t="s">
        <v>3896</v>
      </c>
      <c r="AX657">
        <v>12</v>
      </c>
      <c r="AY657">
        <v>2</v>
      </c>
      <c r="AZ657" t="s">
        <v>3897</v>
      </c>
      <c r="BA657">
        <v>10</v>
      </c>
      <c r="BB657" t="s">
        <v>3898</v>
      </c>
      <c r="BC657">
        <v>3</v>
      </c>
      <c r="BD657">
        <v>5</v>
      </c>
      <c r="BE657" t="s">
        <v>3899</v>
      </c>
      <c r="BF657">
        <v>3</v>
      </c>
      <c r="BG657">
        <v>13</v>
      </c>
      <c r="BH657" t="s">
        <v>3900</v>
      </c>
      <c r="BI657" t="s">
        <v>4570</v>
      </c>
      <c r="BJ657">
        <v>1</v>
      </c>
      <c r="BK657" t="s">
        <v>3902</v>
      </c>
    </row>
    <row r="658" spans="1:63" x14ac:dyDescent="0.25">
      <c r="A658">
        <v>4404</v>
      </c>
      <c r="B658" t="str">
        <f>"20200129171017111311"</f>
        <v>20200129171017111311</v>
      </c>
      <c r="C658">
        <v>1</v>
      </c>
      <c r="D658">
        <v>1</v>
      </c>
      <c r="E658" t="s">
        <v>3886</v>
      </c>
      <c r="F658">
        <v>1</v>
      </c>
      <c r="G658">
        <v>0</v>
      </c>
      <c r="H658" t="s">
        <v>66</v>
      </c>
      <c r="I658">
        <v>0</v>
      </c>
      <c r="J658" t="s">
        <v>66</v>
      </c>
      <c r="K658">
        <v>0</v>
      </c>
      <c r="L658" t="s">
        <v>66</v>
      </c>
      <c r="M658" t="s">
        <v>56</v>
      </c>
      <c r="N658">
        <v>0</v>
      </c>
      <c r="O658" t="s">
        <v>66</v>
      </c>
      <c r="P658" t="s">
        <v>56</v>
      </c>
      <c r="Q658">
        <v>0</v>
      </c>
      <c r="R658" t="s">
        <v>66</v>
      </c>
      <c r="S658" t="s">
        <v>56</v>
      </c>
      <c r="T658">
        <v>1</v>
      </c>
      <c r="U658" t="s">
        <v>1627</v>
      </c>
      <c r="V658" t="s">
        <v>56</v>
      </c>
      <c r="W658">
        <v>0</v>
      </c>
      <c r="X658" t="s">
        <v>66</v>
      </c>
      <c r="Y658" t="s">
        <v>56</v>
      </c>
      <c r="Z658">
        <v>0</v>
      </c>
      <c r="AA658" t="s">
        <v>66</v>
      </c>
      <c r="AB658" t="s">
        <v>56</v>
      </c>
      <c r="AC658">
        <v>1</v>
      </c>
      <c r="AD658" t="s">
        <v>1627</v>
      </c>
      <c r="AE658" t="s">
        <v>3887</v>
      </c>
      <c r="AF658">
        <v>0</v>
      </c>
      <c r="AG658" t="s">
        <v>66</v>
      </c>
      <c r="AH658" t="s">
        <v>56</v>
      </c>
      <c r="AI658">
        <v>1</v>
      </c>
      <c r="AJ658" t="s">
        <v>1627</v>
      </c>
      <c r="AK658" t="s">
        <v>56</v>
      </c>
      <c r="AL658" t="s">
        <v>56</v>
      </c>
      <c r="AM658" t="s">
        <v>56</v>
      </c>
      <c r="AN658" t="s">
        <v>56</v>
      </c>
      <c r="AO658" t="s">
        <v>4804</v>
      </c>
      <c r="AP658" t="s">
        <v>3962</v>
      </c>
      <c r="AQ658" t="s">
        <v>3963</v>
      </c>
      <c r="AR658" t="s">
        <v>3941</v>
      </c>
      <c r="AS658" t="s">
        <v>3942</v>
      </c>
      <c r="AT658" t="s">
        <v>5634</v>
      </c>
      <c r="AU658" t="s">
        <v>4026</v>
      </c>
      <c r="AV658" t="s">
        <v>4027</v>
      </c>
      <c r="AW658" t="s">
        <v>4028</v>
      </c>
      <c r="AX658">
        <v>24</v>
      </c>
      <c r="AY658">
        <v>2</v>
      </c>
      <c r="AZ658" t="s">
        <v>3897</v>
      </c>
      <c r="BA658">
        <v>10</v>
      </c>
      <c r="BB658" t="s">
        <v>3898</v>
      </c>
      <c r="BC658">
        <v>90</v>
      </c>
      <c r="BD658">
        <v>3</v>
      </c>
      <c r="BE658" t="s">
        <v>3911</v>
      </c>
      <c r="BF658">
        <v>90</v>
      </c>
      <c r="BG658">
        <v>66</v>
      </c>
      <c r="BH658" t="s">
        <v>3965</v>
      </c>
      <c r="BI658" t="s">
        <v>5636</v>
      </c>
      <c r="BJ658">
        <v>1</v>
      </c>
      <c r="BK658" t="s">
        <v>3902</v>
      </c>
    </row>
    <row r="659" spans="1:63" x14ac:dyDescent="0.25">
      <c r="A659">
        <v>4421</v>
      </c>
      <c r="B659" t="str">
        <f>"20200129140017114226"</f>
        <v>20200129140017114226</v>
      </c>
      <c r="C659">
        <v>2</v>
      </c>
      <c r="D659">
        <v>1</v>
      </c>
      <c r="E659" t="s">
        <v>3886</v>
      </c>
      <c r="F659">
        <v>2</v>
      </c>
      <c r="G659">
        <v>0</v>
      </c>
      <c r="H659" t="s">
        <v>66</v>
      </c>
      <c r="I659">
        <v>0</v>
      </c>
      <c r="J659" t="s">
        <v>66</v>
      </c>
      <c r="K659">
        <v>0</v>
      </c>
      <c r="L659" t="s">
        <v>66</v>
      </c>
      <c r="M659" t="s">
        <v>56</v>
      </c>
      <c r="N659">
        <v>0</v>
      </c>
      <c r="O659" t="s">
        <v>66</v>
      </c>
      <c r="P659" t="s">
        <v>56</v>
      </c>
      <c r="Q659">
        <v>0</v>
      </c>
      <c r="R659" t="s">
        <v>66</v>
      </c>
      <c r="S659" t="s">
        <v>56</v>
      </c>
      <c r="T659">
        <v>1</v>
      </c>
      <c r="U659" t="s">
        <v>1627</v>
      </c>
      <c r="V659" t="s">
        <v>56</v>
      </c>
      <c r="W659">
        <v>0</v>
      </c>
      <c r="X659" t="s">
        <v>66</v>
      </c>
      <c r="Y659" t="s">
        <v>56</v>
      </c>
      <c r="Z659">
        <v>0</v>
      </c>
      <c r="AA659" t="s">
        <v>66</v>
      </c>
      <c r="AB659" t="s">
        <v>56</v>
      </c>
      <c r="AC659">
        <v>1</v>
      </c>
      <c r="AD659" t="s">
        <v>1627</v>
      </c>
      <c r="AE659" t="s">
        <v>3887</v>
      </c>
      <c r="AF659">
        <v>0</v>
      </c>
      <c r="AG659" t="s">
        <v>66</v>
      </c>
      <c r="AH659" t="s">
        <v>56</v>
      </c>
      <c r="AI659">
        <v>1</v>
      </c>
      <c r="AJ659" t="s">
        <v>1627</v>
      </c>
      <c r="AK659" t="s">
        <v>56</v>
      </c>
      <c r="AL659" t="s">
        <v>56</v>
      </c>
      <c r="AM659" t="s">
        <v>56</v>
      </c>
      <c r="AN659" t="s">
        <v>56</v>
      </c>
      <c r="AO659" t="s">
        <v>5637</v>
      </c>
      <c r="AP659" t="s">
        <v>3962</v>
      </c>
      <c r="AQ659" t="s">
        <v>3963</v>
      </c>
      <c r="AR659" t="s">
        <v>3941</v>
      </c>
      <c r="AS659" t="s">
        <v>3942</v>
      </c>
      <c r="AT659" t="s">
        <v>5638</v>
      </c>
      <c r="AU659">
        <v>9000</v>
      </c>
      <c r="AV659" t="s">
        <v>3956</v>
      </c>
      <c r="AW659" t="s">
        <v>3956</v>
      </c>
      <c r="AX659">
        <v>24</v>
      </c>
      <c r="AY659">
        <v>2</v>
      </c>
      <c r="AZ659" t="s">
        <v>3897</v>
      </c>
      <c r="BA659">
        <v>10</v>
      </c>
      <c r="BB659" t="s">
        <v>3898</v>
      </c>
      <c r="BC659">
        <v>120</v>
      </c>
      <c r="BD659">
        <v>3</v>
      </c>
      <c r="BE659" t="s">
        <v>3911</v>
      </c>
      <c r="BF659">
        <v>120</v>
      </c>
      <c r="BG659">
        <v>66</v>
      </c>
      <c r="BH659" t="s">
        <v>3965</v>
      </c>
      <c r="BI659" t="s">
        <v>5639</v>
      </c>
      <c r="BJ659">
        <v>1</v>
      </c>
      <c r="BK659" t="s">
        <v>3902</v>
      </c>
    </row>
    <row r="660" spans="1:63" x14ac:dyDescent="0.25">
      <c r="A660">
        <v>4422</v>
      </c>
      <c r="B660" t="str">
        <f>"20200129140017114226"</f>
        <v>20200129140017114226</v>
      </c>
      <c r="C660">
        <v>3</v>
      </c>
      <c r="D660">
        <v>1</v>
      </c>
      <c r="E660" t="s">
        <v>3886</v>
      </c>
      <c r="F660">
        <v>2</v>
      </c>
      <c r="G660">
        <v>0</v>
      </c>
      <c r="H660" t="s">
        <v>66</v>
      </c>
      <c r="I660">
        <v>0</v>
      </c>
      <c r="J660" t="s">
        <v>66</v>
      </c>
      <c r="K660">
        <v>0</v>
      </c>
      <c r="L660" t="s">
        <v>66</v>
      </c>
      <c r="M660" t="s">
        <v>56</v>
      </c>
      <c r="N660">
        <v>0</v>
      </c>
      <c r="O660" t="s">
        <v>66</v>
      </c>
      <c r="P660" t="s">
        <v>56</v>
      </c>
      <c r="Q660">
        <v>0</v>
      </c>
      <c r="R660" t="s">
        <v>66</v>
      </c>
      <c r="S660" t="s">
        <v>56</v>
      </c>
      <c r="T660">
        <v>1</v>
      </c>
      <c r="U660" t="s">
        <v>1627</v>
      </c>
      <c r="V660" t="s">
        <v>56</v>
      </c>
      <c r="W660">
        <v>0</v>
      </c>
      <c r="X660" t="s">
        <v>66</v>
      </c>
      <c r="Y660" t="s">
        <v>56</v>
      </c>
      <c r="Z660">
        <v>0</v>
      </c>
      <c r="AA660" t="s">
        <v>66</v>
      </c>
      <c r="AB660" t="s">
        <v>56</v>
      </c>
      <c r="AC660">
        <v>1</v>
      </c>
      <c r="AD660" t="s">
        <v>1627</v>
      </c>
      <c r="AE660" t="s">
        <v>3887</v>
      </c>
      <c r="AF660">
        <v>0</v>
      </c>
      <c r="AG660" t="s">
        <v>66</v>
      </c>
      <c r="AH660" t="s">
        <v>56</v>
      </c>
      <c r="AI660">
        <v>1</v>
      </c>
      <c r="AJ660" t="s">
        <v>1627</v>
      </c>
      <c r="AK660" t="s">
        <v>56</v>
      </c>
      <c r="AL660" t="s">
        <v>56</v>
      </c>
      <c r="AM660" t="s">
        <v>56</v>
      </c>
      <c r="AN660" t="s">
        <v>56</v>
      </c>
      <c r="AO660" t="s">
        <v>5369</v>
      </c>
      <c r="AP660" t="s">
        <v>4762</v>
      </c>
      <c r="AQ660" t="s">
        <v>4763</v>
      </c>
      <c r="AR660" t="s">
        <v>3941</v>
      </c>
      <c r="AS660" t="s">
        <v>3942</v>
      </c>
      <c r="AT660" t="s">
        <v>5640</v>
      </c>
      <c r="AU660">
        <v>9000</v>
      </c>
      <c r="AV660" t="s">
        <v>3956</v>
      </c>
      <c r="AW660" t="s">
        <v>3956</v>
      </c>
      <c r="AX660">
        <v>24</v>
      </c>
      <c r="AY660">
        <v>2</v>
      </c>
      <c r="AZ660" t="s">
        <v>3897</v>
      </c>
      <c r="BA660">
        <v>10</v>
      </c>
      <c r="BB660" t="s">
        <v>3898</v>
      </c>
      <c r="BC660">
        <v>120</v>
      </c>
      <c r="BD660">
        <v>3</v>
      </c>
      <c r="BE660" t="s">
        <v>3911</v>
      </c>
      <c r="BF660">
        <v>120</v>
      </c>
      <c r="BG660">
        <v>14</v>
      </c>
      <c r="BH660" t="s">
        <v>3947</v>
      </c>
      <c r="BI660" t="s">
        <v>5641</v>
      </c>
      <c r="BJ660">
        <v>1</v>
      </c>
      <c r="BK660" t="s">
        <v>3902</v>
      </c>
    </row>
    <row r="661" spans="1:63" x14ac:dyDescent="0.25">
      <c r="A661">
        <v>4423</v>
      </c>
      <c r="B661" t="str">
        <f>"20200129140017114226"</f>
        <v>20200129140017114226</v>
      </c>
      <c r="C661">
        <v>4</v>
      </c>
      <c r="D661">
        <v>1</v>
      </c>
      <c r="E661" t="s">
        <v>3886</v>
      </c>
      <c r="F661">
        <v>2</v>
      </c>
      <c r="G661">
        <v>0</v>
      </c>
      <c r="H661" t="s">
        <v>66</v>
      </c>
      <c r="I661">
        <v>0</v>
      </c>
      <c r="J661" t="s">
        <v>66</v>
      </c>
      <c r="K661">
        <v>0</v>
      </c>
      <c r="L661" t="s">
        <v>66</v>
      </c>
      <c r="M661" t="s">
        <v>56</v>
      </c>
      <c r="N661">
        <v>0</v>
      </c>
      <c r="O661" t="s">
        <v>66</v>
      </c>
      <c r="P661" t="s">
        <v>56</v>
      </c>
      <c r="Q661">
        <v>0</v>
      </c>
      <c r="R661" t="s">
        <v>66</v>
      </c>
      <c r="S661" t="s">
        <v>56</v>
      </c>
      <c r="T661">
        <v>1</v>
      </c>
      <c r="U661" t="s">
        <v>1627</v>
      </c>
      <c r="V661" t="s">
        <v>56</v>
      </c>
      <c r="W661">
        <v>0</v>
      </c>
      <c r="X661" t="s">
        <v>66</v>
      </c>
      <c r="Y661" t="s">
        <v>56</v>
      </c>
      <c r="Z661">
        <v>0</v>
      </c>
      <c r="AA661" t="s">
        <v>66</v>
      </c>
      <c r="AB661" t="s">
        <v>56</v>
      </c>
      <c r="AC661">
        <v>1</v>
      </c>
      <c r="AD661" t="s">
        <v>1627</v>
      </c>
      <c r="AE661" t="s">
        <v>3887</v>
      </c>
      <c r="AF661">
        <v>0</v>
      </c>
      <c r="AG661" t="s">
        <v>66</v>
      </c>
      <c r="AH661" t="s">
        <v>56</v>
      </c>
      <c r="AI661">
        <v>1</v>
      </c>
      <c r="AJ661" t="s">
        <v>1627</v>
      </c>
      <c r="AK661" t="s">
        <v>56</v>
      </c>
      <c r="AL661" t="s">
        <v>56</v>
      </c>
      <c r="AM661" t="s">
        <v>56</v>
      </c>
      <c r="AN661" t="s">
        <v>56</v>
      </c>
      <c r="AO661" t="s">
        <v>5372</v>
      </c>
      <c r="AP661" t="s">
        <v>3939</v>
      </c>
      <c r="AQ661" t="s">
        <v>3940</v>
      </c>
      <c r="AR661" t="s">
        <v>3941</v>
      </c>
      <c r="AS661" t="s">
        <v>3942</v>
      </c>
      <c r="AT661" t="s">
        <v>5640</v>
      </c>
      <c r="AU661" t="s">
        <v>4026</v>
      </c>
      <c r="AV661" t="s">
        <v>4027</v>
      </c>
      <c r="AW661" t="s">
        <v>4028</v>
      </c>
      <c r="AX661">
        <v>24</v>
      </c>
      <c r="AY661">
        <v>2</v>
      </c>
      <c r="AZ661" t="s">
        <v>3897</v>
      </c>
      <c r="BA661">
        <v>10</v>
      </c>
      <c r="BB661" t="s">
        <v>3898</v>
      </c>
      <c r="BC661">
        <v>120</v>
      </c>
      <c r="BD661">
        <v>3</v>
      </c>
      <c r="BE661" t="s">
        <v>3911</v>
      </c>
      <c r="BF661">
        <v>120</v>
      </c>
      <c r="BG661">
        <v>14</v>
      </c>
      <c r="BH661" t="s">
        <v>3947</v>
      </c>
      <c r="BI661" t="s">
        <v>5642</v>
      </c>
      <c r="BJ661">
        <v>1</v>
      </c>
      <c r="BK661" t="s">
        <v>3902</v>
      </c>
    </row>
    <row r="662" spans="1:63" x14ac:dyDescent="0.25">
      <c r="A662">
        <v>4424</v>
      </c>
      <c r="B662" t="str">
        <f>"20200129190017114361"</f>
        <v>20200129190017114361</v>
      </c>
      <c r="C662">
        <v>1</v>
      </c>
      <c r="D662">
        <v>1</v>
      </c>
      <c r="E662" t="s">
        <v>3886</v>
      </c>
      <c r="F662">
        <v>1</v>
      </c>
      <c r="G662">
        <v>0</v>
      </c>
      <c r="H662" t="s">
        <v>66</v>
      </c>
      <c r="I662">
        <v>0</v>
      </c>
      <c r="J662" t="s">
        <v>66</v>
      </c>
      <c r="K662">
        <v>0</v>
      </c>
      <c r="L662" t="s">
        <v>66</v>
      </c>
      <c r="M662" t="s">
        <v>56</v>
      </c>
      <c r="N662">
        <v>0</v>
      </c>
      <c r="O662" t="s">
        <v>66</v>
      </c>
      <c r="P662" t="s">
        <v>56</v>
      </c>
      <c r="Q662">
        <v>0</v>
      </c>
      <c r="R662" t="s">
        <v>66</v>
      </c>
      <c r="S662" t="s">
        <v>56</v>
      </c>
      <c r="T662">
        <v>1</v>
      </c>
      <c r="U662" t="s">
        <v>1627</v>
      </c>
      <c r="V662" t="s">
        <v>56</v>
      </c>
      <c r="W662">
        <v>0</v>
      </c>
      <c r="X662" t="s">
        <v>66</v>
      </c>
      <c r="Y662" t="s">
        <v>56</v>
      </c>
      <c r="Z662">
        <v>0</v>
      </c>
      <c r="AA662" t="s">
        <v>66</v>
      </c>
      <c r="AB662" t="s">
        <v>56</v>
      </c>
      <c r="AC662">
        <v>1</v>
      </c>
      <c r="AD662" t="s">
        <v>1627</v>
      </c>
      <c r="AE662" t="s">
        <v>3887</v>
      </c>
      <c r="AF662">
        <v>0</v>
      </c>
      <c r="AG662" t="s">
        <v>66</v>
      </c>
      <c r="AH662" t="s">
        <v>56</v>
      </c>
      <c r="AI662">
        <v>1</v>
      </c>
      <c r="AJ662" t="s">
        <v>1627</v>
      </c>
      <c r="AK662" t="s">
        <v>56</v>
      </c>
      <c r="AL662" t="s">
        <v>56</v>
      </c>
      <c r="AM662" t="s">
        <v>56</v>
      </c>
      <c r="AN662" t="s">
        <v>56</v>
      </c>
      <c r="AO662" t="s">
        <v>3933</v>
      </c>
      <c r="AP662" t="s">
        <v>3934</v>
      </c>
      <c r="AQ662" t="s">
        <v>3935</v>
      </c>
      <c r="AR662" t="s">
        <v>4071</v>
      </c>
      <c r="AS662" t="s">
        <v>4072</v>
      </c>
      <c r="AT662" t="s">
        <v>5643</v>
      </c>
      <c r="AU662" t="s">
        <v>3894</v>
      </c>
      <c r="AV662" t="s">
        <v>3895</v>
      </c>
      <c r="AW662" t="s">
        <v>3896</v>
      </c>
      <c r="AX662">
        <v>8</v>
      </c>
      <c r="AY662">
        <v>2</v>
      </c>
      <c r="AZ662" t="s">
        <v>3897</v>
      </c>
      <c r="BA662">
        <v>10</v>
      </c>
      <c r="BB662" t="s">
        <v>3898</v>
      </c>
      <c r="BC662">
        <v>3</v>
      </c>
      <c r="BD662">
        <v>5</v>
      </c>
      <c r="BE662" t="s">
        <v>3899</v>
      </c>
      <c r="BF662">
        <v>3</v>
      </c>
      <c r="BG662">
        <v>13</v>
      </c>
      <c r="BH662" t="s">
        <v>3900</v>
      </c>
      <c r="BI662" t="s">
        <v>5644</v>
      </c>
      <c r="BJ662">
        <v>1</v>
      </c>
      <c r="BK662" t="s">
        <v>3902</v>
      </c>
    </row>
    <row r="663" spans="1:63" x14ac:dyDescent="0.25">
      <c r="A663">
        <v>4425</v>
      </c>
      <c r="B663" t="str">
        <f>"20200129190017114361"</f>
        <v>20200129190017114361</v>
      </c>
      <c r="C663">
        <v>2</v>
      </c>
      <c r="D663">
        <v>1</v>
      </c>
      <c r="E663" t="s">
        <v>3886</v>
      </c>
      <c r="F663">
        <v>1</v>
      </c>
      <c r="G663">
        <v>0</v>
      </c>
      <c r="H663" t="s">
        <v>66</v>
      </c>
      <c r="I663">
        <v>0</v>
      </c>
      <c r="J663" t="s">
        <v>66</v>
      </c>
      <c r="K663">
        <v>0</v>
      </c>
      <c r="L663" t="s">
        <v>66</v>
      </c>
      <c r="M663" t="s">
        <v>56</v>
      </c>
      <c r="N663">
        <v>0</v>
      </c>
      <c r="O663" t="s">
        <v>66</v>
      </c>
      <c r="P663" t="s">
        <v>56</v>
      </c>
      <c r="Q663">
        <v>0</v>
      </c>
      <c r="R663" t="s">
        <v>66</v>
      </c>
      <c r="S663" t="s">
        <v>56</v>
      </c>
      <c r="T663">
        <v>1</v>
      </c>
      <c r="U663" t="s">
        <v>1627</v>
      </c>
      <c r="V663" t="s">
        <v>56</v>
      </c>
      <c r="W663">
        <v>0</v>
      </c>
      <c r="X663" t="s">
        <v>66</v>
      </c>
      <c r="Y663" t="s">
        <v>56</v>
      </c>
      <c r="Z663">
        <v>0</v>
      </c>
      <c r="AA663" t="s">
        <v>66</v>
      </c>
      <c r="AB663" t="s">
        <v>56</v>
      </c>
      <c r="AC663">
        <v>1</v>
      </c>
      <c r="AD663" t="s">
        <v>1627</v>
      </c>
      <c r="AE663" t="s">
        <v>3887</v>
      </c>
      <c r="AF663">
        <v>0</v>
      </c>
      <c r="AG663" t="s">
        <v>66</v>
      </c>
      <c r="AH663" t="s">
        <v>56</v>
      </c>
      <c r="AI663">
        <v>1</v>
      </c>
      <c r="AJ663" t="s">
        <v>1627</v>
      </c>
      <c r="AK663" t="s">
        <v>56</v>
      </c>
      <c r="AL663" t="s">
        <v>56</v>
      </c>
      <c r="AM663" t="s">
        <v>56</v>
      </c>
      <c r="AN663" t="s">
        <v>56</v>
      </c>
      <c r="AO663" t="s">
        <v>3949</v>
      </c>
      <c r="AP663" t="s">
        <v>3889</v>
      </c>
      <c r="AQ663" t="s">
        <v>3890</v>
      </c>
      <c r="AR663" t="s">
        <v>3891</v>
      </c>
      <c r="AS663" t="s">
        <v>3892</v>
      </c>
      <c r="AT663" t="s">
        <v>4794</v>
      </c>
      <c r="AU663" t="s">
        <v>3894</v>
      </c>
      <c r="AV663" t="s">
        <v>3895</v>
      </c>
      <c r="AW663" t="s">
        <v>3896</v>
      </c>
      <c r="AX663">
        <v>6</v>
      </c>
      <c r="AY663">
        <v>2</v>
      </c>
      <c r="AZ663" t="s">
        <v>3897</v>
      </c>
      <c r="BA663">
        <v>10</v>
      </c>
      <c r="BB663" t="s">
        <v>3898</v>
      </c>
      <c r="BC663">
        <v>3</v>
      </c>
      <c r="BD663">
        <v>5</v>
      </c>
      <c r="BE663" t="s">
        <v>3899</v>
      </c>
      <c r="BF663">
        <v>3</v>
      </c>
      <c r="BG663">
        <v>13</v>
      </c>
      <c r="BH663" t="s">
        <v>3900</v>
      </c>
      <c r="BI663" t="s">
        <v>5277</v>
      </c>
      <c r="BJ663">
        <v>1</v>
      </c>
      <c r="BK663" t="s">
        <v>3902</v>
      </c>
    </row>
    <row r="664" spans="1:63" x14ac:dyDescent="0.25">
      <c r="A664">
        <v>4426</v>
      </c>
      <c r="B664" t="str">
        <f>"20200129157017115063"</f>
        <v>20200129157017115063</v>
      </c>
      <c r="C664">
        <v>1</v>
      </c>
      <c r="D664">
        <v>1</v>
      </c>
      <c r="E664" t="s">
        <v>3886</v>
      </c>
      <c r="F664">
        <v>1</v>
      </c>
      <c r="G664">
        <v>0</v>
      </c>
      <c r="H664" t="s">
        <v>66</v>
      </c>
      <c r="I664">
        <v>0</v>
      </c>
      <c r="J664" t="s">
        <v>66</v>
      </c>
      <c r="K664">
        <v>0</v>
      </c>
      <c r="L664" t="s">
        <v>66</v>
      </c>
      <c r="M664" t="s">
        <v>56</v>
      </c>
      <c r="N664">
        <v>0</v>
      </c>
      <c r="O664" t="s">
        <v>66</v>
      </c>
      <c r="P664" t="s">
        <v>56</v>
      </c>
      <c r="Q664">
        <v>0</v>
      </c>
      <c r="R664" t="s">
        <v>66</v>
      </c>
      <c r="S664" t="s">
        <v>56</v>
      </c>
      <c r="T664">
        <v>1</v>
      </c>
      <c r="U664" t="s">
        <v>1627</v>
      </c>
      <c r="V664" t="s">
        <v>56</v>
      </c>
      <c r="W664">
        <v>0</v>
      </c>
      <c r="X664" t="s">
        <v>66</v>
      </c>
      <c r="Y664" t="s">
        <v>56</v>
      </c>
      <c r="Z664">
        <v>0</v>
      </c>
      <c r="AA664" t="s">
        <v>66</v>
      </c>
      <c r="AB664" t="s">
        <v>56</v>
      </c>
      <c r="AC664">
        <v>1</v>
      </c>
      <c r="AD664" t="s">
        <v>1627</v>
      </c>
      <c r="AE664" t="s">
        <v>3887</v>
      </c>
      <c r="AF664">
        <v>0</v>
      </c>
      <c r="AG664" t="s">
        <v>66</v>
      </c>
      <c r="AH664" t="s">
        <v>56</v>
      </c>
      <c r="AI664">
        <v>1</v>
      </c>
      <c r="AJ664" t="s">
        <v>1627</v>
      </c>
      <c r="AK664" t="s">
        <v>56</v>
      </c>
      <c r="AL664" t="s">
        <v>56</v>
      </c>
      <c r="AM664" t="s">
        <v>56</v>
      </c>
      <c r="AN664" t="s">
        <v>56</v>
      </c>
      <c r="AO664" t="s">
        <v>5645</v>
      </c>
      <c r="AP664" t="s">
        <v>3934</v>
      </c>
      <c r="AQ664" t="s">
        <v>3935</v>
      </c>
      <c r="AR664" t="s">
        <v>4146</v>
      </c>
      <c r="AS664" t="s">
        <v>4147</v>
      </c>
      <c r="AT664" t="s">
        <v>5646</v>
      </c>
      <c r="AU664" t="s">
        <v>4213</v>
      </c>
      <c r="AV664" t="s">
        <v>4214</v>
      </c>
      <c r="AW664" t="s">
        <v>4215</v>
      </c>
      <c r="AX664">
        <v>24</v>
      </c>
      <c r="AY664">
        <v>2</v>
      </c>
      <c r="AZ664" t="s">
        <v>3897</v>
      </c>
      <c r="BA664">
        <v>10</v>
      </c>
      <c r="BB664" t="s">
        <v>3898</v>
      </c>
      <c r="BC664">
        <v>1</v>
      </c>
      <c r="BD664">
        <v>3</v>
      </c>
      <c r="BE664" t="s">
        <v>3911</v>
      </c>
      <c r="BF664">
        <v>1</v>
      </c>
      <c r="BG664">
        <v>65</v>
      </c>
      <c r="BH664" t="s">
        <v>4360</v>
      </c>
      <c r="BI664" t="s">
        <v>5647</v>
      </c>
      <c r="BJ664">
        <v>1</v>
      </c>
      <c r="BK664" t="s">
        <v>3902</v>
      </c>
    </row>
    <row r="665" spans="1:63" x14ac:dyDescent="0.25">
      <c r="A665">
        <v>4427</v>
      </c>
      <c r="B665" t="str">
        <f>"20200129135017116086"</f>
        <v>20200129135017116086</v>
      </c>
      <c r="C665">
        <v>1</v>
      </c>
      <c r="D665">
        <v>1</v>
      </c>
      <c r="E665" t="s">
        <v>3886</v>
      </c>
      <c r="F665">
        <v>2</v>
      </c>
      <c r="G665">
        <v>0</v>
      </c>
      <c r="H665" t="s">
        <v>66</v>
      </c>
      <c r="I665">
        <v>0</v>
      </c>
      <c r="J665" t="s">
        <v>66</v>
      </c>
      <c r="K665">
        <v>1</v>
      </c>
      <c r="L665" t="s">
        <v>1627</v>
      </c>
      <c r="M665" t="s">
        <v>4771</v>
      </c>
      <c r="N665">
        <v>1</v>
      </c>
      <c r="O665" t="s">
        <v>1627</v>
      </c>
      <c r="P665" t="s">
        <v>5648</v>
      </c>
      <c r="Q665">
        <v>0</v>
      </c>
      <c r="R665" t="s">
        <v>66</v>
      </c>
      <c r="S665" t="s">
        <v>56</v>
      </c>
      <c r="T665" t="s">
        <v>56</v>
      </c>
      <c r="U665" t="s">
        <v>56</v>
      </c>
      <c r="V665" t="s">
        <v>56</v>
      </c>
      <c r="W665">
        <v>0</v>
      </c>
      <c r="X665" t="s">
        <v>66</v>
      </c>
      <c r="Y665" t="s">
        <v>56</v>
      </c>
      <c r="Z665">
        <v>0</v>
      </c>
      <c r="AA665" t="s">
        <v>66</v>
      </c>
      <c r="AB665" t="s">
        <v>56</v>
      </c>
      <c r="AC665">
        <v>0</v>
      </c>
      <c r="AD665" t="s">
        <v>66</v>
      </c>
      <c r="AE665" t="s">
        <v>56</v>
      </c>
      <c r="AF665">
        <v>0</v>
      </c>
      <c r="AG665" t="s">
        <v>66</v>
      </c>
      <c r="AH665" t="s">
        <v>56</v>
      </c>
      <c r="AI665">
        <v>1</v>
      </c>
      <c r="AJ665" t="s">
        <v>1627</v>
      </c>
      <c r="AK665" t="s">
        <v>56</v>
      </c>
      <c r="AL665" t="s">
        <v>56</v>
      </c>
      <c r="AM665" t="s">
        <v>56</v>
      </c>
      <c r="AN665" t="s">
        <v>56</v>
      </c>
      <c r="AO665" t="s">
        <v>4568</v>
      </c>
      <c r="AP665" t="s">
        <v>3962</v>
      </c>
      <c r="AQ665" t="s">
        <v>3963</v>
      </c>
      <c r="AR665" t="s">
        <v>3941</v>
      </c>
      <c r="AS665" t="s">
        <v>3942</v>
      </c>
      <c r="AT665" t="s">
        <v>5649</v>
      </c>
      <c r="AU665" t="s">
        <v>3944</v>
      </c>
      <c r="AV665" t="s">
        <v>3945</v>
      </c>
      <c r="AW665" t="s">
        <v>3946</v>
      </c>
      <c r="AX665">
        <v>12</v>
      </c>
      <c r="AY665">
        <v>2</v>
      </c>
      <c r="AZ665" t="s">
        <v>3897</v>
      </c>
      <c r="BA665">
        <v>10</v>
      </c>
      <c r="BB665" t="s">
        <v>3898</v>
      </c>
      <c r="BC665">
        <v>4</v>
      </c>
      <c r="BD665">
        <v>5</v>
      </c>
      <c r="BE665" t="s">
        <v>3899</v>
      </c>
      <c r="BF665">
        <v>240</v>
      </c>
      <c r="BG665">
        <v>66</v>
      </c>
      <c r="BH665" t="s">
        <v>3965</v>
      </c>
      <c r="BI665" t="s">
        <v>5650</v>
      </c>
      <c r="BJ665">
        <v>1</v>
      </c>
      <c r="BK665" t="s">
        <v>3902</v>
      </c>
    </row>
    <row r="666" spans="1:63" x14ac:dyDescent="0.25">
      <c r="A666">
        <v>4428</v>
      </c>
      <c r="B666" t="str">
        <f>"20200129167017116197"</f>
        <v>20200129167017116197</v>
      </c>
      <c r="C666">
        <v>1</v>
      </c>
      <c r="D666">
        <v>1</v>
      </c>
      <c r="E666" t="s">
        <v>3886</v>
      </c>
      <c r="F666">
        <v>2</v>
      </c>
      <c r="G666">
        <v>0</v>
      </c>
      <c r="H666" t="s">
        <v>66</v>
      </c>
      <c r="I666">
        <v>0</v>
      </c>
      <c r="J666" t="s">
        <v>66</v>
      </c>
      <c r="K666">
        <v>1</v>
      </c>
      <c r="L666" t="s">
        <v>1627</v>
      </c>
      <c r="M666" t="s">
        <v>4771</v>
      </c>
      <c r="N666">
        <v>1</v>
      </c>
      <c r="O666" t="s">
        <v>1627</v>
      </c>
      <c r="P666" t="s">
        <v>5651</v>
      </c>
      <c r="Q666">
        <v>0</v>
      </c>
      <c r="R666" t="s">
        <v>66</v>
      </c>
      <c r="S666" t="s">
        <v>56</v>
      </c>
      <c r="T666" t="s">
        <v>56</v>
      </c>
      <c r="U666" t="s">
        <v>56</v>
      </c>
      <c r="V666" t="s">
        <v>56</v>
      </c>
      <c r="W666">
        <v>0</v>
      </c>
      <c r="X666" t="s">
        <v>66</v>
      </c>
      <c r="Y666" t="s">
        <v>56</v>
      </c>
      <c r="Z666">
        <v>0</v>
      </c>
      <c r="AA666" t="s">
        <v>66</v>
      </c>
      <c r="AB666" t="s">
        <v>56</v>
      </c>
      <c r="AC666">
        <v>0</v>
      </c>
      <c r="AD666" t="s">
        <v>66</v>
      </c>
      <c r="AE666" t="s">
        <v>56</v>
      </c>
      <c r="AF666">
        <v>0</v>
      </c>
      <c r="AG666" t="s">
        <v>66</v>
      </c>
      <c r="AH666" t="s">
        <v>56</v>
      </c>
      <c r="AI666">
        <v>1</v>
      </c>
      <c r="AJ666" t="s">
        <v>1627</v>
      </c>
      <c r="AK666" t="s">
        <v>56</v>
      </c>
      <c r="AL666" t="s">
        <v>56</v>
      </c>
      <c r="AM666" t="s">
        <v>56</v>
      </c>
      <c r="AN666" t="s">
        <v>56</v>
      </c>
      <c r="AO666" t="s">
        <v>4568</v>
      </c>
      <c r="AP666" t="s">
        <v>3962</v>
      </c>
      <c r="AQ666" t="s">
        <v>3963</v>
      </c>
      <c r="AR666" t="s">
        <v>3941</v>
      </c>
      <c r="AS666" t="s">
        <v>3942</v>
      </c>
      <c r="AT666" t="s">
        <v>5652</v>
      </c>
      <c r="AU666" t="s">
        <v>3944</v>
      </c>
      <c r="AV666" t="s">
        <v>3945</v>
      </c>
      <c r="AW666" t="s">
        <v>3946</v>
      </c>
      <c r="AX666">
        <v>12</v>
      </c>
      <c r="AY666">
        <v>2</v>
      </c>
      <c r="AZ666" t="s">
        <v>3897</v>
      </c>
      <c r="BA666">
        <v>10</v>
      </c>
      <c r="BB666" t="s">
        <v>3898</v>
      </c>
      <c r="BC666">
        <v>4</v>
      </c>
      <c r="BD666">
        <v>5</v>
      </c>
      <c r="BE666" t="s">
        <v>3899</v>
      </c>
      <c r="BF666">
        <v>240</v>
      </c>
      <c r="BG666">
        <v>66</v>
      </c>
      <c r="BH666" t="s">
        <v>3965</v>
      </c>
      <c r="BI666" t="s">
        <v>5653</v>
      </c>
      <c r="BJ666">
        <v>1</v>
      </c>
      <c r="BK666" t="s">
        <v>3902</v>
      </c>
    </row>
    <row r="667" spans="1:63" x14ac:dyDescent="0.25">
      <c r="A667">
        <v>4429</v>
      </c>
      <c r="B667" t="str">
        <f>"20200129120017116695"</f>
        <v>20200129120017116695</v>
      </c>
      <c r="C667">
        <v>1</v>
      </c>
      <c r="D667">
        <v>1</v>
      </c>
      <c r="E667" t="s">
        <v>3886</v>
      </c>
      <c r="F667">
        <v>2</v>
      </c>
      <c r="G667">
        <v>0</v>
      </c>
      <c r="H667" t="s">
        <v>66</v>
      </c>
      <c r="I667">
        <v>0</v>
      </c>
      <c r="J667" t="s">
        <v>66</v>
      </c>
      <c r="K667">
        <v>0</v>
      </c>
      <c r="L667" t="s">
        <v>66</v>
      </c>
      <c r="M667" t="s">
        <v>56</v>
      </c>
      <c r="N667">
        <v>0</v>
      </c>
      <c r="O667" t="s">
        <v>66</v>
      </c>
      <c r="P667" t="s">
        <v>56</v>
      </c>
      <c r="Q667">
        <v>0</v>
      </c>
      <c r="R667" t="s">
        <v>66</v>
      </c>
      <c r="S667" t="s">
        <v>56</v>
      </c>
      <c r="T667">
        <v>1</v>
      </c>
      <c r="U667" t="s">
        <v>1627</v>
      </c>
      <c r="V667" t="s">
        <v>56</v>
      </c>
      <c r="W667">
        <v>0</v>
      </c>
      <c r="X667" t="s">
        <v>66</v>
      </c>
      <c r="Y667" t="s">
        <v>56</v>
      </c>
      <c r="Z667">
        <v>0</v>
      </c>
      <c r="AA667" t="s">
        <v>66</v>
      </c>
      <c r="AB667" t="s">
        <v>56</v>
      </c>
      <c r="AC667">
        <v>1</v>
      </c>
      <c r="AD667" t="s">
        <v>1627</v>
      </c>
      <c r="AE667" t="s">
        <v>3887</v>
      </c>
      <c r="AF667">
        <v>0</v>
      </c>
      <c r="AG667" t="s">
        <v>66</v>
      </c>
      <c r="AH667" t="s">
        <v>56</v>
      </c>
      <c r="AI667">
        <v>1</v>
      </c>
      <c r="AJ667" t="s">
        <v>1627</v>
      </c>
      <c r="AK667" t="s">
        <v>56</v>
      </c>
      <c r="AL667" t="s">
        <v>56</v>
      </c>
      <c r="AM667" t="s">
        <v>56</v>
      </c>
      <c r="AN667" t="s">
        <v>56</v>
      </c>
      <c r="AO667" t="s">
        <v>4046</v>
      </c>
      <c r="AP667" t="s">
        <v>3889</v>
      </c>
      <c r="AQ667" t="s">
        <v>3890</v>
      </c>
      <c r="AR667" t="s">
        <v>3926</v>
      </c>
      <c r="AS667" t="s">
        <v>3927</v>
      </c>
      <c r="AT667" t="s">
        <v>5245</v>
      </c>
      <c r="AU667" t="s">
        <v>3894</v>
      </c>
      <c r="AV667" t="s">
        <v>3895</v>
      </c>
      <c r="AW667" t="s">
        <v>3896</v>
      </c>
      <c r="AX667">
        <v>12</v>
      </c>
      <c r="AY667">
        <v>2</v>
      </c>
      <c r="AZ667" t="s">
        <v>3897</v>
      </c>
      <c r="BA667">
        <v>10</v>
      </c>
      <c r="BB667" t="s">
        <v>3898</v>
      </c>
      <c r="BC667">
        <v>180</v>
      </c>
      <c r="BD667">
        <v>3</v>
      </c>
      <c r="BE667" t="s">
        <v>3911</v>
      </c>
      <c r="BF667">
        <v>6</v>
      </c>
      <c r="BG667">
        <v>13</v>
      </c>
      <c r="BH667" t="s">
        <v>3900</v>
      </c>
      <c r="BI667" t="s">
        <v>4371</v>
      </c>
      <c r="BJ667">
        <v>1</v>
      </c>
      <c r="BK667" t="s">
        <v>3902</v>
      </c>
    </row>
    <row r="668" spans="1:63" x14ac:dyDescent="0.25">
      <c r="A668">
        <v>4430</v>
      </c>
      <c r="B668" t="str">
        <f>"20200129120017116695"</f>
        <v>20200129120017116695</v>
      </c>
      <c r="C668">
        <v>2</v>
      </c>
      <c r="D668">
        <v>1</v>
      </c>
      <c r="E668" t="s">
        <v>3886</v>
      </c>
      <c r="F668">
        <v>2</v>
      </c>
      <c r="G668">
        <v>0</v>
      </c>
      <c r="H668" t="s">
        <v>66</v>
      </c>
      <c r="I668">
        <v>0</v>
      </c>
      <c r="J668" t="s">
        <v>66</v>
      </c>
      <c r="K668">
        <v>0</v>
      </c>
      <c r="L668" t="s">
        <v>66</v>
      </c>
      <c r="M668" t="s">
        <v>56</v>
      </c>
      <c r="N668">
        <v>0</v>
      </c>
      <c r="O668" t="s">
        <v>66</v>
      </c>
      <c r="P668" t="s">
        <v>56</v>
      </c>
      <c r="Q668">
        <v>0</v>
      </c>
      <c r="R668" t="s">
        <v>66</v>
      </c>
      <c r="S668" t="s">
        <v>56</v>
      </c>
      <c r="T668">
        <v>1</v>
      </c>
      <c r="U668" t="s">
        <v>1627</v>
      </c>
      <c r="V668" t="s">
        <v>56</v>
      </c>
      <c r="W668">
        <v>0</v>
      </c>
      <c r="X668" t="s">
        <v>66</v>
      </c>
      <c r="Y668" t="s">
        <v>56</v>
      </c>
      <c r="Z668">
        <v>0</v>
      </c>
      <c r="AA668" t="s">
        <v>66</v>
      </c>
      <c r="AB668" t="s">
        <v>56</v>
      </c>
      <c r="AC668">
        <v>1</v>
      </c>
      <c r="AD668" t="s">
        <v>1627</v>
      </c>
      <c r="AE668" t="s">
        <v>3887</v>
      </c>
      <c r="AF668">
        <v>0</v>
      </c>
      <c r="AG668" t="s">
        <v>66</v>
      </c>
      <c r="AH668" t="s">
        <v>56</v>
      </c>
      <c r="AI668">
        <v>1</v>
      </c>
      <c r="AJ668" t="s">
        <v>1627</v>
      </c>
      <c r="AK668" t="s">
        <v>56</v>
      </c>
      <c r="AL668" t="s">
        <v>56</v>
      </c>
      <c r="AM668" t="s">
        <v>56</v>
      </c>
      <c r="AN668" t="s">
        <v>56</v>
      </c>
      <c r="AO668" t="s">
        <v>3888</v>
      </c>
      <c r="AP668" t="s">
        <v>3889</v>
      </c>
      <c r="AQ668" t="s">
        <v>3890</v>
      </c>
      <c r="AR668" t="s">
        <v>3926</v>
      </c>
      <c r="AS668" t="s">
        <v>3927</v>
      </c>
      <c r="AT668" t="s">
        <v>5654</v>
      </c>
      <c r="AU668" t="s">
        <v>3894</v>
      </c>
      <c r="AV668" t="s">
        <v>3895</v>
      </c>
      <c r="AW668" t="s">
        <v>3896</v>
      </c>
      <c r="AX668">
        <v>6</v>
      </c>
      <c r="AY668">
        <v>2</v>
      </c>
      <c r="AZ668" t="s">
        <v>3897</v>
      </c>
      <c r="BA668">
        <v>10</v>
      </c>
      <c r="BB668" t="s">
        <v>3898</v>
      </c>
      <c r="BC668">
        <v>180</v>
      </c>
      <c r="BD668">
        <v>3</v>
      </c>
      <c r="BE668" t="s">
        <v>3911</v>
      </c>
      <c r="BF668">
        <v>6</v>
      </c>
      <c r="BG668">
        <v>13</v>
      </c>
      <c r="BH668" t="s">
        <v>3900</v>
      </c>
      <c r="BI668" t="s">
        <v>4371</v>
      </c>
      <c r="BJ668">
        <v>1</v>
      </c>
      <c r="BK668" t="s">
        <v>3902</v>
      </c>
    </row>
    <row r="669" spans="1:63" x14ac:dyDescent="0.25">
      <c r="A669">
        <v>4431</v>
      </c>
      <c r="B669" t="str">
        <f>"20200129144017116818"</f>
        <v>20200129144017116818</v>
      </c>
      <c r="C669">
        <v>1</v>
      </c>
      <c r="D669">
        <v>1</v>
      </c>
      <c r="E669" t="s">
        <v>3886</v>
      </c>
      <c r="F669">
        <v>2</v>
      </c>
      <c r="G669">
        <v>0</v>
      </c>
      <c r="H669" t="s">
        <v>66</v>
      </c>
      <c r="I669">
        <v>0</v>
      </c>
      <c r="J669" t="s">
        <v>66</v>
      </c>
      <c r="K669">
        <v>1</v>
      </c>
      <c r="L669" t="s">
        <v>1627</v>
      </c>
      <c r="M669" t="s">
        <v>3976</v>
      </c>
      <c r="N669">
        <v>0</v>
      </c>
      <c r="O669" t="s">
        <v>66</v>
      </c>
      <c r="P669" t="s">
        <v>56</v>
      </c>
      <c r="Q669">
        <v>1</v>
      </c>
      <c r="R669" t="s">
        <v>1627</v>
      </c>
      <c r="S669" t="s">
        <v>5655</v>
      </c>
      <c r="T669" t="s">
        <v>56</v>
      </c>
      <c r="U669" t="s">
        <v>56</v>
      </c>
      <c r="V669" t="s">
        <v>56</v>
      </c>
      <c r="W669">
        <v>0</v>
      </c>
      <c r="X669" t="s">
        <v>66</v>
      </c>
      <c r="Y669" t="s">
        <v>56</v>
      </c>
      <c r="Z669">
        <v>0</v>
      </c>
      <c r="AA669" t="s">
        <v>66</v>
      </c>
      <c r="AB669" t="s">
        <v>56</v>
      </c>
      <c r="AC669">
        <v>0</v>
      </c>
      <c r="AD669" t="s">
        <v>66</v>
      </c>
      <c r="AE669" t="s">
        <v>56</v>
      </c>
      <c r="AF669">
        <v>0</v>
      </c>
      <c r="AG669" t="s">
        <v>66</v>
      </c>
      <c r="AH669" t="s">
        <v>56</v>
      </c>
      <c r="AI669">
        <v>1</v>
      </c>
      <c r="AJ669" t="s">
        <v>1627</v>
      </c>
      <c r="AK669" t="s">
        <v>56</v>
      </c>
      <c r="AL669" t="s">
        <v>56</v>
      </c>
      <c r="AM669" t="s">
        <v>56</v>
      </c>
      <c r="AN669" t="s">
        <v>56</v>
      </c>
      <c r="AO669" t="s">
        <v>4890</v>
      </c>
      <c r="AP669" t="s">
        <v>3889</v>
      </c>
      <c r="AQ669" t="s">
        <v>3890</v>
      </c>
      <c r="AR669" t="s">
        <v>2324</v>
      </c>
      <c r="AS669" t="s">
        <v>4266</v>
      </c>
      <c r="AT669" t="s">
        <v>5656</v>
      </c>
      <c r="AU669">
        <v>9000</v>
      </c>
      <c r="AV669" t="s">
        <v>3956</v>
      </c>
      <c r="AW669" t="s">
        <v>3956</v>
      </c>
      <c r="AX669">
        <v>24</v>
      </c>
      <c r="AY669">
        <v>2</v>
      </c>
      <c r="AZ669" t="s">
        <v>3897</v>
      </c>
      <c r="BA669">
        <v>10</v>
      </c>
      <c r="BB669" t="s">
        <v>3898</v>
      </c>
      <c r="BC669">
        <v>90</v>
      </c>
      <c r="BD669">
        <v>3</v>
      </c>
      <c r="BE669" t="s">
        <v>3911</v>
      </c>
      <c r="BF669">
        <v>9</v>
      </c>
      <c r="BG669">
        <v>79</v>
      </c>
      <c r="BH669" t="s">
        <v>56</v>
      </c>
      <c r="BI669" t="s">
        <v>5657</v>
      </c>
      <c r="BJ669">
        <v>1</v>
      </c>
      <c r="BK669" t="s">
        <v>3902</v>
      </c>
    </row>
    <row r="670" spans="1:63" x14ac:dyDescent="0.25">
      <c r="A670">
        <v>4432</v>
      </c>
      <c r="B670" t="str">
        <f>"20200129167017117561"</f>
        <v>20200129167017117561</v>
      </c>
      <c r="C670">
        <v>1</v>
      </c>
      <c r="D670">
        <v>1</v>
      </c>
      <c r="E670" t="s">
        <v>3886</v>
      </c>
      <c r="F670">
        <v>2</v>
      </c>
      <c r="G670">
        <v>0</v>
      </c>
      <c r="H670" t="s">
        <v>66</v>
      </c>
      <c r="I670">
        <v>0</v>
      </c>
      <c r="J670" t="s">
        <v>66</v>
      </c>
      <c r="K670">
        <v>0</v>
      </c>
      <c r="L670" t="s">
        <v>66</v>
      </c>
      <c r="M670" t="s">
        <v>56</v>
      </c>
      <c r="N670">
        <v>0</v>
      </c>
      <c r="O670" t="s">
        <v>66</v>
      </c>
      <c r="P670" t="s">
        <v>56</v>
      </c>
      <c r="Q670">
        <v>0</v>
      </c>
      <c r="R670" t="s">
        <v>66</v>
      </c>
      <c r="S670" t="s">
        <v>56</v>
      </c>
      <c r="T670">
        <v>1</v>
      </c>
      <c r="U670" t="s">
        <v>1627</v>
      </c>
      <c r="V670" t="s">
        <v>56</v>
      </c>
      <c r="W670">
        <v>0</v>
      </c>
      <c r="X670" t="s">
        <v>66</v>
      </c>
      <c r="Y670" t="s">
        <v>56</v>
      </c>
      <c r="Z670">
        <v>0</v>
      </c>
      <c r="AA670" t="s">
        <v>66</v>
      </c>
      <c r="AB670" t="s">
        <v>56</v>
      </c>
      <c r="AC670">
        <v>1</v>
      </c>
      <c r="AD670" t="s">
        <v>1627</v>
      </c>
      <c r="AE670" t="s">
        <v>3887</v>
      </c>
      <c r="AF670">
        <v>0</v>
      </c>
      <c r="AG670" t="s">
        <v>66</v>
      </c>
      <c r="AH670" t="s">
        <v>56</v>
      </c>
      <c r="AI670">
        <v>1</v>
      </c>
      <c r="AJ670" t="s">
        <v>1627</v>
      </c>
      <c r="AK670" t="s">
        <v>56</v>
      </c>
      <c r="AL670" t="s">
        <v>56</v>
      </c>
      <c r="AM670" t="s">
        <v>56</v>
      </c>
      <c r="AN670" t="s">
        <v>56</v>
      </c>
      <c r="AO670" t="s">
        <v>3938</v>
      </c>
      <c r="AP670" t="s">
        <v>3962</v>
      </c>
      <c r="AQ670" t="s">
        <v>3963</v>
      </c>
      <c r="AR670" t="s">
        <v>3941</v>
      </c>
      <c r="AS670" t="s">
        <v>3942</v>
      </c>
      <c r="AT670" t="s">
        <v>5658</v>
      </c>
      <c r="AU670" t="s">
        <v>3944</v>
      </c>
      <c r="AV670" t="s">
        <v>3945</v>
      </c>
      <c r="AW670" t="s">
        <v>3946</v>
      </c>
      <c r="AX670">
        <v>24</v>
      </c>
      <c r="AY670">
        <v>2</v>
      </c>
      <c r="AZ670" t="s">
        <v>3897</v>
      </c>
      <c r="BA670">
        <v>10</v>
      </c>
      <c r="BB670" t="s">
        <v>3898</v>
      </c>
      <c r="BC670">
        <v>1</v>
      </c>
      <c r="BD670">
        <v>5</v>
      </c>
      <c r="BE670" t="s">
        <v>3899</v>
      </c>
      <c r="BF670">
        <v>30</v>
      </c>
      <c r="BG670">
        <v>66</v>
      </c>
      <c r="BH670" t="s">
        <v>3965</v>
      </c>
      <c r="BI670" t="s">
        <v>4877</v>
      </c>
      <c r="BJ670">
        <v>1</v>
      </c>
      <c r="BK670" t="s">
        <v>3902</v>
      </c>
    </row>
    <row r="671" spans="1:63" x14ac:dyDescent="0.25">
      <c r="A671">
        <v>4433</v>
      </c>
      <c r="B671" t="str">
        <f>"20200129113017117603"</f>
        <v>20200129113017117603</v>
      </c>
      <c r="C671">
        <v>1</v>
      </c>
      <c r="D671">
        <v>1</v>
      </c>
      <c r="E671" t="s">
        <v>3886</v>
      </c>
      <c r="F671">
        <v>2</v>
      </c>
      <c r="G671">
        <v>0</v>
      </c>
      <c r="H671" t="s">
        <v>66</v>
      </c>
      <c r="I671">
        <v>0</v>
      </c>
      <c r="J671" t="s">
        <v>66</v>
      </c>
      <c r="K671">
        <v>0</v>
      </c>
      <c r="L671" t="s">
        <v>66</v>
      </c>
      <c r="M671" t="s">
        <v>56</v>
      </c>
      <c r="N671">
        <v>0</v>
      </c>
      <c r="O671" t="s">
        <v>66</v>
      </c>
      <c r="P671" t="s">
        <v>56</v>
      </c>
      <c r="Q671">
        <v>0</v>
      </c>
      <c r="R671" t="s">
        <v>66</v>
      </c>
      <c r="S671" t="s">
        <v>56</v>
      </c>
      <c r="T671">
        <v>1</v>
      </c>
      <c r="U671" t="s">
        <v>1627</v>
      </c>
      <c r="V671" t="s">
        <v>56</v>
      </c>
      <c r="W671">
        <v>0</v>
      </c>
      <c r="X671" t="s">
        <v>66</v>
      </c>
      <c r="Y671" t="s">
        <v>56</v>
      </c>
      <c r="Z671">
        <v>0</v>
      </c>
      <c r="AA671" t="s">
        <v>66</v>
      </c>
      <c r="AB671" t="s">
        <v>56</v>
      </c>
      <c r="AC671">
        <v>1</v>
      </c>
      <c r="AD671" t="s">
        <v>1627</v>
      </c>
      <c r="AE671" t="s">
        <v>3887</v>
      </c>
      <c r="AF671">
        <v>0</v>
      </c>
      <c r="AG671" t="s">
        <v>66</v>
      </c>
      <c r="AH671" t="s">
        <v>56</v>
      </c>
      <c r="AI671">
        <v>1</v>
      </c>
      <c r="AJ671" t="s">
        <v>1627</v>
      </c>
      <c r="AK671" t="s">
        <v>56</v>
      </c>
      <c r="AL671" t="s">
        <v>56</v>
      </c>
      <c r="AM671" t="s">
        <v>56</v>
      </c>
      <c r="AN671" t="s">
        <v>56</v>
      </c>
      <c r="AO671" t="s">
        <v>4046</v>
      </c>
      <c r="AP671" t="s">
        <v>3889</v>
      </c>
      <c r="AQ671" t="s">
        <v>3890</v>
      </c>
      <c r="AR671" t="s">
        <v>3926</v>
      </c>
      <c r="AS671" t="s">
        <v>3927</v>
      </c>
      <c r="AT671" t="s">
        <v>5245</v>
      </c>
      <c r="AU671" t="s">
        <v>3894</v>
      </c>
      <c r="AV671" t="s">
        <v>3895</v>
      </c>
      <c r="AW671" t="s">
        <v>3896</v>
      </c>
      <c r="AX671">
        <v>12</v>
      </c>
      <c r="AY671">
        <v>2</v>
      </c>
      <c r="AZ671" t="s">
        <v>3897</v>
      </c>
      <c r="BA671">
        <v>10</v>
      </c>
      <c r="BB671" t="s">
        <v>3898</v>
      </c>
      <c r="BC671">
        <v>60</v>
      </c>
      <c r="BD671">
        <v>3</v>
      </c>
      <c r="BE671" t="s">
        <v>3911</v>
      </c>
      <c r="BF671">
        <v>2</v>
      </c>
      <c r="BG671">
        <v>13</v>
      </c>
      <c r="BH671" t="s">
        <v>3900</v>
      </c>
      <c r="BI671" t="s">
        <v>4371</v>
      </c>
      <c r="BJ671">
        <v>1</v>
      </c>
      <c r="BK671" t="s">
        <v>3902</v>
      </c>
    </row>
    <row r="672" spans="1:63" x14ac:dyDescent="0.25">
      <c r="A672">
        <v>4434</v>
      </c>
      <c r="B672" t="str">
        <f>"20200129193017117816"</f>
        <v>20200129193017117816</v>
      </c>
      <c r="C672">
        <v>1</v>
      </c>
      <c r="D672">
        <v>1</v>
      </c>
      <c r="E672" t="s">
        <v>3886</v>
      </c>
      <c r="F672">
        <v>2</v>
      </c>
      <c r="G672">
        <v>0</v>
      </c>
      <c r="H672" t="s">
        <v>66</v>
      </c>
      <c r="I672">
        <v>0</v>
      </c>
      <c r="J672" t="s">
        <v>66</v>
      </c>
      <c r="K672">
        <v>0</v>
      </c>
      <c r="L672" t="s">
        <v>66</v>
      </c>
      <c r="M672" t="s">
        <v>56</v>
      </c>
      <c r="N672">
        <v>0</v>
      </c>
      <c r="O672" t="s">
        <v>66</v>
      </c>
      <c r="P672" t="s">
        <v>56</v>
      </c>
      <c r="Q672">
        <v>0</v>
      </c>
      <c r="R672" t="s">
        <v>66</v>
      </c>
      <c r="S672" t="s">
        <v>56</v>
      </c>
      <c r="T672">
        <v>1</v>
      </c>
      <c r="U672" t="s">
        <v>1627</v>
      </c>
      <c r="V672" t="s">
        <v>56</v>
      </c>
      <c r="W672">
        <v>0</v>
      </c>
      <c r="X672" t="s">
        <v>66</v>
      </c>
      <c r="Y672" t="s">
        <v>56</v>
      </c>
      <c r="Z672">
        <v>0</v>
      </c>
      <c r="AA672" t="s">
        <v>66</v>
      </c>
      <c r="AB672" t="s">
        <v>56</v>
      </c>
      <c r="AC672">
        <v>1</v>
      </c>
      <c r="AD672" t="s">
        <v>1627</v>
      </c>
      <c r="AE672" t="s">
        <v>3887</v>
      </c>
      <c r="AF672">
        <v>0</v>
      </c>
      <c r="AG672" t="s">
        <v>66</v>
      </c>
      <c r="AH672" t="s">
        <v>56</v>
      </c>
      <c r="AI672">
        <v>1</v>
      </c>
      <c r="AJ672" t="s">
        <v>1627</v>
      </c>
      <c r="AK672" t="s">
        <v>56</v>
      </c>
      <c r="AL672" t="s">
        <v>56</v>
      </c>
      <c r="AM672" t="s">
        <v>56</v>
      </c>
      <c r="AN672" t="s">
        <v>56</v>
      </c>
      <c r="AO672" t="s">
        <v>5048</v>
      </c>
      <c r="AP672" t="s">
        <v>3889</v>
      </c>
      <c r="AQ672" t="s">
        <v>3890</v>
      </c>
      <c r="AR672" t="s">
        <v>3926</v>
      </c>
      <c r="AS672" t="s">
        <v>3927</v>
      </c>
      <c r="AT672" t="s">
        <v>5659</v>
      </c>
      <c r="AU672" t="s">
        <v>3894</v>
      </c>
      <c r="AV672" t="s">
        <v>3895</v>
      </c>
      <c r="AW672" t="s">
        <v>3896</v>
      </c>
      <c r="AX672">
        <v>2</v>
      </c>
      <c r="AY672">
        <v>2</v>
      </c>
      <c r="AZ672" t="s">
        <v>3897</v>
      </c>
      <c r="BA672">
        <v>10</v>
      </c>
      <c r="BB672" t="s">
        <v>3898</v>
      </c>
      <c r="BC672">
        <v>20</v>
      </c>
      <c r="BD672">
        <v>3</v>
      </c>
      <c r="BE672" t="s">
        <v>3911</v>
      </c>
      <c r="BF672">
        <v>2</v>
      </c>
      <c r="BG672">
        <v>13</v>
      </c>
      <c r="BH672" t="s">
        <v>3900</v>
      </c>
      <c r="BI672" t="s">
        <v>5660</v>
      </c>
      <c r="BJ672">
        <v>1</v>
      </c>
      <c r="BK672" t="s">
        <v>3902</v>
      </c>
    </row>
    <row r="673" spans="1:63" x14ac:dyDescent="0.25">
      <c r="A673">
        <v>4449</v>
      </c>
      <c r="B673" t="str">
        <f>"20200129182017121802"</f>
        <v>20200129182017121802</v>
      </c>
      <c r="C673">
        <v>1</v>
      </c>
      <c r="D673">
        <v>1</v>
      </c>
      <c r="E673" t="s">
        <v>3886</v>
      </c>
      <c r="F673">
        <v>2</v>
      </c>
      <c r="G673">
        <v>0</v>
      </c>
      <c r="H673" t="s">
        <v>66</v>
      </c>
      <c r="I673">
        <v>0</v>
      </c>
      <c r="J673" t="s">
        <v>66</v>
      </c>
      <c r="K673">
        <v>0</v>
      </c>
      <c r="L673" t="s">
        <v>66</v>
      </c>
      <c r="M673" t="s">
        <v>56</v>
      </c>
      <c r="N673">
        <v>0</v>
      </c>
      <c r="O673" t="s">
        <v>66</v>
      </c>
      <c r="P673" t="s">
        <v>56</v>
      </c>
      <c r="Q673">
        <v>0</v>
      </c>
      <c r="R673" t="s">
        <v>66</v>
      </c>
      <c r="S673" t="s">
        <v>56</v>
      </c>
      <c r="T673">
        <v>1</v>
      </c>
      <c r="U673" t="s">
        <v>1627</v>
      </c>
      <c r="V673" t="s">
        <v>56</v>
      </c>
      <c r="W673">
        <v>0</v>
      </c>
      <c r="X673" t="s">
        <v>66</v>
      </c>
      <c r="Y673" t="s">
        <v>56</v>
      </c>
      <c r="Z673">
        <v>0</v>
      </c>
      <c r="AA673" t="s">
        <v>66</v>
      </c>
      <c r="AB673" t="s">
        <v>56</v>
      </c>
      <c r="AC673">
        <v>1</v>
      </c>
      <c r="AD673" t="s">
        <v>1627</v>
      </c>
      <c r="AE673" t="s">
        <v>3887</v>
      </c>
      <c r="AF673">
        <v>0</v>
      </c>
      <c r="AG673" t="s">
        <v>66</v>
      </c>
      <c r="AH673" t="s">
        <v>56</v>
      </c>
      <c r="AI673">
        <v>1</v>
      </c>
      <c r="AJ673" t="s">
        <v>1627</v>
      </c>
      <c r="AK673" t="s">
        <v>56</v>
      </c>
      <c r="AL673" t="s">
        <v>56</v>
      </c>
      <c r="AM673" t="s">
        <v>56</v>
      </c>
      <c r="AN673" t="s">
        <v>56</v>
      </c>
      <c r="AO673" t="s">
        <v>5661</v>
      </c>
      <c r="AP673" t="s">
        <v>3889</v>
      </c>
      <c r="AQ673" t="s">
        <v>3890</v>
      </c>
      <c r="AR673" t="s">
        <v>3904</v>
      </c>
      <c r="AS673" t="s">
        <v>3905</v>
      </c>
      <c r="AT673" t="s">
        <v>5662</v>
      </c>
      <c r="AU673" t="s">
        <v>3944</v>
      </c>
      <c r="AV673" t="s">
        <v>3945</v>
      </c>
      <c r="AW673" t="s">
        <v>3946</v>
      </c>
      <c r="AX673">
        <v>6</v>
      </c>
      <c r="AY673">
        <v>2</v>
      </c>
      <c r="AZ673" t="s">
        <v>3897</v>
      </c>
      <c r="BA673">
        <v>10</v>
      </c>
      <c r="BB673" t="s">
        <v>3898</v>
      </c>
      <c r="BC673">
        <v>30</v>
      </c>
      <c r="BD673">
        <v>3</v>
      </c>
      <c r="BE673" t="s">
        <v>3911</v>
      </c>
      <c r="BF673">
        <v>60</v>
      </c>
      <c r="BG673" t="s">
        <v>3912</v>
      </c>
      <c r="BH673" t="s">
        <v>3913</v>
      </c>
      <c r="BI673" t="s">
        <v>5663</v>
      </c>
      <c r="BJ673">
        <v>1</v>
      </c>
      <c r="BK673" t="s">
        <v>3902</v>
      </c>
    </row>
    <row r="674" spans="1:63" x14ac:dyDescent="0.25">
      <c r="A674">
        <v>4450</v>
      </c>
      <c r="B674" t="str">
        <f>"20200129139017121926"</f>
        <v>20200129139017121926</v>
      </c>
      <c r="C674">
        <v>1</v>
      </c>
      <c r="D674">
        <v>1</v>
      </c>
      <c r="E674" t="s">
        <v>3886</v>
      </c>
      <c r="F674">
        <v>1</v>
      </c>
      <c r="G674">
        <v>0</v>
      </c>
      <c r="H674" t="s">
        <v>66</v>
      </c>
      <c r="I674">
        <v>0</v>
      </c>
      <c r="J674" t="s">
        <v>66</v>
      </c>
      <c r="K674">
        <v>1</v>
      </c>
      <c r="L674" t="s">
        <v>1627</v>
      </c>
      <c r="M674" t="s">
        <v>4204</v>
      </c>
      <c r="N674">
        <v>1</v>
      </c>
      <c r="O674" t="s">
        <v>1627</v>
      </c>
      <c r="P674" t="s">
        <v>4953</v>
      </c>
      <c r="Q674">
        <v>0</v>
      </c>
      <c r="R674" t="s">
        <v>66</v>
      </c>
      <c r="S674" t="s">
        <v>56</v>
      </c>
      <c r="T674" t="s">
        <v>56</v>
      </c>
      <c r="U674" t="s">
        <v>56</v>
      </c>
      <c r="V674" t="s">
        <v>56</v>
      </c>
      <c r="W674">
        <v>0</v>
      </c>
      <c r="X674" t="s">
        <v>66</v>
      </c>
      <c r="Y674" t="s">
        <v>56</v>
      </c>
      <c r="Z674">
        <v>0</v>
      </c>
      <c r="AA674" t="s">
        <v>66</v>
      </c>
      <c r="AB674" t="s">
        <v>56</v>
      </c>
      <c r="AC674">
        <v>0</v>
      </c>
      <c r="AD674" t="s">
        <v>66</v>
      </c>
      <c r="AE674" t="s">
        <v>56</v>
      </c>
      <c r="AF674">
        <v>0</v>
      </c>
      <c r="AG674" t="s">
        <v>66</v>
      </c>
      <c r="AH674" t="s">
        <v>56</v>
      </c>
      <c r="AI674">
        <v>1</v>
      </c>
      <c r="AJ674" t="s">
        <v>1627</v>
      </c>
      <c r="AK674" t="s">
        <v>56</v>
      </c>
      <c r="AL674" t="s">
        <v>56</v>
      </c>
      <c r="AM674" t="s">
        <v>56</v>
      </c>
      <c r="AN674" t="s">
        <v>56</v>
      </c>
      <c r="AO674" t="s">
        <v>5664</v>
      </c>
      <c r="AP674" t="s">
        <v>4069</v>
      </c>
      <c r="AQ674" t="s">
        <v>4070</v>
      </c>
      <c r="AR674" t="s">
        <v>4071</v>
      </c>
      <c r="AS674" t="s">
        <v>4072</v>
      </c>
      <c r="AT674" t="s">
        <v>5665</v>
      </c>
      <c r="AU674" t="s">
        <v>3944</v>
      </c>
      <c r="AV674" t="s">
        <v>3945</v>
      </c>
      <c r="AW674" t="s">
        <v>3946</v>
      </c>
      <c r="AX674">
        <v>12</v>
      </c>
      <c r="AY674">
        <v>2</v>
      </c>
      <c r="AZ674" t="s">
        <v>3897</v>
      </c>
      <c r="BA674">
        <v>10</v>
      </c>
      <c r="BB674" t="s">
        <v>3898</v>
      </c>
      <c r="BC674">
        <v>2</v>
      </c>
      <c r="BD674">
        <v>5</v>
      </c>
      <c r="BE674" t="s">
        <v>3899</v>
      </c>
      <c r="BF674">
        <v>6</v>
      </c>
      <c r="BG674">
        <v>73</v>
      </c>
      <c r="BH674" t="s">
        <v>3999</v>
      </c>
      <c r="BI674" t="s">
        <v>5666</v>
      </c>
      <c r="BJ674">
        <v>1</v>
      </c>
      <c r="BK674" t="s">
        <v>3902</v>
      </c>
    </row>
    <row r="675" spans="1:63" x14ac:dyDescent="0.25">
      <c r="A675">
        <v>4451</v>
      </c>
      <c r="B675" t="str">
        <f>"20200129139017121926"</f>
        <v>20200129139017121926</v>
      </c>
      <c r="C675">
        <v>2</v>
      </c>
      <c r="D675">
        <v>1</v>
      </c>
      <c r="E675" t="s">
        <v>3886</v>
      </c>
      <c r="F675">
        <v>1</v>
      </c>
      <c r="G675">
        <v>0</v>
      </c>
      <c r="H675" t="s">
        <v>66</v>
      </c>
      <c r="I675">
        <v>0</v>
      </c>
      <c r="J675" t="s">
        <v>66</v>
      </c>
      <c r="K675">
        <v>1</v>
      </c>
      <c r="L675" t="s">
        <v>1627</v>
      </c>
      <c r="M675" t="s">
        <v>4204</v>
      </c>
      <c r="N675">
        <v>1</v>
      </c>
      <c r="O675" t="s">
        <v>1627</v>
      </c>
      <c r="P675" t="s">
        <v>4953</v>
      </c>
      <c r="Q675">
        <v>0</v>
      </c>
      <c r="R675" t="s">
        <v>66</v>
      </c>
      <c r="S675" t="s">
        <v>56</v>
      </c>
      <c r="T675" t="s">
        <v>56</v>
      </c>
      <c r="U675" t="s">
        <v>56</v>
      </c>
      <c r="V675" t="s">
        <v>56</v>
      </c>
      <c r="W675">
        <v>0</v>
      </c>
      <c r="X675" t="s">
        <v>66</v>
      </c>
      <c r="Y675" t="s">
        <v>56</v>
      </c>
      <c r="Z675">
        <v>0</v>
      </c>
      <c r="AA675" t="s">
        <v>66</v>
      </c>
      <c r="AB675" t="s">
        <v>56</v>
      </c>
      <c r="AC675">
        <v>0</v>
      </c>
      <c r="AD675" t="s">
        <v>66</v>
      </c>
      <c r="AE675" t="s">
        <v>56</v>
      </c>
      <c r="AF675">
        <v>0</v>
      </c>
      <c r="AG675" t="s">
        <v>66</v>
      </c>
      <c r="AH675" t="s">
        <v>56</v>
      </c>
      <c r="AI675">
        <v>1</v>
      </c>
      <c r="AJ675" t="s">
        <v>1627</v>
      </c>
      <c r="AK675" t="s">
        <v>56</v>
      </c>
      <c r="AL675" t="s">
        <v>56</v>
      </c>
      <c r="AM675" t="s">
        <v>56</v>
      </c>
      <c r="AN675" t="s">
        <v>56</v>
      </c>
      <c r="AO675" t="s">
        <v>5667</v>
      </c>
      <c r="AP675" t="s">
        <v>5668</v>
      </c>
      <c r="AQ675" t="s">
        <v>5669</v>
      </c>
      <c r="AR675" t="s">
        <v>4071</v>
      </c>
      <c r="AS675" t="s">
        <v>4072</v>
      </c>
      <c r="AT675" t="s">
        <v>5665</v>
      </c>
      <c r="AU675" t="s">
        <v>3944</v>
      </c>
      <c r="AV675" t="s">
        <v>3945</v>
      </c>
      <c r="AW675" t="s">
        <v>3946</v>
      </c>
      <c r="AX675">
        <v>24</v>
      </c>
      <c r="AY675">
        <v>2</v>
      </c>
      <c r="AZ675" t="s">
        <v>3897</v>
      </c>
      <c r="BA675">
        <v>10</v>
      </c>
      <c r="BB675" t="s">
        <v>3898</v>
      </c>
      <c r="BC675">
        <v>2</v>
      </c>
      <c r="BD675">
        <v>5</v>
      </c>
      <c r="BE675" t="s">
        <v>3899</v>
      </c>
      <c r="BF675">
        <v>2</v>
      </c>
      <c r="BG675">
        <v>13</v>
      </c>
      <c r="BH675" t="s">
        <v>3900</v>
      </c>
      <c r="BI675" t="s">
        <v>5666</v>
      </c>
      <c r="BJ675">
        <v>1</v>
      </c>
      <c r="BK675" t="s">
        <v>3902</v>
      </c>
    </row>
    <row r="676" spans="1:63" x14ac:dyDescent="0.25">
      <c r="A676">
        <v>4452</v>
      </c>
      <c r="B676" t="str">
        <f>"20200129139017121926"</f>
        <v>20200129139017121926</v>
      </c>
      <c r="C676">
        <v>3</v>
      </c>
      <c r="D676">
        <v>1</v>
      </c>
      <c r="E676" t="s">
        <v>3886</v>
      </c>
      <c r="F676">
        <v>1</v>
      </c>
      <c r="G676">
        <v>0</v>
      </c>
      <c r="H676" t="s">
        <v>66</v>
      </c>
      <c r="I676">
        <v>0</v>
      </c>
      <c r="J676" t="s">
        <v>66</v>
      </c>
      <c r="K676">
        <v>1</v>
      </c>
      <c r="L676" t="s">
        <v>1627</v>
      </c>
      <c r="M676" t="s">
        <v>4511</v>
      </c>
      <c r="N676">
        <v>1</v>
      </c>
      <c r="O676" t="s">
        <v>1627</v>
      </c>
      <c r="P676" t="s">
        <v>4953</v>
      </c>
      <c r="Q676">
        <v>0</v>
      </c>
      <c r="R676" t="s">
        <v>66</v>
      </c>
      <c r="S676" t="s">
        <v>56</v>
      </c>
      <c r="T676" t="s">
        <v>56</v>
      </c>
      <c r="U676" t="s">
        <v>56</v>
      </c>
      <c r="V676" t="s">
        <v>56</v>
      </c>
      <c r="W676">
        <v>0</v>
      </c>
      <c r="X676" t="s">
        <v>66</v>
      </c>
      <c r="Y676" t="s">
        <v>56</v>
      </c>
      <c r="Z676">
        <v>0</v>
      </c>
      <c r="AA676" t="s">
        <v>66</v>
      </c>
      <c r="AB676" t="s">
        <v>56</v>
      </c>
      <c r="AC676">
        <v>0</v>
      </c>
      <c r="AD676" t="s">
        <v>66</v>
      </c>
      <c r="AE676" t="s">
        <v>56</v>
      </c>
      <c r="AF676">
        <v>0</v>
      </c>
      <c r="AG676" t="s">
        <v>66</v>
      </c>
      <c r="AH676" t="s">
        <v>56</v>
      </c>
      <c r="AI676">
        <v>1</v>
      </c>
      <c r="AJ676" t="s">
        <v>1627</v>
      </c>
      <c r="AK676" t="s">
        <v>56</v>
      </c>
      <c r="AL676" t="s">
        <v>56</v>
      </c>
      <c r="AM676" t="s">
        <v>56</v>
      </c>
      <c r="AN676" t="s">
        <v>56</v>
      </c>
      <c r="AO676" t="s">
        <v>5670</v>
      </c>
      <c r="AP676" t="s">
        <v>4283</v>
      </c>
      <c r="AQ676" t="s">
        <v>4284</v>
      </c>
      <c r="AR676" t="s">
        <v>4071</v>
      </c>
      <c r="AS676" t="s">
        <v>4072</v>
      </c>
      <c r="AT676" t="s">
        <v>5665</v>
      </c>
      <c r="AU676" t="s">
        <v>3944</v>
      </c>
      <c r="AV676" t="s">
        <v>3945</v>
      </c>
      <c r="AW676" t="s">
        <v>3946</v>
      </c>
      <c r="AX676">
        <v>24</v>
      </c>
      <c r="AY676">
        <v>2</v>
      </c>
      <c r="AZ676" t="s">
        <v>3897</v>
      </c>
      <c r="BA676">
        <v>10</v>
      </c>
      <c r="BB676" t="s">
        <v>3898</v>
      </c>
      <c r="BC676">
        <v>2</v>
      </c>
      <c r="BD676">
        <v>5</v>
      </c>
      <c r="BE676" t="s">
        <v>3899</v>
      </c>
      <c r="BF676">
        <v>4</v>
      </c>
      <c r="BG676">
        <v>73</v>
      </c>
      <c r="BH676" t="s">
        <v>3999</v>
      </c>
      <c r="BI676" t="s">
        <v>5671</v>
      </c>
      <c r="BJ676">
        <v>1</v>
      </c>
      <c r="BK676" t="s">
        <v>3902</v>
      </c>
    </row>
    <row r="677" spans="1:63" x14ac:dyDescent="0.25">
      <c r="A677">
        <v>4453</v>
      </c>
      <c r="B677" t="str">
        <f>"20200129188017122162"</f>
        <v>20200129188017122162</v>
      </c>
      <c r="C677">
        <v>1</v>
      </c>
      <c r="D677">
        <v>1</v>
      </c>
      <c r="E677" t="s">
        <v>3886</v>
      </c>
      <c r="F677">
        <v>2</v>
      </c>
      <c r="G677">
        <v>0</v>
      </c>
      <c r="H677" t="s">
        <v>66</v>
      </c>
      <c r="I677">
        <v>0</v>
      </c>
      <c r="J677" t="s">
        <v>66</v>
      </c>
      <c r="K677">
        <v>1</v>
      </c>
      <c r="L677" t="s">
        <v>1627</v>
      </c>
      <c r="M677" t="s">
        <v>4236</v>
      </c>
      <c r="N677">
        <v>1</v>
      </c>
      <c r="O677" t="s">
        <v>1627</v>
      </c>
      <c r="P677" t="s">
        <v>4237</v>
      </c>
      <c r="Q677">
        <v>0</v>
      </c>
      <c r="R677" t="s">
        <v>66</v>
      </c>
      <c r="S677" t="s">
        <v>56</v>
      </c>
      <c r="T677" t="s">
        <v>56</v>
      </c>
      <c r="U677" t="s">
        <v>56</v>
      </c>
      <c r="V677" t="s">
        <v>56</v>
      </c>
      <c r="W677">
        <v>0</v>
      </c>
      <c r="X677" t="s">
        <v>66</v>
      </c>
      <c r="Y677" t="s">
        <v>56</v>
      </c>
      <c r="Z677">
        <v>0</v>
      </c>
      <c r="AA677" t="s">
        <v>66</v>
      </c>
      <c r="AB677" t="s">
        <v>56</v>
      </c>
      <c r="AC677">
        <v>0</v>
      </c>
      <c r="AD677" t="s">
        <v>66</v>
      </c>
      <c r="AE677" t="s">
        <v>56</v>
      </c>
      <c r="AF677">
        <v>0</v>
      </c>
      <c r="AG677" t="s">
        <v>66</v>
      </c>
      <c r="AH677" t="s">
        <v>56</v>
      </c>
      <c r="AI677">
        <v>1</v>
      </c>
      <c r="AJ677" t="s">
        <v>1627</v>
      </c>
      <c r="AK677" t="s">
        <v>56</v>
      </c>
      <c r="AL677" t="s">
        <v>56</v>
      </c>
      <c r="AM677" t="s">
        <v>56</v>
      </c>
      <c r="AN677" t="s">
        <v>56</v>
      </c>
      <c r="AO677" t="s">
        <v>4076</v>
      </c>
      <c r="AP677" t="s">
        <v>3962</v>
      </c>
      <c r="AQ677" t="s">
        <v>3963</v>
      </c>
      <c r="AR677" t="s">
        <v>3941</v>
      </c>
      <c r="AS677" t="s">
        <v>3942</v>
      </c>
      <c r="AT677" t="s">
        <v>5672</v>
      </c>
      <c r="AU677">
        <v>9000</v>
      </c>
      <c r="AV677" t="s">
        <v>3956</v>
      </c>
      <c r="AW677" t="s">
        <v>3956</v>
      </c>
      <c r="AX677">
        <v>12</v>
      </c>
      <c r="AY677">
        <v>2</v>
      </c>
      <c r="AZ677" t="s">
        <v>3897</v>
      </c>
      <c r="BA677">
        <v>10</v>
      </c>
      <c r="BB677" t="s">
        <v>3898</v>
      </c>
      <c r="BC677">
        <v>180</v>
      </c>
      <c r="BD677">
        <v>3</v>
      </c>
      <c r="BE677" t="s">
        <v>3911</v>
      </c>
      <c r="BF677">
        <v>360</v>
      </c>
      <c r="BG677">
        <v>66</v>
      </c>
      <c r="BH677" t="s">
        <v>3965</v>
      </c>
      <c r="BI677" t="s">
        <v>4240</v>
      </c>
      <c r="BJ677">
        <v>1</v>
      </c>
      <c r="BK677" t="s">
        <v>3902</v>
      </c>
    </row>
    <row r="678" spans="1:63" x14ac:dyDescent="0.25">
      <c r="A678">
        <v>4454</v>
      </c>
      <c r="B678" t="str">
        <f>"20200129145017122495"</f>
        <v>20200129145017122495</v>
      </c>
      <c r="C678">
        <v>1</v>
      </c>
      <c r="D678">
        <v>1</v>
      </c>
      <c r="E678" t="s">
        <v>3886</v>
      </c>
      <c r="F678">
        <v>2</v>
      </c>
      <c r="G678">
        <v>0</v>
      </c>
      <c r="H678" t="s">
        <v>66</v>
      </c>
      <c r="I678">
        <v>0</v>
      </c>
      <c r="J678" t="s">
        <v>66</v>
      </c>
      <c r="K678">
        <v>0</v>
      </c>
      <c r="L678" t="s">
        <v>66</v>
      </c>
      <c r="M678" t="s">
        <v>56</v>
      </c>
      <c r="N678">
        <v>0</v>
      </c>
      <c r="O678" t="s">
        <v>66</v>
      </c>
      <c r="P678" t="s">
        <v>56</v>
      </c>
      <c r="Q678">
        <v>0</v>
      </c>
      <c r="R678" t="s">
        <v>66</v>
      </c>
      <c r="S678" t="s">
        <v>56</v>
      </c>
      <c r="T678">
        <v>1</v>
      </c>
      <c r="U678" t="s">
        <v>1627</v>
      </c>
      <c r="V678" t="s">
        <v>56</v>
      </c>
      <c r="W678">
        <v>0</v>
      </c>
      <c r="X678" t="s">
        <v>66</v>
      </c>
      <c r="Y678" t="s">
        <v>56</v>
      </c>
      <c r="Z678">
        <v>0</v>
      </c>
      <c r="AA678" t="s">
        <v>66</v>
      </c>
      <c r="AB678" t="s">
        <v>56</v>
      </c>
      <c r="AC678">
        <v>1</v>
      </c>
      <c r="AD678" t="s">
        <v>1627</v>
      </c>
      <c r="AE678" t="s">
        <v>3887</v>
      </c>
      <c r="AF678">
        <v>0</v>
      </c>
      <c r="AG678" t="s">
        <v>66</v>
      </c>
      <c r="AH678" t="s">
        <v>56</v>
      </c>
      <c r="AI678">
        <v>1</v>
      </c>
      <c r="AJ678" t="s">
        <v>1627</v>
      </c>
      <c r="AK678" t="s">
        <v>56</v>
      </c>
      <c r="AL678" t="s">
        <v>56</v>
      </c>
      <c r="AM678" t="s">
        <v>56</v>
      </c>
      <c r="AN678" t="s">
        <v>56</v>
      </c>
      <c r="AO678" t="s">
        <v>5673</v>
      </c>
      <c r="AP678" t="s">
        <v>3889</v>
      </c>
      <c r="AQ678" t="s">
        <v>3890</v>
      </c>
      <c r="AR678" t="s">
        <v>3926</v>
      </c>
      <c r="AS678" t="s">
        <v>3927</v>
      </c>
      <c r="AT678" t="s">
        <v>5049</v>
      </c>
      <c r="AU678" t="s">
        <v>3894</v>
      </c>
      <c r="AV678" t="s">
        <v>3895</v>
      </c>
      <c r="AW678" t="s">
        <v>3896</v>
      </c>
      <c r="AX678">
        <v>2</v>
      </c>
      <c r="AY678">
        <v>2</v>
      </c>
      <c r="AZ678" t="s">
        <v>3897</v>
      </c>
      <c r="BA678">
        <v>10</v>
      </c>
      <c r="BB678" t="s">
        <v>3898</v>
      </c>
      <c r="BC678">
        <v>10</v>
      </c>
      <c r="BD678">
        <v>3</v>
      </c>
      <c r="BE678" t="s">
        <v>3911</v>
      </c>
      <c r="BF678">
        <v>2</v>
      </c>
      <c r="BG678">
        <v>13</v>
      </c>
      <c r="BH678" t="s">
        <v>3900</v>
      </c>
      <c r="BI678" t="s">
        <v>5674</v>
      </c>
      <c r="BJ678">
        <v>1</v>
      </c>
      <c r="BK678" t="s">
        <v>3902</v>
      </c>
    </row>
    <row r="679" spans="1:63" x14ac:dyDescent="0.25">
      <c r="A679">
        <v>4455</v>
      </c>
      <c r="B679" t="str">
        <f>"20200129130017122658"</f>
        <v>20200129130017122658</v>
      </c>
      <c r="C679">
        <v>1</v>
      </c>
      <c r="D679">
        <v>1</v>
      </c>
      <c r="E679" t="s">
        <v>3886</v>
      </c>
      <c r="F679">
        <v>1</v>
      </c>
      <c r="G679">
        <v>0</v>
      </c>
      <c r="H679" t="s">
        <v>66</v>
      </c>
      <c r="I679">
        <v>0</v>
      </c>
      <c r="J679" t="s">
        <v>66</v>
      </c>
      <c r="K679">
        <v>0</v>
      </c>
      <c r="L679" t="s">
        <v>66</v>
      </c>
      <c r="M679" t="s">
        <v>56</v>
      </c>
      <c r="N679">
        <v>0</v>
      </c>
      <c r="O679" t="s">
        <v>66</v>
      </c>
      <c r="P679" t="s">
        <v>56</v>
      </c>
      <c r="Q679">
        <v>0</v>
      </c>
      <c r="R679" t="s">
        <v>66</v>
      </c>
      <c r="S679" t="s">
        <v>56</v>
      </c>
      <c r="T679">
        <v>1</v>
      </c>
      <c r="U679" t="s">
        <v>1627</v>
      </c>
      <c r="V679" t="s">
        <v>56</v>
      </c>
      <c r="W679">
        <v>0</v>
      </c>
      <c r="X679" t="s">
        <v>66</v>
      </c>
      <c r="Y679" t="s">
        <v>56</v>
      </c>
      <c r="Z679">
        <v>0</v>
      </c>
      <c r="AA679" t="s">
        <v>66</v>
      </c>
      <c r="AB679" t="s">
        <v>56</v>
      </c>
      <c r="AC679">
        <v>1</v>
      </c>
      <c r="AD679" t="s">
        <v>1627</v>
      </c>
      <c r="AE679" t="s">
        <v>3887</v>
      </c>
      <c r="AF679">
        <v>0</v>
      </c>
      <c r="AG679" t="s">
        <v>66</v>
      </c>
      <c r="AH679" t="s">
        <v>56</v>
      </c>
      <c r="AI679">
        <v>1</v>
      </c>
      <c r="AJ679" t="s">
        <v>1627</v>
      </c>
      <c r="AK679" t="s">
        <v>56</v>
      </c>
      <c r="AL679" t="s">
        <v>56</v>
      </c>
      <c r="AM679" t="s">
        <v>56</v>
      </c>
      <c r="AN679" t="s">
        <v>56</v>
      </c>
      <c r="AO679" t="s">
        <v>5543</v>
      </c>
      <c r="AP679" t="s">
        <v>3889</v>
      </c>
      <c r="AQ679" t="s">
        <v>3890</v>
      </c>
      <c r="AR679" t="s">
        <v>3941</v>
      </c>
      <c r="AS679" t="s">
        <v>3942</v>
      </c>
      <c r="AT679" t="s">
        <v>5675</v>
      </c>
      <c r="AU679" t="s">
        <v>4213</v>
      </c>
      <c r="AV679" t="s">
        <v>4214</v>
      </c>
      <c r="AW679" t="s">
        <v>4215</v>
      </c>
      <c r="AX679">
        <v>12</v>
      </c>
      <c r="AY679">
        <v>2</v>
      </c>
      <c r="AZ679" t="s">
        <v>3897</v>
      </c>
      <c r="BA679">
        <v>10</v>
      </c>
      <c r="BB679" t="s">
        <v>3898</v>
      </c>
      <c r="BC679">
        <v>10</v>
      </c>
      <c r="BD679">
        <v>3</v>
      </c>
      <c r="BE679" t="s">
        <v>3911</v>
      </c>
      <c r="BF679">
        <v>1</v>
      </c>
      <c r="BG679">
        <v>13</v>
      </c>
      <c r="BH679" t="s">
        <v>3900</v>
      </c>
      <c r="BI679" t="s">
        <v>5676</v>
      </c>
      <c r="BJ679">
        <v>1</v>
      </c>
      <c r="BK679" t="s">
        <v>3902</v>
      </c>
    </row>
    <row r="680" spans="1:63" x14ac:dyDescent="0.25">
      <c r="A680">
        <v>4456</v>
      </c>
      <c r="B680" t="str">
        <f>"20200129170017124758"</f>
        <v>20200129170017124758</v>
      </c>
      <c r="C680">
        <v>1</v>
      </c>
      <c r="D680">
        <v>1</v>
      </c>
      <c r="E680" t="s">
        <v>3886</v>
      </c>
      <c r="F680">
        <v>2</v>
      </c>
      <c r="G680">
        <v>0</v>
      </c>
      <c r="H680" t="s">
        <v>66</v>
      </c>
      <c r="I680">
        <v>0</v>
      </c>
      <c r="J680" t="s">
        <v>66</v>
      </c>
      <c r="K680">
        <v>0</v>
      </c>
      <c r="L680" t="s">
        <v>66</v>
      </c>
      <c r="M680" t="s">
        <v>56</v>
      </c>
      <c r="N680">
        <v>0</v>
      </c>
      <c r="O680" t="s">
        <v>66</v>
      </c>
      <c r="P680" t="s">
        <v>56</v>
      </c>
      <c r="Q680">
        <v>0</v>
      </c>
      <c r="R680" t="s">
        <v>66</v>
      </c>
      <c r="S680" t="s">
        <v>56</v>
      </c>
      <c r="T680">
        <v>1</v>
      </c>
      <c r="U680" t="s">
        <v>1627</v>
      </c>
      <c r="V680" t="s">
        <v>56</v>
      </c>
      <c r="W680">
        <v>0</v>
      </c>
      <c r="X680" t="s">
        <v>66</v>
      </c>
      <c r="Y680" t="s">
        <v>56</v>
      </c>
      <c r="Z680">
        <v>0</v>
      </c>
      <c r="AA680" t="s">
        <v>66</v>
      </c>
      <c r="AB680" t="s">
        <v>56</v>
      </c>
      <c r="AC680">
        <v>1</v>
      </c>
      <c r="AD680" t="s">
        <v>1627</v>
      </c>
      <c r="AE680" t="s">
        <v>3887</v>
      </c>
      <c r="AF680">
        <v>0</v>
      </c>
      <c r="AG680" t="s">
        <v>66</v>
      </c>
      <c r="AH680" t="s">
        <v>56</v>
      </c>
      <c r="AI680">
        <v>1</v>
      </c>
      <c r="AJ680" t="s">
        <v>1627</v>
      </c>
      <c r="AK680" t="s">
        <v>56</v>
      </c>
      <c r="AL680" t="s">
        <v>56</v>
      </c>
      <c r="AM680" t="s">
        <v>56</v>
      </c>
      <c r="AN680" t="s">
        <v>56</v>
      </c>
      <c r="AO680" t="s">
        <v>4421</v>
      </c>
      <c r="AP680" t="s">
        <v>3889</v>
      </c>
      <c r="AQ680" t="s">
        <v>3890</v>
      </c>
      <c r="AR680" t="s">
        <v>3941</v>
      </c>
      <c r="AS680" t="s">
        <v>3942</v>
      </c>
      <c r="AT680" t="s">
        <v>5677</v>
      </c>
      <c r="AU680">
        <v>9000</v>
      </c>
      <c r="AV680" t="s">
        <v>3956</v>
      </c>
      <c r="AW680" t="s">
        <v>3956</v>
      </c>
      <c r="AX680">
        <v>24</v>
      </c>
      <c r="AY680">
        <v>2</v>
      </c>
      <c r="AZ680" t="s">
        <v>3897</v>
      </c>
      <c r="BA680">
        <v>6</v>
      </c>
      <c r="BB680" t="s">
        <v>4971</v>
      </c>
      <c r="BC680">
        <v>60</v>
      </c>
      <c r="BD680">
        <v>3</v>
      </c>
      <c r="BE680" t="s">
        <v>3911</v>
      </c>
      <c r="BF680">
        <v>60</v>
      </c>
      <c r="BG680" t="s">
        <v>3912</v>
      </c>
      <c r="BH680" t="s">
        <v>3913</v>
      </c>
      <c r="BI680" t="s">
        <v>5678</v>
      </c>
      <c r="BJ680">
        <v>1</v>
      </c>
      <c r="BK680" t="s">
        <v>3902</v>
      </c>
    </row>
    <row r="681" spans="1:63" x14ac:dyDescent="0.25">
      <c r="A681">
        <v>4457</v>
      </c>
      <c r="B681" t="str">
        <f>"20200129186017125161"</f>
        <v>20200129186017125161</v>
      </c>
      <c r="C681">
        <v>1</v>
      </c>
      <c r="D681">
        <v>1</v>
      </c>
      <c r="E681" t="s">
        <v>3886</v>
      </c>
      <c r="F681">
        <v>1</v>
      </c>
      <c r="G681">
        <v>0</v>
      </c>
      <c r="H681" t="s">
        <v>66</v>
      </c>
      <c r="I681">
        <v>0</v>
      </c>
      <c r="J681" t="s">
        <v>66</v>
      </c>
      <c r="K681">
        <v>0</v>
      </c>
      <c r="L681" t="s">
        <v>66</v>
      </c>
      <c r="M681" t="s">
        <v>56</v>
      </c>
      <c r="N681">
        <v>0</v>
      </c>
      <c r="O681" t="s">
        <v>66</v>
      </c>
      <c r="P681" t="s">
        <v>56</v>
      </c>
      <c r="Q681">
        <v>0</v>
      </c>
      <c r="R681" t="s">
        <v>66</v>
      </c>
      <c r="S681" t="s">
        <v>56</v>
      </c>
      <c r="T681">
        <v>1</v>
      </c>
      <c r="U681" t="s">
        <v>1627</v>
      </c>
      <c r="V681" t="s">
        <v>56</v>
      </c>
      <c r="W681">
        <v>0</v>
      </c>
      <c r="X681" t="s">
        <v>66</v>
      </c>
      <c r="Y681" t="s">
        <v>56</v>
      </c>
      <c r="Z681">
        <v>0</v>
      </c>
      <c r="AA681" t="s">
        <v>66</v>
      </c>
      <c r="AB681" t="s">
        <v>56</v>
      </c>
      <c r="AC681">
        <v>1</v>
      </c>
      <c r="AD681" t="s">
        <v>1627</v>
      </c>
      <c r="AE681" t="s">
        <v>3887</v>
      </c>
      <c r="AF681">
        <v>0</v>
      </c>
      <c r="AG681" t="s">
        <v>66</v>
      </c>
      <c r="AH681" t="s">
        <v>56</v>
      </c>
      <c r="AI681">
        <v>1</v>
      </c>
      <c r="AJ681" t="s">
        <v>1627</v>
      </c>
      <c r="AK681" t="s">
        <v>56</v>
      </c>
      <c r="AL681" t="s">
        <v>56</v>
      </c>
      <c r="AM681" t="s">
        <v>56</v>
      </c>
      <c r="AN681" t="s">
        <v>56</v>
      </c>
      <c r="AO681" t="s">
        <v>3992</v>
      </c>
      <c r="AP681" t="s">
        <v>3889</v>
      </c>
      <c r="AQ681" t="s">
        <v>3890</v>
      </c>
      <c r="AR681" t="s">
        <v>3926</v>
      </c>
      <c r="AS681" t="s">
        <v>3927</v>
      </c>
      <c r="AT681" t="s">
        <v>5679</v>
      </c>
      <c r="AU681" t="s">
        <v>3894</v>
      </c>
      <c r="AV681" t="s">
        <v>3895</v>
      </c>
      <c r="AW681" t="s">
        <v>3896</v>
      </c>
      <c r="AX681">
        <v>12</v>
      </c>
      <c r="AY681">
        <v>2</v>
      </c>
      <c r="AZ681" t="s">
        <v>3897</v>
      </c>
      <c r="BA681">
        <v>10</v>
      </c>
      <c r="BB681" t="s">
        <v>3898</v>
      </c>
      <c r="BC681">
        <v>3</v>
      </c>
      <c r="BD681">
        <v>5</v>
      </c>
      <c r="BE681" t="s">
        <v>3899</v>
      </c>
      <c r="BF681">
        <v>4</v>
      </c>
      <c r="BG681">
        <v>13</v>
      </c>
      <c r="BH681" t="s">
        <v>3900</v>
      </c>
      <c r="BI681" t="s">
        <v>5680</v>
      </c>
      <c r="BJ681">
        <v>1</v>
      </c>
      <c r="BK681" t="s">
        <v>3902</v>
      </c>
    </row>
    <row r="682" spans="1:63" x14ac:dyDescent="0.25">
      <c r="A682">
        <v>4458</v>
      </c>
      <c r="B682" t="str">
        <f>"20200129185017126132"</f>
        <v>20200129185017126132</v>
      </c>
      <c r="C682">
        <v>1</v>
      </c>
      <c r="D682">
        <v>1</v>
      </c>
      <c r="E682" t="s">
        <v>3886</v>
      </c>
      <c r="F682">
        <v>2</v>
      </c>
      <c r="G682">
        <v>0</v>
      </c>
      <c r="H682" t="s">
        <v>66</v>
      </c>
      <c r="I682">
        <v>0</v>
      </c>
      <c r="J682" t="s">
        <v>66</v>
      </c>
      <c r="K682">
        <v>0</v>
      </c>
      <c r="L682" t="s">
        <v>66</v>
      </c>
      <c r="M682" t="s">
        <v>56</v>
      </c>
      <c r="N682">
        <v>0</v>
      </c>
      <c r="O682" t="s">
        <v>66</v>
      </c>
      <c r="P682" t="s">
        <v>56</v>
      </c>
      <c r="Q682">
        <v>0</v>
      </c>
      <c r="R682" t="s">
        <v>66</v>
      </c>
      <c r="S682" t="s">
        <v>56</v>
      </c>
      <c r="T682">
        <v>1</v>
      </c>
      <c r="U682" t="s">
        <v>1627</v>
      </c>
      <c r="V682" t="s">
        <v>56</v>
      </c>
      <c r="W682">
        <v>0</v>
      </c>
      <c r="X682" t="s">
        <v>66</v>
      </c>
      <c r="Y682" t="s">
        <v>56</v>
      </c>
      <c r="Z682">
        <v>0</v>
      </c>
      <c r="AA682" t="s">
        <v>66</v>
      </c>
      <c r="AB682" t="s">
        <v>56</v>
      </c>
      <c r="AC682">
        <v>1</v>
      </c>
      <c r="AD682" t="s">
        <v>1627</v>
      </c>
      <c r="AE682" t="s">
        <v>3887</v>
      </c>
      <c r="AF682">
        <v>0</v>
      </c>
      <c r="AG682" t="s">
        <v>66</v>
      </c>
      <c r="AH682" t="s">
        <v>56</v>
      </c>
      <c r="AI682">
        <v>1</v>
      </c>
      <c r="AJ682" t="s">
        <v>1627</v>
      </c>
      <c r="AK682" t="s">
        <v>56</v>
      </c>
      <c r="AL682" t="s">
        <v>56</v>
      </c>
      <c r="AM682" t="s">
        <v>56</v>
      </c>
      <c r="AN682" t="s">
        <v>56</v>
      </c>
      <c r="AO682" t="s">
        <v>5681</v>
      </c>
      <c r="AP682" t="s">
        <v>3889</v>
      </c>
      <c r="AQ682" t="s">
        <v>3890</v>
      </c>
      <c r="AR682" t="s">
        <v>3926</v>
      </c>
      <c r="AS682" t="s">
        <v>3927</v>
      </c>
      <c r="AT682" t="s">
        <v>4780</v>
      </c>
      <c r="AU682" t="s">
        <v>3894</v>
      </c>
      <c r="AV682" t="s">
        <v>3895</v>
      </c>
      <c r="AW682" t="s">
        <v>3896</v>
      </c>
      <c r="AX682">
        <v>12</v>
      </c>
      <c r="AY682">
        <v>2</v>
      </c>
      <c r="AZ682" t="s">
        <v>3897</v>
      </c>
      <c r="BA682">
        <v>10</v>
      </c>
      <c r="BB682" t="s">
        <v>3898</v>
      </c>
      <c r="BC682">
        <v>3</v>
      </c>
      <c r="BD682">
        <v>5</v>
      </c>
      <c r="BE682" t="s">
        <v>3899</v>
      </c>
      <c r="BF682">
        <v>6</v>
      </c>
      <c r="BG682">
        <v>13</v>
      </c>
      <c r="BH682" t="s">
        <v>3900</v>
      </c>
      <c r="BI682" t="s">
        <v>5682</v>
      </c>
      <c r="BJ682">
        <v>1</v>
      </c>
      <c r="BK682" t="s">
        <v>3902</v>
      </c>
    </row>
    <row r="683" spans="1:63" x14ac:dyDescent="0.25">
      <c r="A683">
        <v>4459</v>
      </c>
      <c r="B683" t="str">
        <f>"20200129159017126171"</f>
        <v>20200129159017126171</v>
      </c>
      <c r="C683">
        <v>1</v>
      </c>
      <c r="D683">
        <v>1</v>
      </c>
      <c r="E683" t="s">
        <v>3886</v>
      </c>
      <c r="F683">
        <v>2</v>
      </c>
      <c r="G683">
        <v>0</v>
      </c>
      <c r="H683" t="s">
        <v>66</v>
      </c>
      <c r="I683">
        <v>0</v>
      </c>
      <c r="J683" t="s">
        <v>66</v>
      </c>
      <c r="K683">
        <v>0</v>
      </c>
      <c r="L683" t="s">
        <v>66</v>
      </c>
      <c r="M683" t="s">
        <v>56</v>
      </c>
      <c r="N683">
        <v>0</v>
      </c>
      <c r="O683" t="s">
        <v>66</v>
      </c>
      <c r="P683" t="s">
        <v>56</v>
      </c>
      <c r="Q683">
        <v>0</v>
      </c>
      <c r="R683" t="s">
        <v>66</v>
      </c>
      <c r="S683" t="s">
        <v>56</v>
      </c>
      <c r="T683">
        <v>1</v>
      </c>
      <c r="U683" t="s">
        <v>1627</v>
      </c>
      <c r="V683" t="s">
        <v>4181</v>
      </c>
      <c r="W683">
        <v>0</v>
      </c>
      <c r="X683" t="s">
        <v>66</v>
      </c>
      <c r="Y683" t="s">
        <v>56</v>
      </c>
      <c r="Z683">
        <v>0</v>
      </c>
      <c r="AA683" t="s">
        <v>66</v>
      </c>
      <c r="AB683" t="s">
        <v>56</v>
      </c>
      <c r="AC683">
        <v>1</v>
      </c>
      <c r="AD683" t="s">
        <v>1627</v>
      </c>
      <c r="AE683" t="s">
        <v>3887</v>
      </c>
      <c r="AF683">
        <v>0</v>
      </c>
      <c r="AG683" t="s">
        <v>66</v>
      </c>
      <c r="AH683" t="s">
        <v>56</v>
      </c>
      <c r="AI683">
        <v>1</v>
      </c>
      <c r="AJ683" t="s">
        <v>1627</v>
      </c>
      <c r="AK683">
        <v>0</v>
      </c>
      <c r="AL683" t="s">
        <v>66</v>
      </c>
      <c r="AM683" t="s">
        <v>56</v>
      </c>
      <c r="AN683" t="s">
        <v>56</v>
      </c>
      <c r="AO683" t="s">
        <v>5683</v>
      </c>
      <c r="AP683" t="s">
        <v>3971</v>
      </c>
      <c r="AQ683" t="s">
        <v>3972</v>
      </c>
      <c r="AR683" t="s">
        <v>3904</v>
      </c>
      <c r="AS683" t="s">
        <v>3905</v>
      </c>
      <c r="AT683" t="s">
        <v>5684</v>
      </c>
      <c r="AU683" t="s">
        <v>3944</v>
      </c>
      <c r="AV683" t="s">
        <v>3945</v>
      </c>
      <c r="AW683" t="s">
        <v>3946</v>
      </c>
      <c r="AX683">
        <v>8</v>
      </c>
      <c r="AY683">
        <v>4</v>
      </c>
      <c r="AZ683" t="s">
        <v>4302</v>
      </c>
      <c r="BA683">
        <v>10</v>
      </c>
      <c r="BB683" t="s">
        <v>3898</v>
      </c>
      <c r="BC683">
        <v>6</v>
      </c>
      <c r="BD683">
        <v>5</v>
      </c>
      <c r="BE683" t="s">
        <v>3899</v>
      </c>
      <c r="BF683">
        <v>12</v>
      </c>
      <c r="BG683" t="s">
        <v>3912</v>
      </c>
      <c r="BH683" t="s">
        <v>3913</v>
      </c>
      <c r="BI683" t="s">
        <v>5685</v>
      </c>
      <c r="BJ683">
        <v>1</v>
      </c>
      <c r="BK683" t="s">
        <v>3902</v>
      </c>
    </row>
    <row r="684" spans="1:63" x14ac:dyDescent="0.25">
      <c r="A684">
        <v>4460</v>
      </c>
      <c r="B684" t="str">
        <f>"20200129159017126171"</f>
        <v>20200129159017126171</v>
      </c>
      <c r="C684">
        <v>2</v>
      </c>
      <c r="D684">
        <v>1</v>
      </c>
      <c r="E684" t="s">
        <v>3886</v>
      </c>
      <c r="F684">
        <v>2</v>
      </c>
      <c r="G684">
        <v>0</v>
      </c>
      <c r="H684" t="s">
        <v>66</v>
      </c>
      <c r="I684">
        <v>0</v>
      </c>
      <c r="J684" t="s">
        <v>66</v>
      </c>
      <c r="K684">
        <v>1</v>
      </c>
      <c r="L684" t="s">
        <v>1627</v>
      </c>
      <c r="M684" t="s">
        <v>4181</v>
      </c>
      <c r="N684">
        <v>1</v>
      </c>
      <c r="O684" t="s">
        <v>1627</v>
      </c>
      <c r="P684" t="s">
        <v>5686</v>
      </c>
      <c r="Q684">
        <v>0</v>
      </c>
      <c r="R684" t="s">
        <v>66</v>
      </c>
      <c r="S684" t="s">
        <v>56</v>
      </c>
      <c r="T684" t="s">
        <v>56</v>
      </c>
      <c r="U684" t="s">
        <v>56</v>
      </c>
      <c r="V684" t="s">
        <v>56</v>
      </c>
      <c r="W684">
        <v>0</v>
      </c>
      <c r="X684" t="s">
        <v>66</v>
      </c>
      <c r="Y684" t="s">
        <v>56</v>
      </c>
      <c r="Z684">
        <v>0</v>
      </c>
      <c r="AA684" t="s">
        <v>66</v>
      </c>
      <c r="AB684" t="s">
        <v>56</v>
      </c>
      <c r="AC684">
        <v>0</v>
      </c>
      <c r="AD684" t="s">
        <v>66</v>
      </c>
      <c r="AE684" t="s">
        <v>56</v>
      </c>
      <c r="AF684">
        <v>0</v>
      </c>
      <c r="AG684" t="s">
        <v>66</v>
      </c>
      <c r="AH684" t="s">
        <v>56</v>
      </c>
      <c r="AI684">
        <v>1</v>
      </c>
      <c r="AJ684" t="s">
        <v>1627</v>
      </c>
      <c r="AK684" t="s">
        <v>56</v>
      </c>
      <c r="AL684" t="s">
        <v>56</v>
      </c>
      <c r="AM684" t="s">
        <v>56</v>
      </c>
      <c r="AN684" t="s">
        <v>56</v>
      </c>
      <c r="AO684" t="s">
        <v>5687</v>
      </c>
      <c r="AP684" t="s">
        <v>4863</v>
      </c>
      <c r="AQ684" t="s">
        <v>4864</v>
      </c>
      <c r="AR684" t="s">
        <v>3941</v>
      </c>
      <c r="AS684" t="s">
        <v>3942</v>
      </c>
      <c r="AT684" t="s">
        <v>5684</v>
      </c>
      <c r="AU684" t="s">
        <v>3929</v>
      </c>
      <c r="AV684" t="s">
        <v>3930</v>
      </c>
      <c r="AW684" t="s">
        <v>3931</v>
      </c>
      <c r="AX684">
        <v>8</v>
      </c>
      <c r="AY684">
        <v>2</v>
      </c>
      <c r="AZ684" t="s">
        <v>3897</v>
      </c>
      <c r="BA684">
        <v>10</v>
      </c>
      <c r="BB684" t="s">
        <v>3898</v>
      </c>
      <c r="BC684">
        <v>6</v>
      </c>
      <c r="BD684">
        <v>5</v>
      </c>
      <c r="BE684" t="s">
        <v>3899</v>
      </c>
      <c r="BF684">
        <v>540</v>
      </c>
      <c r="BG684">
        <v>78</v>
      </c>
      <c r="BH684" t="s">
        <v>4333</v>
      </c>
      <c r="BI684" t="s">
        <v>5688</v>
      </c>
      <c r="BJ684">
        <v>1</v>
      </c>
      <c r="BK684" t="s">
        <v>3902</v>
      </c>
    </row>
    <row r="685" spans="1:63" x14ac:dyDescent="0.25">
      <c r="A685">
        <v>4461</v>
      </c>
      <c r="B685" t="str">
        <f>"20200129190017128416"</f>
        <v>20200129190017128416</v>
      </c>
      <c r="C685">
        <v>1</v>
      </c>
      <c r="D685">
        <v>1</v>
      </c>
      <c r="E685" t="s">
        <v>3886</v>
      </c>
      <c r="F685">
        <v>2</v>
      </c>
      <c r="G685">
        <v>0</v>
      </c>
      <c r="H685" t="s">
        <v>66</v>
      </c>
      <c r="I685">
        <v>0</v>
      </c>
      <c r="J685" t="s">
        <v>66</v>
      </c>
      <c r="K685">
        <v>0</v>
      </c>
      <c r="L685" t="s">
        <v>66</v>
      </c>
      <c r="M685" t="s">
        <v>56</v>
      </c>
      <c r="N685">
        <v>0</v>
      </c>
      <c r="O685" t="s">
        <v>66</v>
      </c>
      <c r="P685" t="s">
        <v>56</v>
      </c>
      <c r="Q685">
        <v>0</v>
      </c>
      <c r="R685" t="s">
        <v>66</v>
      </c>
      <c r="S685" t="s">
        <v>56</v>
      </c>
      <c r="T685">
        <v>1</v>
      </c>
      <c r="U685" t="s">
        <v>1627</v>
      </c>
      <c r="V685" t="s">
        <v>56</v>
      </c>
      <c r="W685">
        <v>0</v>
      </c>
      <c r="X685" t="s">
        <v>66</v>
      </c>
      <c r="Y685" t="s">
        <v>56</v>
      </c>
      <c r="Z685">
        <v>0</v>
      </c>
      <c r="AA685" t="s">
        <v>66</v>
      </c>
      <c r="AB685" t="s">
        <v>56</v>
      </c>
      <c r="AC685">
        <v>1</v>
      </c>
      <c r="AD685" t="s">
        <v>1627</v>
      </c>
      <c r="AE685" t="s">
        <v>3887</v>
      </c>
      <c r="AF685">
        <v>0</v>
      </c>
      <c r="AG685" t="s">
        <v>66</v>
      </c>
      <c r="AH685" t="s">
        <v>56</v>
      </c>
      <c r="AI685">
        <v>1</v>
      </c>
      <c r="AJ685" t="s">
        <v>1627</v>
      </c>
      <c r="AK685" t="s">
        <v>56</v>
      </c>
      <c r="AL685" t="s">
        <v>56</v>
      </c>
      <c r="AM685" t="s">
        <v>56</v>
      </c>
      <c r="AN685" t="s">
        <v>56</v>
      </c>
      <c r="AO685" t="s">
        <v>4220</v>
      </c>
      <c r="AP685" t="s">
        <v>3889</v>
      </c>
      <c r="AQ685" t="s">
        <v>3890</v>
      </c>
      <c r="AR685" t="s">
        <v>3904</v>
      </c>
      <c r="AS685" t="s">
        <v>3905</v>
      </c>
      <c r="AT685" t="s">
        <v>5689</v>
      </c>
      <c r="AU685" t="s">
        <v>4026</v>
      </c>
      <c r="AV685" t="s">
        <v>4027</v>
      </c>
      <c r="AW685" t="s">
        <v>4028</v>
      </c>
      <c r="AX685">
        <v>1</v>
      </c>
      <c r="AY685">
        <v>2</v>
      </c>
      <c r="AZ685" t="s">
        <v>3897</v>
      </c>
      <c r="BA685">
        <v>5</v>
      </c>
      <c r="BB685" t="s">
        <v>3910</v>
      </c>
      <c r="BC685">
        <v>48</v>
      </c>
      <c r="BD685">
        <v>2</v>
      </c>
      <c r="BE685" t="s">
        <v>3897</v>
      </c>
      <c r="BF685">
        <v>8</v>
      </c>
      <c r="BG685" t="s">
        <v>3912</v>
      </c>
      <c r="BH685" t="s">
        <v>3913</v>
      </c>
      <c r="BI685" t="s">
        <v>62</v>
      </c>
      <c r="BJ685">
        <v>1</v>
      </c>
      <c r="BK685" t="s">
        <v>3902</v>
      </c>
    </row>
    <row r="686" spans="1:63" x14ac:dyDescent="0.25">
      <c r="A686">
        <v>4359</v>
      </c>
      <c r="B686" t="str">
        <f>"20200129154017102599"</f>
        <v>20200129154017102599</v>
      </c>
      <c r="C686">
        <v>1</v>
      </c>
      <c r="D686">
        <v>1</v>
      </c>
      <c r="E686" t="s">
        <v>3886</v>
      </c>
      <c r="F686">
        <v>2</v>
      </c>
      <c r="G686">
        <v>0</v>
      </c>
      <c r="H686" t="s">
        <v>66</v>
      </c>
      <c r="I686">
        <v>0</v>
      </c>
      <c r="J686" t="s">
        <v>66</v>
      </c>
      <c r="K686">
        <v>1</v>
      </c>
      <c r="L686" t="s">
        <v>1627</v>
      </c>
      <c r="M686" t="s">
        <v>4708</v>
      </c>
      <c r="N686">
        <v>1</v>
      </c>
      <c r="O686" t="s">
        <v>1627</v>
      </c>
      <c r="P686" t="s">
        <v>4709</v>
      </c>
      <c r="Q686">
        <v>0</v>
      </c>
      <c r="R686" t="s">
        <v>66</v>
      </c>
      <c r="S686" t="s">
        <v>56</v>
      </c>
      <c r="T686" t="s">
        <v>56</v>
      </c>
      <c r="U686" t="s">
        <v>56</v>
      </c>
      <c r="V686" t="s">
        <v>56</v>
      </c>
      <c r="W686">
        <v>0</v>
      </c>
      <c r="X686" t="s">
        <v>66</v>
      </c>
      <c r="Y686" t="s">
        <v>56</v>
      </c>
      <c r="Z686">
        <v>0</v>
      </c>
      <c r="AA686" t="s">
        <v>66</v>
      </c>
      <c r="AB686" t="s">
        <v>56</v>
      </c>
      <c r="AC686">
        <v>0</v>
      </c>
      <c r="AD686" t="s">
        <v>66</v>
      </c>
      <c r="AE686" t="s">
        <v>56</v>
      </c>
      <c r="AF686">
        <v>0</v>
      </c>
      <c r="AG686" t="s">
        <v>66</v>
      </c>
      <c r="AH686" t="s">
        <v>56</v>
      </c>
      <c r="AI686">
        <v>1</v>
      </c>
      <c r="AJ686" t="s">
        <v>1627</v>
      </c>
      <c r="AK686" t="s">
        <v>56</v>
      </c>
      <c r="AL686" t="s">
        <v>56</v>
      </c>
      <c r="AM686" t="s">
        <v>56</v>
      </c>
      <c r="AN686" t="s">
        <v>56</v>
      </c>
      <c r="AO686" t="s">
        <v>4710</v>
      </c>
      <c r="AP686" t="s">
        <v>4077</v>
      </c>
      <c r="AQ686" t="s">
        <v>4078</v>
      </c>
      <c r="AR686" t="s">
        <v>3941</v>
      </c>
      <c r="AS686" t="s">
        <v>3942</v>
      </c>
      <c r="AT686" t="s">
        <v>5219</v>
      </c>
      <c r="AU686">
        <v>9000</v>
      </c>
      <c r="AV686" t="s">
        <v>3956</v>
      </c>
      <c r="AW686" t="s">
        <v>3956</v>
      </c>
      <c r="AX686">
        <v>1</v>
      </c>
      <c r="AY686">
        <v>3</v>
      </c>
      <c r="AZ686" t="s">
        <v>3911</v>
      </c>
      <c r="BA686">
        <v>10</v>
      </c>
      <c r="BB686" t="s">
        <v>3898</v>
      </c>
      <c r="BC686">
        <v>100</v>
      </c>
      <c r="BD686">
        <v>3</v>
      </c>
      <c r="BE686" t="s">
        <v>3911</v>
      </c>
      <c r="BF686">
        <v>100</v>
      </c>
      <c r="BG686">
        <v>66</v>
      </c>
      <c r="BH686" t="s">
        <v>3965</v>
      </c>
      <c r="BI686" t="s">
        <v>4712</v>
      </c>
      <c r="BJ686">
        <v>1</v>
      </c>
      <c r="BK686" t="s">
        <v>3902</v>
      </c>
    </row>
    <row r="687" spans="1:63" x14ac:dyDescent="0.25">
      <c r="A687">
        <v>4360</v>
      </c>
      <c r="B687" t="str">
        <f>"20200129152017102821"</f>
        <v>20200129152017102821</v>
      </c>
      <c r="C687">
        <v>1</v>
      </c>
      <c r="D687">
        <v>1</v>
      </c>
      <c r="E687" t="s">
        <v>3886</v>
      </c>
      <c r="F687">
        <v>1</v>
      </c>
      <c r="G687">
        <v>0</v>
      </c>
      <c r="H687" t="s">
        <v>66</v>
      </c>
      <c r="I687">
        <v>0</v>
      </c>
      <c r="J687" t="s">
        <v>66</v>
      </c>
      <c r="K687">
        <v>0</v>
      </c>
      <c r="L687" t="s">
        <v>66</v>
      </c>
      <c r="M687" t="s">
        <v>56</v>
      </c>
      <c r="N687">
        <v>0</v>
      </c>
      <c r="O687" t="s">
        <v>66</v>
      </c>
      <c r="P687" t="s">
        <v>56</v>
      </c>
      <c r="Q687">
        <v>0</v>
      </c>
      <c r="R687" t="s">
        <v>66</v>
      </c>
      <c r="S687" t="s">
        <v>56</v>
      </c>
      <c r="T687">
        <v>1</v>
      </c>
      <c r="U687" t="s">
        <v>1627</v>
      </c>
      <c r="V687" t="s">
        <v>56</v>
      </c>
      <c r="W687">
        <v>0</v>
      </c>
      <c r="X687" t="s">
        <v>66</v>
      </c>
      <c r="Y687" t="s">
        <v>56</v>
      </c>
      <c r="Z687">
        <v>0</v>
      </c>
      <c r="AA687" t="s">
        <v>66</v>
      </c>
      <c r="AB687" t="s">
        <v>56</v>
      </c>
      <c r="AC687">
        <v>1</v>
      </c>
      <c r="AD687" t="s">
        <v>1627</v>
      </c>
      <c r="AE687" t="s">
        <v>3887</v>
      </c>
      <c r="AF687">
        <v>0</v>
      </c>
      <c r="AG687" t="s">
        <v>66</v>
      </c>
      <c r="AH687" t="s">
        <v>56</v>
      </c>
      <c r="AI687">
        <v>1</v>
      </c>
      <c r="AJ687" t="s">
        <v>1627</v>
      </c>
      <c r="AK687" t="s">
        <v>56</v>
      </c>
      <c r="AL687" t="s">
        <v>56</v>
      </c>
      <c r="AM687" t="s">
        <v>56</v>
      </c>
      <c r="AN687" t="s">
        <v>56</v>
      </c>
      <c r="AO687" t="s">
        <v>3949</v>
      </c>
      <c r="AP687" t="s">
        <v>3889</v>
      </c>
      <c r="AQ687" t="s">
        <v>3890</v>
      </c>
      <c r="AR687" t="s">
        <v>3891</v>
      </c>
      <c r="AS687" t="s">
        <v>3892</v>
      </c>
      <c r="AT687" t="s">
        <v>4794</v>
      </c>
      <c r="AU687" t="s">
        <v>3894</v>
      </c>
      <c r="AV687" t="s">
        <v>3895</v>
      </c>
      <c r="AW687" t="s">
        <v>3896</v>
      </c>
      <c r="AX687">
        <v>6</v>
      </c>
      <c r="AY687">
        <v>2</v>
      </c>
      <c r="AZ687" t="s">
        <v>3897</v>
      </c>
      <c r="BA687">
        <v>10</v>
      </c>
      <c r="BB687" t="s">
        <v>3898</v>
      </c>
      <c r="BC687">
        <v>3</v>
      </c>
      <c r="BD687">
        <v>5</v>
      </c>
      <c r="BE687" t="s">
        <v>3899</v>
      </c>
      <c r="BF687">
        <v>3</v>
      </c>
      <c r="BG687">
        <v>13</v>
      </c>
      <c r="BH687" t="s">
        <v>3900</v>
      </c>
      <c r="BI687" t="s">
        <v>5690</v>
      </c>
      <c r="BJ687">
        <v>1</v>
      </c>
      <c r="BK687" t="s">
        <v>3902</v>
      </c>
    </row>
    <row r="688" spans="1:63" x14ac:dyDescent="0.25">
      <c r="A688">
        <v>4361</v>
      </c>
      <c r="B688" t="str">
        <f>"20200129159017102831"</f>
        <v>20200129159017102831</v>
      </c>
      <c r="C688">
        <v>1</v>
      </c>
      <c r="D688">
        <v>1</v>
      </c>
      <c r="E688" t="s">
        <v>3886</v>
      </c>
      <c r="F688">
        <v>2</v>
      </c>
      <c r="G688">
        <v>0</v>
      </c>
      <c r="H688" t="s">
        <v>66</v>
      </c>
      <c r="I688">
        <v>0</v>
      </c>
      <c r="J688" t="s">
        <v>66</v>
      </c>
      <c r="K688">
        <v>1</v>
      </c>
      <c r="L688" t="s">
        <v>1627</v>
      </c>
      <c r="M688" t="s">
        <v>4236</v>
      </c>
      <c r="N688">
        <v>1</v>
      </c>
      <c r="O688" t="s">
        <v>1627</v>
      </c>
      <c r="P688" t="s">
        <v>5691</v>
      </c>
      <c r="Q688">
        <v>0</v>
      </c>
      <c r="R688" t="s">
        <v>66</v>
      </c>
      <c r="S688" t="s">
        <v>56</v>
      </c>
      <c r="T688" t="s">
        <v>56</v>
      </c>
      <c r="U688" t="s">
        <v>56</v>
      </c>
      <c r="V688" t="s">
        <v>56</v>
      </c>
      <c r="W688">
        <v>0</v>
      </c>
      <c r="X688" t="s">
        <v>66</v>
      </c>
      <c r="Y688" t="s">
        <v>56</v>
      </c>
      <c r="Z688">
        <v>0</v>
      </c>
      <c r="AA688" t="s">
        <v>66</v>
      </c>
      <c r="AB688" t="s">
        <v>56</v>
      </c>
      <c r="AC688">
        <v>0</v>
      </c>
      <c r="AD688" t="s">
        <v>66</v>
      </c>
      <c r="AE688" t="s">
        <v>56</v>
      </c>
      <c r="AF688">
        <v>0</v>
      </c>
      <c r="AG688" t="s">
        <v>66</v>
      </c>
      <c r="AH688" t="s">
        <v>56</v>
      </c>
      <c r="AI688">
        <v>1</v>
      </c>
      <c r="AJ688" t="s">
        <v>1627</v>
      </c>
      <c r="AK688" t="s">
        <v>56</v>
      </c>
      <c r="AL688" t="s">
        <v>56</v>
      </c>
      <c r="AM688" t="s">
        <v>56</v>
      </c>
      <c r="AN688" t="s">
        <v>56</v>
      </c>
      <c r="AO688" t="s">
        <v>4339</v>
      </c>
      <c r="AP688" t="s">
        <v>3962</v>
      </c>
      <c r="AQ688" t="s">
        <v>3963</v>
      </c>
      <c r="AR688" t="s">
        <v>3941</v>
      </c>
      <c r="AS688" t="s">
        <v>3942</v>
      </c>
      <c r="AT688" t="s">
        <v>5692</v>
      </c>
      <c r="AU688" t="s">
        <v>3944</v>
      </c>
      <c r="AV688" t="s">
        <v>3945</v>
      </c>
      <c r="AW688" t="s">
        <v>3946</v>
      </c>
      <c r="AX688">
        <v>12</v>
      </c>
      <c r="AY688">
        <v>2</v>
      </c>
      <c r="AZ688" t="s">
        <v>3897</v>
      </c>
      <c r="BA688">
        <v>10</v>
      </c>
      <c r="BB688" t="s">
        <v>3898</v>
      </c>
      <c r="BC688">
        <v>90</v>
      </c>
      <c r="BD688">
        <v>3</v>
      </c>
      <c r="BE688" t="s">
        <v>3911</v>
      </c>
      <c r="BF688">
        <v>180</v>
      </c>
      <c r="BG688">
        <v>66</v>
      </c>
      <c r="BH688" t="s">
        <v>3965</v>
      </c>
      <c r="BI688" t="s">
        <v>5693</v>
      </c>
      <c r="BJ688">
        <v>1</v>
      </c>
      <c r="BK688" t="s">
        <v>3902</v>
      </c>
    </row>
    <row r="689" spans="1:63" x14ac:dyDescent="0.25">
      <c r="A689">
        <v>4362</v>
      </c>
      <c r="B689" t="str">
        <f>"20200129165017103230"</f>
        <v>20200129165017103230</v>
      </c>
      <c r="C689">
        <v>1</v>
      </c>
      <c r="D689">
        <v>1</v>
      </c>
      <c r="E689" t="s">
        <v>3886</v>
      </c>
      <c r="F689">
        <v>2</v>
      </c>
      <c r="G689">
        <v>0</v>
      </c>
      <c r="H689" t="s">
        <v>66</v>
      </c>
      <c r="I689">
        <v>0</v>
      </c>
      <c r="J689" t="s">
        <v>66</v>
      </c>
      <c r="K689">
        <v>1</v>
      </c>
      <c r="L689" t="s">
        <v>1627</v>
      </c>
      <c r="M689" t="s">
        <v>4942</v>
      </c>
      <c r="N689">
        <v>1</v>
      </c>
      <c r="O689" t="s">
        <v>1627</v>
      </c>
      <c r="P689" t="s">
        <v>5694</v>
      </c>
      <c r="Q689">
        <v>0</v>
      </c>
      <c r="R689" t="s">
        <v>66</v>
      </c>
      <c r="S689" t="s">
        <v>56</v>
      </c>
      <c r="T689" t="s">
        <v>56</v>
      </c>
      <c r="U689" t="s">
        <v>56</v>
      </c>
      <c r="V689" t="s">
        <v>56</v>
      </c>
      <c r="W689">
        <v>0</v>
      </c>
      <c r="X689" t="s">
        <v>66</v>
      </c>
      <c r="Y689" t="s">
        <v>56</v>
      </c>
      <c r="Z689">
        <v>0</v>
      </c>
      <c r="AA689" t="s">
        <v>66</v>
      </c>
      <c r="AB689" t="s">
        <v>56</v>
      </c>
      <c r="AC689">
        <v>0</v>
      </c>
      <c r="AD689" t="s">
        <v>66</v>
      </c>
      <c r="AE689" t="s">
        <v>56</v>
      </c>
      <c r="AF689">
        <v>0</v>
      </c>
      <c r="AG689" t="s">
        <v>66</v>
      </c>
      <c r="AH689" t="s">
        <v>56</v>
      </c>
      <c r="AI689">
        <v>1</v>
      </c>
      <c r="AJ689" t="s">
        <v>1627</v>
      </c>
      <c r="AK689">
        <v>0</v>
      </c>
      <c r="AL689" t="s">
        <v>66</v>
      </c>
      <c r="AM689" t="s">
        <v>56</v>
      </c>
      <c r="AN689" t="s">
        <v>56</v>
      </c>
      <c r="AO689" t="s">
        <v>5695</v>
      </c>
      <c r="AP689" t="s">
        <v>3962</v>
      </c>
      <c r="AQ689" t="s">
        <v>3963</v>
      </c>
      <c r="AR689" t="s">
        <v>3941</v>
      </c>
      <c r="AS689" t="s">
        <v>3942</v>
      </c>
      <c r="AT689" t="s">
        <v>5696</v>
      </c>
      <c r="AU689" t="s">
        <v>3944</v>
      </c>
      <c r="AV689" t="s">
        <v>3945</v>
      </c>
      <c r="AW689" t="s">
        <v>3946</v>
      </c>
      <c r="AX689">
        <v>1</v>
      </c>
      <c r="AY689">
        <v>3</v>
      </c>
      <c r="AZ689" t="s">
        <v>3911</v>
      </c>
      <c r="BA689">
        <v>10</v>
      </c>
      <c r="BB689" t="s">
        <v>3898</v>
      </c>
      <c r="BC689">
        <v>90</v>
      </c>
      <c r="BD689">
        <v>3</v>
      </c>
      <c r="BE689" t="s">
        <v>3911</v>
      </c>
      <c r="BF689">
        <v>90</v>
      </c>
      <c r="BG689">
        <v>66</v>
      </c>
      <c r="BH689" t="s">
        <v>3965</v>
      </c>
      <c r="BI689" t="s">
        <v>5697</v>
      </c>
      <c r="BJ689">
        <v>1</v>
      </c>
      <c r="BK689" t="s">
        <v>3902</v>
      </c>
    </row>
    <row r="690" spans="1:63" x14ac:dyDescent="0.25">
      <c r="A690">
        <v>4363</v>
      </c>
      <c r="B690" t="str">
        <f>"20200129143017103260"</f>
        <v>20200129143017103260</v>
      </c>
      <c r="C690">
        <v>1</v>
      </c>
      <c r="D690">
        <v>1</v>
      </c>
      <c r="E690" t="s">
        <v>3886</v>
      </c>
      <c r="F690">
        <v>1</v>
      </c>
      <c r="G690">
        <v>0</v>
      </c>
      <c r="H690" t="s">
        <v>66</v>
      </c>
      <c r="I690">
        <v>0</v>
      </c>
      <c r="J690" t="s">
        <v>66</v>
      </c>
      <c r="K690">
        <v>0</v>
      </c>
      <c r="L690" t="s">
        <v>66</v>
      </c>
      <c r="M690" t="s">
        <v>56</v>
      </c>
      <c r="N690">
        <v>0</v>
      </c>
      <c r="O690" t="s">
        <v>66</v>
      </c>
      <c r="P690" t="s">
        <v>56</v>
      </c>
      <c r="Q690">
        <v>0</v>
      </c>
      <c r="R690" t="s">
        <v>66</v>
      </c>
      <c r="S690" t="s">
        <v>56</v>
      </c>
      <c r="T690">
        <v>1</v>
      </c>
      <c r="U690" t="s">
        <v>1627</v>
      </c>
      <c r="V690" t="s">
        <v>56</v>
      </c>
      <c r="W690">
        <v>0</v>
      </c>
      <c r="X690" t="s">
        <v>66</v>
      </c>
      <c r="Y690" t="s">
        <v>56</v>
      </c>
      <c r="Z690">
        <v>0</v>
      </c>
      <c r="AA690" t="s">
        <v>66</v>
      </c>
      <c r="AB690" t="s">
        <v>56</v>
      </c>
      <c r="AC690">
        <v>1</v>
      </c>
      <c r="AD690" t="s">
        <v>1627</v>
      </c>
      <c r="AE690" t="s">
        <v>3887</v>
      </c>
      <c r="AF690">
        <v>0</v>
      </c>
      <c r="AG690" t="s">
        <v>66</v>
      </c>
      <c r="AH690" t="s">
        <v>56</v>
      </c>
      <c r="AI690">
        <v>1</v>
      </c>
      <c r="AJ690" t="s">
        <v>1627</v>
      </c>
      <c r="AK690" t="s">
        <v>56</v>
      </c>
      <c r="AL690" t="s">
        <v>56</v>
      </c>
      <c r="AM690" t="s">
        <v>56</v>
      </c>
      <c r="AN690" t="s">
        <v>56</v>
      </c>
      <c r="AO690" t="s">
        <v>4139</v>
      </c>
      <c r="AP690" t="s">
        <v>3889</v>
      </c>
      <c r="AQ690" t="s">
        <v>3890</v>
      </c>
      <c r="AR690" t="s">
        <v>3891</v>
      </c>
      <c r="AS690" t="s">
        <v>3892</v>
      </c>
      <c r="AT690" t="s">
        <v>5698</v>
      </c>
      <c r="AU690" t="s">
        <v>3894</v>
      </c>
      <c r="AV690" t="s">
        <v>3895</v>
      </c>
      <c r="AW690" t="s">
        <v>3896</v>
      </c>
      <c r="AX690">
        <v>12</v>
      </c>
      <c r="AY690">
        <v>2</v>
      </c>
      <c r="AZ690" t="s">
        <v>3897</v>
      </c>
      <c r="BA690">
        <v>10</v>
      </c>
      <c r="BB690" t="s">
        <v>3898</v>
      </c>
      <c r="BC690">
        <v>3</v>
      </c>
      <c r="BD690">
        <v>5</v>
      </c>
      <c r="BE690" t="s">
        <v>3899</v>
      </c>
      <c r="BF690">
        <v>4</v>
      </c>
      <c r="BG690">
        <v>13</v>
      </c>
      <c r="BH690" t="s">
        <v>3900</v>
      </c>
      <c r="BI690" t="s">
        <v>5699</v>
      </c>
      <c r="BJ690">
        <v>1</v>
      </c>
      <c r="BK690" t="s">
        <v>3902</v>
      </c>
    </row>
    <row r="691" spans="1:63" x14ac:dyDescent="0.25">
      <c r="A691">
        <v>4364</v>
      </c>
      <c r="B691" t="str">
        <f>"20200129189017103366"</f>
        <v>20200129189017103366</v>
      </c>
      <c r="C691">
        <v>1</v>
      </c>
      <c r="D691">
        <v>1</v>
      </c>
      <c r="E691" t="s">
        <v>3886</v>
      </c>
      <c r="F691">
        <v>2</v>
      </c>
      <c r="G691">
        <v>0</v>
      </c>
      <c r="H691" t="s">
        <v>66</v>
      </c>
      <c r="I691">
        <v>0</v>
      </c>
      <c r="J691" t="s">
        <v>66</v>
      </c>
      <c r="K691">
        <v>0</v>
      </c>
      <c r="L691" t="s">
        <v>66</v>
      </c>
      <c r="M691" t="s">
        <v>56</v>
      </c>
      <c r="N691">
        <v>0</v>
      </c>
      <c r="O691" t="s">
        <v>66</v>
      </c>
      <c r="P691" t="s">
        <v>56</v>
      </c>
      <c r="Q691">
        <v>0</v>
      </c>
      <c r="R691" t="s">
        <v>66</v>
      </c>
      <c r="S691" t="s">
        <v>56</v>
      </c>
      <c r="T691">
        <v>1</v>
      </c>
      <c r="U691" t="s">
        <v>1627</v>
      </c>
      <c r="V691" t="s">
        <v>56</v>
      </c>
      <c r="W691">
        <v>0</v>
      </c>
      <c r="X691" t="s">
        <v>66</v>
      </c>
      <c r="Y691" t="s">
        <v>56</v>
      </c>
      <c r="Z691">
        <v>0</v>
      </c>
      <c r="AA691" t="s">
        <v>66</v>
      </c>
      <c r="AB691" t="s">
        <v>56</v>
      </c>
      <c r="AC691">
        <v>1</v>
      </c>
      <c r="AD691" t="s">
        <v>1627</v>
      </c>
      <c r="AE691" t="s">
        <v>3887</v>
      </c>
      <c r="AF691">
        <v>0</v>
      </c>
      <c r="AG691" t="s">
        <v>66</v>
      </c>
      <c r="AH691" t="s">
        <v>56</v>
      </c>
      <c r="AI691">
        <v>1</v>
      </c>
      <c r="AJ691" t="s">
        <v>1627</v>
      </c>
      <c r="AK691" t="s">
        <v>56</v>
      </c>
      <c r="AL691" t="s">
        <v>56</v>
      </c>
      <c r="AM691" t="s">
        <v>56</v>
      </c>
      <c r="AN691" t="s">
        <v>56</v>
      </c>
      <c r="AO691" t="s">
        <v>3888</v>
      </c>
      <c r="AP691" t="s">
        <v>3889</v>
      </c>
      <c r="AQ691" t="s">
        <v>3890</v>
      </c>
      <c r="AR691" t="s">
        <v>3891</v>
      </c>
      <c r="AS691" t="s">
        <v>3892</v>
      </c>
      <c r="AT691" t="s">
        <v>4276</v>
      </c>
      <c r="AU691" t="s">
        <v>3894</v>
      </c>
      <c r="AV691" t="s">
        <v>3895</v>
      </c>
      <c r="AW691" t="s">
        <v>3896</v>
      </c>
      <c r="AX691">
        <v>6</v>
      </c>
      <c r="AY691">
        <v>2</v>
      </c>
      <c r="AZ691" t="s">
        <v>3897</v>
      </c>
      <c r="BA691">
        <v>10</v>
      </c>
      <c r="BB691" t="s">
        <v>3898</v>
      </c>
      <c r="BC691">
        <v>2</v>
      </c>
      <c r="BD691">
        <v>5</v>
      </c>
      <c r="BE691" t="s">
        <v>3899</v>
      </c>
      <c r="BF691">
        <v>2</v>
      </c>
      <c r="BG691">
        <v>13</v>
      </c>
      <c r="BH691" t="s">
        <v>3900</v>
      </c>
      <c r="BI691" t="s">
        <v>4198</v>
      </c>
      <c r="BJ691">
        <v>1</v>
      </c>
      <c r="BK691" t="s">
        <v>3902</v>
      </c>
    </row>
    <row r="692" spans="1:63" x14ac:dyDescent="0.25">
      <c r="A692">
        <v>4365</v>
      </c>
      <c r="B692" t="str">
        <f>"20200129181017103630"</f>
        <v>20200129181017103630</v>
      </c>
      <c r="C692">
        <v>1</v>
      </c>
      <c r="D692">
        <v>1</v>
      </c>
      <c r="E692" t="s">
        <v>3886</v>
      </c>
      <c r="F692">
        <v>2</v>
      </c>
      <c r="G692">
        <v>0</v>
      </c>
      <c r="H692" t="s">
        <v>66</v>
      </c>
      <c r="I692">
        <v>0</v>
      </c>
      <c r="J692" t="s">
        <v>66</v>
      </c>
      <c r="K692">
        <v>1</v>
      </c>
      <c r="L692" t="s">
        <v>1627</v>
      </c>
      <c r="M692" t="s">
        <v>4708</v>
      </c>
      <c r="N692">
        <v>1</v>
      </c>
      <c r="O692" t="s">
        <v>1627</v>
      </c>
      <c r="P692" t="s">
        <v>4709</v>
      </c>
      <c r="Q692">
        <v>0</v>
      </c>
      <c r="R692" t="s">
        <v>66</v>
      </c>
      <c r="S692" t="s">
        <v>56</v>
      </c>
      <c r="T692" t="s">
        <v>56</v>
      </c>
      <c r="U692" t="s">
        <v>56</v>
      </c>
      <c r="V692" t="s">
        <v>56</v>
      </c>
      <c r="W692">
        <v>0</v>
      </c>
      <c r="X692" t="s">
        <v>66</v>
      </c>
      <c r="Y692" t="s">
        <v>56</v>
      </c>
      <c r="Z692">
        <v>0</v>
      </c>
      <c r="AA692" t="s">
        <v>66</v>
      </c>
      <c r="AB692" t="s">
        <v>56</v>
      </c>
      <c r="AC692">
        <v>0</v>
      </c>
      <c r="AD692" t="s">
        <v>66</v>
      </c>
      <c r="AE692" t="s">
        <v>56</v>
      </c>
      <c r="AF692">
        <v>0</v>
      </c>
      <c r="AG692" t="s">
        <v>66</v>
      </c>
      <c r="AH692" t="s">
        <v>56</v>
      </c>
      <c r="AI692">
        <v>1</v>
      </c>
      <c r="AJ692" t="s">
        <v>1627</v>
      </c>
      <c r="AK692" t="s">
        <v>56</v>
      </c>
      <c r="AL692" t="s">
        <v>56</v>
      </c>
      <c r="AM692" t="s">
        <v>56</v>
      </c>
      <c r="AN692" t="s">
        <v>56</v>
      </c>
      <c r="AO692" t="s">
        <v>4710</v>
      </c>
      <c r="AP692" t="s">
        <v>4077</v>
      </c>
      <c r="AQ692" t="s">
        <v>4078</v>
      </c>
      <c r="AR692" t="s">
        <v>3941</v>
      </c>
      <c r="AS692" t="s">
        <v>3942</v>
      </c>
      <c r="AT692" t="s">
        <v>5219</v>
      </c>
      <c r="AU692">
        <v>9000</v>
      </c>
      <c r="AV692" t="s">
        <v>3956</v>
      </c>
      <c r="AW692" t="s">
        <v>3956</v>
      </c>
      <c r="AX692">
        <v>1</v>
      </c>
      <c r="AY692">
        <v>3</v>
      </c>
      <c r="AZ692" t="s">
        <v>3911</v>
      </c>
      <c r="BA692">
        <v>10</v>
      </c>
      <c r="BB692" t="s">
        <v>3898</v>
      </c>
      <c r="BC692">
        <v>100</v>
      </c>
      <c r="BD692">
        <v>3</v>
      </c>
      <c r="BE692" t="s">
        <v>3911</v>
      </c>
      <c r="BF692">
        <v>100</v>
      </c>
      <c r="BG692">
        <v>66</v>
      </c>
      <c r="BH692" t="s">
        <v>3965</v>
      </c>
      <c r="BI692" t="s">
        <v>4712</v>
      </c>
      <c r="BJ692">
        <v>1</v>
      </c>
      <c r="BK692" t="s">
        <v>3902</v>
      </c>
    </row>
    <row r="693" spans="1:63" x14ac:dyDescent="0.25">
      <c r="A693">
        <v>4366</v>
      </c>
      <c r="B693" t="str">
        <f>"20200129170017103756"</f>
        <v>20200129170017103756</v>
      </c>
      <c r="C693">
        <v>1</v>
      </c>
      <c r="D693">
        <v>1</v>
      </c>
      <c r="E693" t="s">
        <v>3886</v>
      </c>
      <c r="F693">
        <v>2</v>
      </c>
      <c r="G693">
        <v>0</v>
      </c>
      <c r="H693" t="s">
        <v>66</v>
      </c>
      <c r="I693">
        <v>0</v>
      </c>
      <c r="J693" t="s">
        <v>66</v>
      </c>
      <c r="K693">
        <v>0</v>
      </c>
      <c r="L693" t="s">
        <v>66</v>
      </c>
      <c r="M693" t="s">
        <v>56</v>
      </c>
      <c r="N693">
        <v>0</v>
      </c>
      <c r="O693" t="s">
        <v>66</v>
      </c>
      <c r="P693" t="s">
        <v>56</v>
      </c>
      <c r="Q693">
        <v>0</v>
      </c>
      <c r="R693" t="s">
        <v>66</v>
      </c>
      <c r="S693" t="s">
        <v>56</v>
      </c>
      <c r="T693">
        <v>1</v>
      </c>
      <c r="U693" t="s">
        <v>1627</v>
      </c>
      <c r="V693" t="s">
        <v>56</v>
      </c>
      <c r="W693">
        <v>0</v>
      </c>
      <c r="X693" t="s">
        <v>66</v>
      </c>
      <c r="Y693" t="s">
        <v>56</v>
      </c>
      <c r="Z693">
        <v>0</v>
      </c>
      <c r="AA693" t="s">
        <v>66</v>
      </c>
      <c r="AB693" t="s">
        <v>56</v>
      </c>
      <c r="AC693">
        <v>1</v>
      </c>
      <c r="AD693" t="s">
        <v>1627</v>
      </c>
      <c r="AE693" t="s">
        <v>3887</v>
      </c>
      <c r="AF693">
        <v>0</v>
      </c>
      <c r="AG693" t="s">
        <v>66</v>
      </c>
      <c r="AH693" t="s">
        <v>56</v>
      </c>
      <c r="AI693">
        <v>1</v>
      </c>
      <c r="AJ693" t="s">
        <v>1627</v>
      </c>
      <c r="AK693" t="s">
        <v>56</v>
      </c>
      <c r="AL693" t="s">
        <v>56</v>
      </c>
      <c r="AM693" t="s">
        <v>56</v>
      </c>
      <c r="AN693" t="s">
        <v>56</v>
      </c>
      <c r="AO693" t="s">
        <v>4481</v>
      </c>
      <c r="AP693" t="s">
        <v>3971</v>
      </c>
      <c r="AQ693" t="s">
        <v>3972</v>
      </c>
      <c r="AR693" t="s">
        <v>4146</v>
      </c>
      <c r="AS693" t="s">
        <v>4147</v>
      </c>
      <c r="AT693" t="s">
        <v>5700</v>
      </c>
      <c r="AU693">
        <v>9000</v>
      </c>
      <c r="AV693" t="s">
        <v>3956</v>
      </c>
      <c r="AW693" t="s">
        <v>3956</v>
      </c>
      <c r="AX693">
        <v>1</v>
      </c>
      <c r="AY693">
        <v>3</v>
      </c>
      <c r="AZ693" t="s">
        <v>3911</v>
      </c>
      <c r="BA693">
        <v>2</v>
      </c>
      <c r="BB693" t="s">
        <v>5701</v>
      </c>
      <c r="BC693">
        <v>1</v>
      </c>
      <c r="BD693">
        <v>5</v>
      </c>
      <c r="BE693" t="s">
        <v>3899</v>
      </c>
      <c r="BF693">
        <v>1</v>
      </c>
      <c r="BG693" t="s">
        <v>3912</v>
      </c>
      <c r="BH693" t="s">
        <v>3913</v>
      </c>
      <c r="BI693" t="s">
        <v>5702</v>
      </c>
      <c r="BJ693">
        <v>1</v>
      </c>
      <c r="BK693" t="s">
        <v>3902</v>
      </c>
    </row>
    <row r="694" spans="1:63" x14ac:dyDescent="0.25">
      <c r="A694">
        <v>4367</v>
      </c>
      <c r="B694" t="str">
        <f>"20200129161017104098"</f>
        <v>20200129161017104098</v>
      </c>
      <c r="C694">
        <v>1</v>
      </c>
      <c r="D694">
        <v>1</v>
      </c>
      <c r="E694" t="s">
        <v>3886</v>
      </c>
      <c r="F694">
        <v>2</v>
      </c>
      <c r="G694">
        <v>0</v>
      </c>
      <c r="H694" t="s">
        <v>66</v>
      </c>
      <c r="I694">
        <v>0</v>
      </c>
      <c r="J694" t="s">
        <v>66</v>
      </c>
      <c r="K694">
        <v>0</v>
      </c>
      <c r="L694" t="s">
        <v>66</v>
      </c>
      <c r="M694" t="s">
        <v>56</v>
      </c>
      <c r="N694">
        <v>0</v>
      </c>
      <c r="O694" t="s">
        <v>66</v>
      </c>
      <c r="P694" t="s">
        <v>56</v>
      </c>
      <c r="Q694">
        <v>0</v>
      </c>
      <c r="R694" t="s">
        <v>66</v>
      </c>
      <c r="S694" t="s">
        <v>56</v>
      </c>
      <c r="T694">
        <v>1</v>
      </c>
      <c r="U694" t="s">
        <v>1627</v>
      </c>
      <c r="V694" t="s">
        <v>56</v>
      </c>
      <c r="W694">
        <v>0</v>
      </c>
      <c r="X694" t="s">
        <v>66</v>
      </c>
      <c r="Y694" t="s">
        <v>56</v>
      </c>
      <c r="Z694">
        <v>0</v>
      </c>
      <c r="AA694" t="s">
        <v>66</v>
      </c>
      <c r="AB694" t="s">
        <v>56</v>
      </c>
      <c r="AC694">
        <v>1</v>
      </c>
      <c r="AD694" t="s">
        <v>1627</v>
      </c>
      <c r="AE694" t="s">
        <v>3887</v>
      </c>
      <c r="AF694">
        <v>0</v>
      </c>
      <c r="AG694" t="s">
        <v>66</v>
      </c>
      <c r="AH694" t="s">
        <v>56</v>
      </c>
      <c r="AI694">
        <v>1</v>
      </c>
      <c r="AJ694" t="s">
        <v>1627</v>
      </c>
      <c r="AK694" t="s">
        <v>56</v>
      </c>
      <c r="AL694" t="s">
        <v>56</v>
      </c>
      <c r="AM694" t="s">
        <v>56</v>
      </c>
      <c r="AN694" t="s">
        <v>56</v>
      </c>
      <c r="AO694" t="s">
        <v>4384</v>
      </c>
      <c r="AP694" t="s">
        <v>3971</v>
      </c>
      <c r="AQ694" t="s">
        <v>3972</v>
      </c>
      <c r="AR694" t="s">
        <v>4146</v>
      </c>
      <c r="AS694" t="s">
        <v>4147</v>
      </c>
      <c r="AT694" t="s">
        <v>5703</v>
      </c>
      <c r="AU694" t="s">
        <v>4026</v>
      </c>
      <c r="AV694" t="s">
        <v>4027</v>
      </c>
      <c r="AW694" t="s">
        <v>4028</v>
      </c>
      <c r="AX694">
        <v>90</v>
      </c>
      <c r="AY694">
        <v>3</v>
      </c>
      <c r="AZ694" t="s">
        <v>3911</v>
      </c>
      <c r="BA694">
        <v>9</v>
      </c>
      <c r="BB694" t="s">
        <v>4170</v>
      </c>
      <c r="BC694">
        <v>90</v>
      </c>
      <c r="BD694">
        <v>3</v>
      </c>
      <c r="BE694" t="s">
        <v>3911</v>
      </c>
      <c r="BF694">
        <v>1</v>
      </c>
      <c r="BG694">
        <v>75</v>
      </c>
      <c r="BH694" t="s">
        <v>4017</v>
      </c>
      <c r="BI694" t="s">
        <v>5704</v>
      </c>
      <c r="BJ694">
        <v>1</v>
      </c>
      <c r="BK694" t="s">
        <v>3902</v>
      </c>
    </row>
    <row r="695" spans="1:63" x14ac:dyDescent="0.25">
      <c r="A695">
        <v>4368</v>
      </c>
      <c r="B695" t="str">
        <f>"20200129198017104490"</f>
        <v>20200129198017104490</v>
      </c>
      <c r="C695">
        <v>1</v>
      </c>
      <c r="D695">
        <v>1</v>
      </c>
      <c r="E695" t="s">
        <v>3886</v>
      </c>
      <c r="F695">
        <v>2</v>
      </c>
      <c r="G695">
        <v>0</v>
      </c>
      <c r="H695" t="s">
        <v>66</v>
      </c>
      <c r="I695">
        <v>0</v>
      </c>
      <c r="J695" t="s">
        <v>66</v>
      </c>
      <c r="K695">
        <v>0</v>
      </c>
      <c r="L695" t="s">
        <v>66</v>
      </c>
      <c r="M695" t="s">
        <v>56</v>
      </c>
      <c r="N695">
        <v>0</v>
      </c>
      <c r="O695" t="s">
        <v>66</v>
      </c>
      <c r="P695" t="s">
        <v>56</v>
      </c>
      <c r="Q695">
        <v>0</v>
      </c>
      <c r="R695" t="s">
        <v>66</v>
      </c>
      <c r="S695" t="s">
        <v>56</v>
      </c>
      <c r="T695">
        <v>1</v>
      </c>
      <c r="U695" t="s">
        <v>1627</v>
      </c>
      <c r="V695" t="s">
        <v>56</v>
      </c>
      <c r="W695">
        <v>0</v>
      </c>
      <c r="X695" t="s">
        <v>66</v>
      </c>
      <c r="Y695" t="s">
        <v>56</v>
      </c>
      <c r="Z695">
        <v>0</v>
      </c>
      <c r="AA695" t="s">
        <v>66</v>
      </c>
      <c r="AB695" t="s">
        <v>56</v>
      </c>
      <c r="AC695">
        <v>1</v>
      </c>
      <c r="AD695" t="s">
        <v>1627</v>
      </c>
      <c r="AE695" t="s">
        <v>3887</v>
      </c>
      <c r="AF695">
        <v>0</v>
      </c>
      <c r="AG695" t="s">
        <v>66</v>
      </c>
      <c r="AH695" t="s">
        <v>56</v>
      </c>
      <c r="AI695">
        <v>1</v>
      </c>
      <c r="AJ695" t="s">
        <v>1627</v>
      </c>
      <c r="AK695" t="s">
        <v>56</v>
      </c>
      <c r="AL695" t="s">
        <v>56</v>
      </c>
      <c r="AM695" t="s">
        <v>56</v>
      </c>
      <c r="AN695" t="s">
        <v>56</v>
      </c>
      <c r="AO695" t="s">
        <v>5076</v>
      </c>
      <c r="AP695" t="s">
        <v>3962</v>
      </c>
      <c r="AQ695" t="s">
        <v>3963</v>
      </c>
      <c r="AR695" t="s">
        <v>3941</v>
      </c>
      <c r="AS695" t="s">
        <v>3942</v>
      </c>
      <c r="AT695" t="s">
        <v>5705</v>
      </c>
      <c r="AU695" t="s">
        <v>3944</v>
      </c>
      <c r="AV695" t="s">
        <v>3945</v>
      </c>
      <c r="AW695" t="s">
        <v>3946</v>
      </c>
      <c r="AX695">
        <v>12</v>
      </c>
      <c r="AY695">
        <v>2</v>
      </c>
      <c r="AZ695" t="s">
        <v>3897</v>
      </c>
      <c r="BA695">
        <v>10</v>
      </c>
      <c r="BB695" t="s">
        <v>3898</v>
      </c>
      <c r="BC695">
        <v>90</v>
      </c>
      <c r="BD695">
        <v>3</v>
      </c>
      <c r="BE695" t="s">
        <v>3911</v>
      </c>
      <c r="BF695">
        <v>180</v>
      </c>
      <c r="BG695">
        <v>66</v>
      </c>
      <c r="BH695" t="s">
        <v>3965</v>
      </c>
      <c r="BI695" t="s">
        <v>5706</v>
      </c>
      <c r="BJ695">
        <v>1</v>
      </c>
      <c r="BK695" t="s">
        <v>3902</v>
      </c>
    </row>
    <row r="696" spans="1:63" x14ac:dyDescent="0.25">
      <c r="A696">
        <v>4369</v>
      </c>
      <c r="B696" t="str">
        <f>"20200129176017105124"</f>
        <v>20200129176017105124</v>
      </c>
      <c r="C696">
        <v>1</v>
      </c>
      <c r="D696">
        <v>1</v>
      </c>
      <c r="E696" t="s">
        <v>3886</v>
      </c>
      <c r="F696">
        <v>2</v>
      </c>
      <c r="G696">
        <v>0</v>
      </c>
      <c r="H696" t="s">
        <v>66</v>
      </c>
      <c r="I696">
        <v>0</v>
      </c>
      <c r="J696" t="s">
        <v>66</v>
      </c>
      <c r="K696">
        <v>0</v>
      </c>
      <c r="L696" t="s">
        <v>66</v>
      </c>
      <c r="M696" t="s">
        <v>56</v>
      </c>
      <c r="N696">
        <v>0</v>
      </c>
      <c r="O696" t="s">
        <v>66</v>
      </c>
      <c r="P696" t="s">
        <v>56</v>
      </c>
      <c r="Q696">
        <v>0</v>
      </c>
      <c r="R696" t="s">
        <v>66</v>
      </c>
      <c r="S696" t="s">
        <v>56</v>
      </c>
      <c r="T696">
        <v>1</v>
      </c>
      <c r="U696" t="s">
        <v>1627</v>
      </c>
      <c r="V696" t="s">
        <v>56</v>
      </c>
      <c r="W696">
        <v>0</v>
      </c>
      <c r="X696" t="s">
        <v>66</v>
      </c>
      <c r="Y696" t="s">
        <v>56</v>
      </c>
      <c r="Z696">
        <v>0</v>
      </c>
      <c r="AA696" t="s">
        <v>66</v>
      </c>
      <c r="AB696" t="s">
        <v>56</v>
      </c>
      <c r="AC696">
        <v>1</v>
      </c>
      <c r="AD696" t="s">
        <v>1627</v>
      </c>
      <c r="AE696" t="s">
        <v>3887</v>
      </c>
      <c r="AF696">
        <v>0</v>
      </c>
      <c r="AG696" t="s">
        <v>66</v>
      </c>
      <c r="AH696" t="s">
        <v>56</v>
      </c>
      <c r="AI696">
        <v>1</v>
      </c>
      <c r="AJ696" t="s">
        <v>1627</v>
      </c>
      <c r="AK696" t="s">
        <v>56</v>
      </c>
      <c r="AL696" t="s">
        <v>56</v>
      </c>
      <c r="AM696" t="s">
        <v>56</v>
      </c>
      <c r="AN696" t="s">
        <v>56</v>
      </c>
      <c r="AO696" t="s">
        <v>5707</v>
      </c>
      <c r="AP696" t="s">
        <v>3962</v>
      </c>
      <c r="AQ696" t="s">
        <v>3963</v>
      </c>
      <c r="AR696" t="s">
        <v>3941</v>
      </c>
      <c r="AS696" t="s">
        <v>3942</v>
      </c>
      <c r="AT696" t="s">
        <v>5708</v>
      </c>
      <c r="AU696" t="s">
        <v>3944</v>
      </c>
      <c r="AV696" t="s">
        <v>3945</v>
      </c>
      <c r="AW696" t="s">
        <v>3946</v>
      </c>
      <c r="AX696">
        <v>24</v>
      </c>
      <c r="AY696">
        <v>2</v>
      </c>
      <c r="AZ696" t="s">
        <v>3897</v>
      </c>
      <c r="BA696">
        <v>10</v>
      </c>
      <c r="BB696" t="s">
        <v>3898</v>
      </c>
      <c r="BC696">
        <v>3</v>
      </c>
      <c r="BD696">
        <v>5</v>
      </c>
      <c r="BE696" t="s">
        <v>3899</v>
      </c>
      <c r="BF696">
        <v>90</v>
      </c>
      <c r="BG696">
        <v>66</v>
      </c>
      <c r="BH696" t="s">
        <v>3965</v>
      </c>
      <c r="BI696" t="s">
        <v>5709</v>
      </c>
      <c r="BJ696">
        <v>1</v>
      </c>
      <c r="BK696" t="s">
        <v>3902</v>
      </c>
    </row>
    <row r="697" spans="1:63" x14ac:dyDescent="0.25">
      <c r="A697">
        <v>4370</v>
      </c>
      <c r="B697" t="str">
        <f>"20200129167017105636"</f>
        <v>20200129167017105636</v>
      </c>
      <c r="C697">
        <v>1</v>
      </c>
      <c r="D697">
        <v>1</v>
      </c>
      <c r="E697" t="s">
        <v>3886</v>
      </c>
      <c r="F697">
        <v>2</v>
      </c>
      <c r="G697">
        <v>0</v>
      </c>
      <c r="H697" t="s">
        <v>66</v>
      </c>
      <c r="I697">
        <v>0</v>
      </c>
      <c r="J697" t="s">
        <v>66</v>
      </c>
      <c r="K697">
        <v>0</v>
      </c>
      <c r="L697" t="s">
        <v>66</v>
      </c>
      <c r="M697" t="s">
        <v>56</v>
      </c>
      <c r="N697">
        <v>0</v>
      </c>
      <c r="O697" t="s">
        <v>66</v>
      </c>
      <c r="P697" t="s">
        <v>56</v>
      </c>
      <c r="Q697">
        <v>0</v>
      </c>
      <c r="R697" t="s">
        <v>66</v>
      </c>
      <c r="S697" t="s">
        <v>56</v>
      </c>
      <c r="T697">
        <v>1</v>
      </c>
      <c r="U697" t="s">
        <v>1627</v>
      </c>
      <c r="V697" t="s">
        <v>56</v>
      </c>
      <c r="W697">
        <v>0</v>
      </c>
      <c r="X697" t="s">
        <v>66</v>
      </c>
      <c r="Y697" t="s">
        <v>56</v>
      </c>
      <c r="Z697">
        <v>0</v>
      </c>
      <c r="AA697" t="s">
        <v>66</v>
      </c>
      <c r="AB697" t="s">
        <v>56</v>
      </c>
      <c r="AC697">
        <v>1</v>
      </c>
      <c r="AD697" t="s">
        <v>1627</v>
      </c>
      <c r="AE697" t="s">
        <v>3887</v>
      </c>
      <c r="AF697">
        <v>0</v>
      </c>
      <c r="AG697" t="s">
        <v>66</v>
      </c>
      <c r="AH697" t="s">
        <v>56</v>
      </c>
      <c r="AI697">
        <v>1</v>
      </c>
      <c r="AJ697" t="s">
        <v>1627</v>
      </c>
      <c r="AK697" t="s">
        <v>56</v>
      </c>
      <c r="AL697" t="s">
        <v>56</v>
      </c>
      <c r="AM697" t="s">
        <v>56</v>
      </c>
      <c r="AN697" t="s">
        <v>56</v>
      </c>
      <c r="AO697" t="s">
        <v>3992</v>
      </c>
      <c r="AP697" t="s">
        <v>3889</v>
      </c>
      <c r="AQ697" t="s">
        <v>3890</v>
      </c>
      <c r="AR697" t="s">
        <v>3926</v>
      </c>
      <c r="AS697" t="s">
        <v>3927</v>
      </c>
      <c r="AT697" t="s">
        <v>5710</v>
      </c>
      <c r="AU697">
        <v>9000</v>
      </c>
      <c r="AV697" t="s">
        <v>3956</v>
      </c>
      <c r="AW697" t="s">
        <v>3956</v>
      </c>
      <c r="AX697">
        <v>12</v>
      </c>
      <c r="AY697">
        <v>2</v>
      </c>
      <c r="AZ697" t="s">
        <v>3897</v>
      </c>
      <c r="BA697">
        <v>10</v>
      </c>
      <c r="BB697" t="s">
        <v>3898</v>
      </c>
      <c r="BC697">
        <v>3</v>
      </c>
      <c r="BD697">
        <v>5</v>
      </c>
      <c r="BE697" t="s">
        <v>3899</v>
      </c>
      <c r="BF697">
        <v>3</v>
      </c>
      <c r="BG697">
        <v>13</v>
      </c>
      <c r="BH697" t="s">
        <v>3900</v>
      </c>
      <c r="BI697" t="s">
        <v>5711</v>
      </c>
      <c r="BJ697">
        <v>1</v>
      </c>
      <c r="BK697" t="s">
        <v>3902</v>
      </c>
    </row>
    <row r="698" spans="1:63" x14ac:dyDescent="0.25">
      <c r="A698">
        <v>4371</v>
      </c>
      <c r="B698" t="str">
        <f>"20200129116017105743"</f>
        <v>20200129116017105743</v>
      </c>
      <c r="C698">
        <v>1</v>
      </c>
      <c r="D698">
        <v>1</v>
      </c>
      <c r="E698" t="s">
        <v>3886</v>
      </c>
      <c r="F698">
        <v>2</v>
      </c>
      <c r="G698">
        <v>0</v>
      </c>
      <c r="H698" t="s">
        <v>66</v>
      </c>
      <c r="I698">
        <v>0</v>
      </c>
      <c r="J698" t="s">
        <v>66</v>
      </c>
      <c r="K698">
        <v>1</v>
      </c>
      <c r="L698" t="s">
        <v>1627</v>
      </c>
      <c r="M698" t="s">
        <v>4123</v>
      </c>
      <c r="N698">
        <v>0</v>
      </c>
      <c r="O698" t="s">
        <v>66</v>
      </c>
      <c r="P698" t="s">
        <v>56</v>
      </c>
      <c r="Q698">
        <v>1</v>
      </c>
      <c r="R698" t="s">
        <v>1627</v>
      </c>
      <c r="S698" t="s">
        <v>5712</v>
      </c>
      <c r="T698" t="s">
        <v>56</v>
      </c>
      <c r="U698" t="s">
        <v>56</v>
      </c>
      <c r="V698" t="s">
        <v>56</v>
      </c>
      <c r="W698">
        <v>0</v>
      </c>
      <c r="X698" t="s">
        <v>66</v>
      </c>
      <c r="Y698" t="s">
        <v>56</v>
      </c>
      <c r="Z698">
        <v>0</v>
      </c>
      <c r="AA698" t="s">
        <v>66</v>
      </c>
      <c r="AB698" t="s">
        <v>56</v>
      </c>
      <c r="AC698">
        <v>0</v>
      </c>
      <c r="AD698" t="s">
        <v>66</v>
      </c>
      <c r="AE698" t="s">
        <v>56</v>
      </c>
      <c r="AF698">
        <v>0</v>
      </c>
      <c r="AG698" t="s">
        <v>66</v>
      </c>
      <c r="AH698" t="s">
        <v>56</v>
      </c>
      <c r="AI698">
        <v>1</v>
      </c>
      <c r="AJ698" t="s">
        <v>1627</v>
      </c>
      <c r="AK698">
        <v>0</v>
      </c>
      <c r="AL698" t="s">
        <v>66</v>
      </c>
      <c r="AM698" t="s">
        <v>56</v>
      </c>
      <c r="AN698" t="s">
        <v>56</v>
      </c>
      <c r="AO698" t="s">
        <v>5200</v>
      </c>
      <c r="AP698" t="s">
        <v>3962</v>
      </c>
      <c r="AQ698" t="s">
        <v>3963</v>
      </c>
      <c r="AR698" t="s">
        <v>3941</v>
      </c>
      <c r="AS698" t="s">
        <v>3942</v>
      </c>
      <c r="AT698" t="s">
        <v>5713</v>
      </c>
      <c r="AU698" t="s">
        <v>3944</v>
      </c>
      <c r="AV698" t="s">
        <v>3945</v>
      </c>
      <c r="AW698" t="s">
        <v>3946</v>
      </c>
      <c r="AX698">
        <v>12</v>
      </c>
      <c r="AY698">
        <v>2</v>
      </c>
      <c r="AZ698" t="s">
        <v>3897</v>
      </c>
      <c r="BA698">
        <v>10</v>
      </c>
      <c r="BB698" t="s">
        <v>3898</v>
      </c>
      <c r="BC698">
        <v>30</v>
      </c>
      <c r="BD698">
        <v>3</v>
      </c>
      <c r="BE698" t="s">
        <v>3911</v>
      </c>
      <c r="BF698">
        <v>30</v>
      </c>
      <c r="BG698">
        <v>66</v>
      </c>
      <c r="BH698" t="s">
        <v>3965</v>
      </c>
      <c r="BI698" t="s">
        <v>5714</v>
      </c>
      <c r="BJ698">
        <v>1</v>
      </c>
      <c r="BK698" t="s">
        <v>3902</v>
      </c>
    </row>
    <row r="699" spans="1:63" x14ac:dyDescent="0.25">
      <c r="A699">
        <v>4372</v>
      </c>
      <c r="B699" t="str">
        <f>"20200129166017105848"</f>
        <v>20200129166017105848</v>
      </c>
      <c r="C699">
        <v>1</v>
      </c>
      <c r="D699">
        <v>1</v>
      </c>
      <c r="E699" t="s">
        <v>3886</v>
      </c>
      <c r="F699">
        <v>2</v>
      </c>
      <c r="G699">
        <v>0</v>
      </c>
      <c r="H699" t="s">
        <v>66</v>
      </c>
      <c r="I699">
        <v>0</v>
      </c>
      <c r="J699" t="s">
        <v>66</v>
      </c>
      <c r="K699">
        <v>1</v>
      </c>
      <c r="L699" t="s">
        <v>1627</v>
      </c>
      <c r="M699" t="s">
        <v>3976</v>
      </c>
      <c r="N699">
        <v>1</v>
      </c>
      <c r="O699" t="s">
        <v>1627</v>
      </c>
      <c r="P699" t="s">
        <v>5715</v>
      </c>
      <c r="Q699">
        <v>0</v>
      </c>
      <c r="R699" t="s">
        <v>66</v>
      </c>
      <c r="S699" t="s">
        <v>56</v>
      </c>
      <c r="T699" t="s">
        <v>56</v>
      </c>
      <c r="U699" t="s">
        <v>56</v>
      </c>
      <c r="V699" t="s">
        <v>56</v>
      </c>
      <c r="W699">
        <v>0</v>
      </c>
      <c r="X699" t="s">
        <v>66</v>
      </c>
      <c r="Y699" t="s">
        <v>56</v>
      </c>
      <c r="Z699">
        <v>0</v>
      </c>
      <c r="AA699" t="s">
        <v>66</v>
      </c>
      <c r="AB699" t="s">
        <v>56</v>
      </c>
      <c r="AC699">
        <v>0</v>
      </c>
      <c r="AD699" t="s">
        <v>66</v>
      </c>
      <c r="AE699" t="s">
        <v>56</v>
      </c>
      <c r="AF699">
        <v>0</v>
      </c>
      <c r="AG699" t="s">
        <v>66</v>
      </c>
      <c r="AH699" t="s">
        <v>56</v>
      </c>
      <c r="AI699">
        <v>1</v>
      </c>
      <c r="AJ699" t="s">
        <v>1627</v>
      </c>
      <c r="AK699" t="s">
        <v>56</v>
      </c>
      <c r="AL699" t="s">
        <v>56</v>
      </c>
      <c r="AM699" t="s">
        <v>56</v>
      </c>
      <c r="AN699" t="s">
        <v>56</v>
      </c>
      <c r="AO699" t="s">
        <v>3982</v>
      </c>
      <c r="AP699" t="s">
        <v>3962</v>
      </c>
      <c r="AQ699" t="s">
        <v>3963</v>
      </c>
      <c r="AR699" t="s">
        <v>3941</v>
      </c>
      <c r="AS699" t="s">
        <v>3942</v>
      </c>
      <c r="AT699" t="s">
        <v>5716</v>
      </c>
      <c r="AU699">
        <v>9000</v>
      </c>
      <c r="AV699" t="s">
        <v>3956</v>
      </c>
      <c r="AW699" t="s">
        <v>3956</v>
      </c>
      <c r="AX699">
        <v>12</v>
      </c>
      <c r="AY699">
        <v>2</v>
      </c>
      <c r="AZ699" t="s">
        <v>3897</v>
      </c>
      <c r="BA699">
        <v>10</v>
      </c>
      <c r="BB699" t="s">
        <v>3898</v>
      </c>
      <c r="BC699">
        <v>3</v>
      </c>
      <c r="BD699">
        <v>5</v>
      </c>
      <c r="BE699" t="s">
        <v>3899</v>
      </c>
      <c r="BF699">
        <v>180</v>
      </c>
      <c r="BG699">
        <v>66</v>
      </c>
      <c r="BH699" t="s">
        <v>3965</v>
      </c>
      <c r="BI699" t="s">
        <v>5717</v>
      </c>
      <c r="BJ699">
        <v>1</v>
      </c>
      <c r="BK699" t="s">
        <v>3902</v>
      </c>
    </row>
    <row r="700" spans="1:63" x14ac:dyDescent="0.25">
      <c r="A700">
        <v>4373</v>
      </c>
      <c r="B700" t="str">
        <f>"20200129123017105856"</f>
        <v>20200129123017105856</v>
      </c>
      <c r="C700">
        <v>1</v>
      </c>
      <c r="D700">
        <v>1</v>
      </c>
      <c r="E700" t="s">
        <v>3886</v>
      </c>
      <c r="F700">
        <v>2</v>
      </c>
      <c r="G700">
        <v>0</v>
      </c>
      <c r="H700" t="s">
        <v>66</v>
      </c>
      <c r="I700">
        <v>0</v>
      </c>
      <c r="J700" t="s">
        <v>66</v>
      </c>
      <c r="K700">
        <v>1</v>
      </c>
      <c r="L700" t="s">
        <v>1627</v>
      </c>
      <c r="M700" t="s">
        <v>5718</v>
      </c>
      <c r="N700">
        <v>1</v>
      </c>
      <c r="O700" t="s">
        <v>1627</v>
      </c>
      <c r="P700" t="s">
        <v>5719</v>
      </c>
      <c r="Q700">
        <v>0</v>
      </c>
      <c r="R700" t="s">
        <v>66</v>
      </c>
      <c r="S700" t="s">
        <v>56</v>
      </c>
      <c r="T700" t="s">
        <v>56</v>
      </c>
      <c r="U700" t="s">
        <v>56</v>
      </c>
      <c r="V700" t="s">
        <v>56</v>
      </c>
      <c r="W700">
        <v>0</v>
      </c>
      <c r="X700" t="s">
        <v>66</v>
      </c>
      <c r="Y700" t="s">
        <v>56</v>
      </c>
      <c r="Z700">
        <v>0</v>
      </c>
      <c r="AA700" t="s">
        <v>66</v>
      </c>
      <c r="AB700" t="s">
        <v>56</v>
      </c>
      <c r="AC700">
        <v>0</v>
      </c>
      <c r="AD700" t="s">
        <v>66</v>
      </c>
      <c r="AE700" t="s">
        <v>56</v>
      </c>
      <c r="AF700">
        <v>0</v>
      </c>
      <c r="AG700" t="s">
        <v>66</v>
      </c>
      <c r="AH700" t="s">
        <v>56</v>
      </c>
      <c r="AI700">
        <v>1</v>
      </c>
      <c r="AJ700" t="s">
        <v>1627</v>
      </c>
      <c r="AK700">
        <v>0</v>
      </c>
      <c r="AL700" t="s">
        <v>66</v>
      </c>
      <c r="AM700" t="s">
        <v>56</v>
      </c>
      <c r="AN700" t="s">
        <v>56</v>
      </c>
      <c r="AO700" t="s">
        <v>4646</v>
      </c>
      <c r="AP700" t="s">
        <v>4077</v>
      </c>
      <c r="AQ700" t="s">
        <v>4078</v>
      </c>
      <c r="AR700" t="s">
        <v>3941</v>
      </c>
      <c r="AS700" t="s">
        <v>3942</v>
      </c>
      <c r="AT700" t="s">
        <v>5720</v>
      </c>
      <c r="AU700" t="s">
        <v>3944</v>
      </c>
      <c r="AV700" t="s">
        <v>3945</v>
      </c>
      <c r="AW700" t="s">
        <v>3946</v>
      </c>
      <c r="AX700">
        <v>24</v>
      </c>
      <c r="AY700">
        <v>2</v>
      </c>
      <c r="AZ700" t="s">
        <v>3897</v>
      </c>
      <c r="BA700">
        <v>10</v>
      </c>
      <c r="BB700" t="s">
        <v>3898</v>
      </c>
      <c r="BC700">
        <v>90</v>
      </c>
      <c r="BD700">
        <v>3</v>
      </c>
      <c r="BE700" t="s">
        <v>3911</v>
      </c>
      <c r="BF700">
        <v>270</v>
      </c>
      <c r="BG700">
        <v>66</v>
      </c>
      <c r="BH700" t="s">
        <v>3965</v>
      </c>
      <c r="BI700" t="s">
        <v>5721</v>
      </c>
      <c r="BJ700">
        <v>1</v>
      </c>
      <c r="BK700" t="s">
        <v>3902</v>
      </c>
    </row>
    <row r="701" spans="1:63" x14ac:dyDescent="0.25">
      <c r="A701">
        <v>4374</v>
      </c>
      <c r="B701" t="str">
        <f>"20200129123017106132"</f>
        <v>20200129123017106132</v>
      </c>
      <c r="C701">
        <v>1</v>
      </c>
      <c r="D701">
        <v>1</v>
      </c>
      <c r="E701" t="s">
        <v>3886</v>
      </c>
      <c r="F701">
        <v>1</v>
      </c>
      <c r="G701">
        <v>0</v>
      </c>
      <c r="H701" t="s">
        <v>66</v>
      </c>
      <c r="I701">
        <v>0</v>
      </c>
      <c r="J701" t="s">
        <v>66</v>
      </c>
      <c r="K701">
        <v>0</v>
      </c>
      <c r="L701" t="s">
        <v>66</v>
      </c>
      <c r="M701" t="s">
        <v>56</v>
      </c>
      <c r="N701">
        <v>0</v>
      </c>
      <c r="O701" t="s">
        <v>66</v>
      </c>
      <c r="P701" t="s">
        <v>56</v>
      </c>
      <c r="Q701">
        <v>0</v>
      </c>
      <c r="R701" t="s">
        <v>66</v>
      </c>
      <c r="S701" t="s">
        <v>56</v>
      </c>
      <c r="T701">
        <v>1</v>
      </c>
      <c r="U701" t="s">
        <v>1627</v>
      </c>
      <c r="V701" t="s">
        <v>56</v>
      </c>
      <c r="W701">
        <v>0</v>
      </c>
      <c r="X701" t="s">
        <v>66</v>
      </c>
      <c r="Y701" t="s">
        <v>56</v>
      </c>
      <c r="Z701">
        <v>0</v>
      </c>
      <c r="AA701" t="s">
        <v>66</v>
      </c>
      <c r="AB701" t="s">
        <v>56</v>
      </c>
      <c r="AC701">
        <v>1</v>
      </c>
      <c r="AD701" t="s">
        <v>1627</v>
      </c>
      <c r="AE701" t="s">
        <v>3887</v>
      </c>
      <c r="AF701">
        <v>0</v>
      </c>
      <c r="AG701" t="s">
        <v>66</v>
      </c>
      <c r="AH701" t="s">
        <v>56</v>
      </c>
      <c r="AI701">
        <v>1</v>
      </c>
      <c r="AJ701" t="s">
        <v>1627</v>
      </c>
      <c r="AK701" t="s">
        <v>56</v>
      </c>
      <c r="AL701" t="s">
        <v>56</v>
      </c>
      <c r="AM701" t="s">
        <v>56</v>
      </c>
      <c r="AN701" t="s">
        <v>56</v>
      </c>
      <c r="AO701" t="s">
        <v>3933</v>
      </c>
      <c r="AP701" t="s">
        <v>3934</v>
      </c>
      <c r="AQ701" t="s">
        <v>3935</v>
      </c>
      <c r="AR701" t="s">
        <v>3926</v>
      </c>
      <c r="AS701" t="s">
        <v>3927</v>
      </c>
      <c r="AT701" t="s">
        <v>5722</v>
      </c>
      <c r="AU701" t="s">
        <v>3894</v>
      </c>
      <c r="AV701" t="s">
        <v>3895</v>
      </c>
      <c r="AW701" t="s">
        <v>3896</v>
      </c>
      <c r="AX701">
        <v>8</v>
      </c>
      <c r="AY701">
        <v>2</v>
      </c>
      <c r="AZ701" t="s">
        <v>3897</v>
      </c>
      <c r="BA701">
        <v>9</v>
      </c>
      <c r="BB701" t="s">
        <v>4170</v>
      </c>
      <c r="BC701">
        <v>3</v>
      </c>
      <c r="BD701">
        <v>5</v>
      </c>
      <c r="BE701" t="s">
        <v>3899</v>
      </c>
      <c r="BF701">
        <v>3</v>
      </c>
      <c r="BG701">
        <v>13</v>
      </c>
      <c r="BH701" t="s">
        <v>3900</v>
      </c>
      <c r="BI701" t="s">
        <v>5723</v>
      </c>
      <c r="BJ701">
        <v>1</v>
      </c>
      <c r="BK701" t="s">
        <v>3902</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heetViews>
  <sheetFormatPr baseColWidth="10" defaultColWidth="9.140625" defaultRowHeight="15" x14ac:dyDescent="0.25"/>
  <cols>
    <col min="1" max="1" width="24.7109375" bestFit="1" customWidth="1"/>
    <col min="2" max="2" width="9.28515625" bestFit="1" customWidth="1"/>
    <col min="3" max="3" width="10.5703125" bestFit="1" customWidth="1"/>
    <col min="4" max="4" width="16.42578125" bestFit="1" customWidth="1"/>
    <col min="5" max="5" width="143.85546875" bestFit="1" customWidth="1"/>
  </cols>
  <sheetData>
    <row r="1" spans="1:5" x14ac:dyDescent="0.25">
      <c r="A1" t="s">
        <v>0</v>
      </c>
      <c r="B1" t="s">
        <v>3824</v>
      </c>
      <c r="C1" t="s">
        <v>3825</v>
      </c>
      <c r="D1" t="s">
        <v>5724</v>
      </c>
      <c r="E1" t="s">
        <v>5725</v>
      </c>
    </row>
    <row r="2" spans="1:5" x14ac:dyDescent="0.25">
      <c r="A2" t="str">
        <f>"20200124179017003528"</f>
        <v>20200124179017003528</v>
      </c>
      <c r="B2">
        <v>1033</v>
      </c>
      <c r="C2">
        <v>1</v>
      </c>
      <c r="D2">
        <v>70</v>
      </c>
      <c r="E2" t="s">
        <v>5726</v>
      </c>
    </row>
    <row r="3" spans="1:5" x14ac:dyDescent="0.25">
      <c r="A3" t="str">
        <f>"20200127110017050240"</f>
        <v>20200127110017050240</v>
      </c>
      <c r="B3">
        <v>4180</v>
      </c>
      <c r="C3">
        <v>1</v>
      </c>
      <c r="D3">
        <v>96</v>
      </c>
      <c r="E3" t="s">
        <v>5727</v>
      </c>
    </row>
    <row r="4" spans="1:5" x14ac:dyDescent="0.25">
      <c r="A4" t="str">
        <f>"20200131122017163568"</f>
        <v>20200131122017163568</v>
      </c>
      <c r="B4">
        <v>4657</v>
      </c>
      <c r="C4">
        <v>2</v>
      </c>
      <c r="D4">
        <v>104</v>
      </c>
      <c r="E4" t="s">
        <v>5728</v>
      </c>
    </row>
    <row r="5" spans="1:5" x14ac:dyDescent="0.25">
      <c r="A5" t="str">
        <f>"20200131122017163568"</f>
        <v>20200131122017163568</v>
      </c>
      <c r="B5">
        <v>4658</v>
      </c>
      <c r="C5">
        <v>3</v>
      </c>
      <c r="D5">
        <v>104</v>
      </c>
      <c r="E5" t="s">
        <v>5728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9"/>
  <sheetViews>
    <sheetView workbookViewId="0">
      <selection activeCell="B3" sqref="B3"/>
    </sheetView>
  </sheetViews>
  <sheetFormatPr baseColWidth="10" defaultColWidth="9.140625" defaultRowHeight="15" x14ac:dyDescent="0.25"/>
  <cols>
    <col min="1" max="1" width="24.7109375" bestFit="1" customWidth="1"/>
    <col min="2" max="2" width="10.5703125" bestFit="1" customWidth="1"/>
    <col min="3" max="3" width="11.7109375" bestFit="1" customWidth="1"/>
    <col min="4" max="4" width="17.5703125" bestFit="1" customWidth="1"/>
    <col min="5" max="5" width="10.5703125" bestFit="1" customWidth="1"/>
    <col min="6" max="7" width="11.7109375" bestFit="1" customWidth="1"/>
    <col min="8" max="9" width="9.28515625" bestFit="1" customWidth="1"/>
    <col min="10" max="10" width="18.7109375" bestFit="1" customWidth="1"/>
    <col min="11" max="11" width="225.28515625" bestFit="1" customWidth="1"/>
    <col min="12" max="12" width="11.7109375" bestFit="1" customWidth="1"/>
    <col min="13" max="13" width="20" bestFit="1" customWidth="1"/>
    <col min="14" max="14" width="146.140625" bestFit="1" customWidth="1"/>
    <col min="15" max="15" width="14" bestFit="1" customWidth="1"/>
    <col min="16" max="16" width="22.28515625" bestFit="1" customWidth="1"/>
    <col min="17" max="17" width="14" bestFit="1" customWidth="1"/>
    <col min="18" max="20" width="11.7109375" bestFit="1" customWidth="1"/>
    <col min="21" max="21" width="9.28515625" bestFit="1" customWidth="1"/>
    <col min="22" max="22" width="171" bestFit="1" customWidth="1"/>
    <col min="23" max="23" width="9.28515625" bestFit="1" customWidth="1"/>
    <col min="24" max="24" width="12.85546875" bestFit="1" customWidth="1"/>
    <col min="25" max="25" width="11.7109375" bestFit="1" customWidth="1"/>
    <col min="26" max="26" width="17.5703125" bestFit="1" customWidth="1"/>
    <col min="27" max="28" width="11.7109375" bestFit="1" customWidth="1"/>
    <col min="29" max="29" width="16.42578125" bestFit="1" customWidth="1"/>
    <col min="30" max="30" width="22.28515625" bestFit="1" customWidth="1"/>
    <col min="31" max="31" width="592.140625" bestFit="1" customWidth="1"/>
    <col min="32" max="32" width="189.85546875" bestFit="1" customWidth="1"/>
    <col min="33" max="33" width="7" bestFit="1" customWidth="1"/>
    <col min="34" max="34" width="41.140625" bestFit="1" customWidth="1"/>
  </cols>
  <sheetData>
    <row r="1" spans="1:34" ht="75" x14ac:dyDescent="0.25">
      <c r="B1" s="2" t="s">
        <v>6567</v>
      </c>
    </row>
    <row r="2" spans="1:34" x14ac:dyDescent="0.25">
      <c r="B2" s="3" t="s">
        <v>6569</v>
      </c>
    </row>
    <row r="3" spans="1:34" x14ac:dyDescent="0.25">
      <c r="A3" t="s">
        <v>0</v>
      </c>
      <c r="B3" t="s">
        <v>3825</v>
      </c>
      <c r="C3" t="s">
        <v>3828</v>
      </c>
      <c r="D3" t="s">
        <v>5729</v>
      </c>
      <c r="E3" t="s">
        <v>5730</v>
      </c>
      <c r="F3" t="s">
        <v>5731</v>
      </c>
      <c r="G3" t="s">
        <v>3831</v>
      </c>
      <c r="H3" t="s">
        <v>3833</v>
      </c>
      <c r="I3" t="s">
        <v>3842</v>
      </c>
      <c r="J3" t="s">
        <v>5732</v>
      </c>
      <c r="K3" t="s">
        <v>5733</v>
      </c>
      <c r="L3" t="s">
        <v>3857</v>
      </c>
      <c r="M3" t="s">
        <v>5734</v>
      </c>
      <c r="N3" t="s">
        <v>5735</v>
      </c>
      <c r="O3" t="s">
        <v>5736</v>
      </c>
      <c r="P3" t="s">
        <v>5737</v>
      </c>
      <c r="Q3" t="s">
        <v>5738</v>
      </c>
      <c r="R3" t="s">
        <v>5739</v>
      </c>
      <c r="S3" t="s">
        <v>3861</v>
      </c>
      <c r="T3" t="s">
        <v>5740</v>
      </c>
      <c r="U3" t="s">
        <v>5741</v>
      </c>
      <c r="V3" t="s">
        <v>5742</v>
      </c>
      <c r="W3" t="s">
        <v>5743</v>
      </c>
      <c r="X3" t="s">
        <v>5744</v>
      </c>
      <c r="Y3" t="s">
        <v>5745</v>
      </c>
      <c r="Z3" t="s">
        <v>5746</v>
      </c>
      <c r="AA3" t="s">
        <v>5747</v>
      </c>
      <c r="AB3" t="s">
        <v>5748</v>
      </c>
      <c r="AC3" t="s">
        <v>5749</v>
      </c>
      <c r="AD3" t="s">
        <v>5750</v>
      </c>
      <c r="AE3" t="s">
        <v>3868</v>
      </c>
      <c r="AF3" t="s">
        <v>3883</v>
      </c>
      <c r="AG3" t="s">
        <v>3884</v>
      </c>
    </row>
    <row r="4" spans="1:34" x14ac:dyDescent="0.25">
      <c r="A4" t="str">
        <f>"20200202159017192428"</f>
        <v>20200202159017192428</v>
      </c>
      <c r="B4">
        <v>1</v>
      </c>
      <c r="C4">
        <v>1</v>
      </c>
      <c r="D4" t="s">
        <v>5751</v>
      </c>
      <c r="E4" t="s">
        <v>1627</v>
      </c>
      <c r="F4" t="s">
        <v>56</v>
      </c>
      <c r="G4" t="s">
        <v>56</v>
      </c>
      <c r="H4" t="s">
        <v>66</v>
      </c>
      <c r="I4" t="s">
        <v>66</v>
      </c>
      <c r="J4" t="s">
        <v>56</v>
      </c>
      <c r="K4" t="s">
        <v>56</v>
      </c>
      <c r="L4" t="s">
        <v>1627</v>
      </c>
      <c r="M4" t="s">
        <v>56</v>
      </c>
      <c r="N4" t="s">
        <v>56</v>
      </c>
      <c r="O4" t="s">
        <v>1627</v>
      </c>
      <c r="P4" t="s">
        <v>3887</v>
      </c>
      <c r="Q4" t="s">
        <v>66</v>
      </c>
      <c r="R4" t="s">
        <v>56</v>
      </c>
      <c r="S4" t="s">
        <v>56</v>
      </c>
      <c r="T4" t="s">
        <v>56</v>
      </c>
      <c r="U4">
        <v>209606</v>
      </c>
      <c r="V4" t="s">
        <v>5752</v>
      </c>
      <c r="W4">
        <v>1</v>
      </c>
      <c r="X4">
        <v>1</v>
      </c>
      <c r="Y4">
        <v>8</v>
      </c>
      <c r="Z4" t="s">
        <v>5751</v>
      </c>
      <c r="AA4" t="s">
        <v>56</v>
      </c>
      <c r="AB4">
        <v>1</v>
      </c>
      <c r="AC4" t="s">
        <v>56</v>
      </c>
      <c r="AD4" t="s">
        <v>56</v>
      </c>
      <c r="AE4" t="s">
        <v>5753</v>
      </c>
      <c r="AF4" t="s">
        <v>5754</v>
      </c>
      <c r="AG4">
        <v>1</v>
      </c>
      <c r="AH4" t="s">
        <v>3902</v>
      </c>
    </row>
    <row r="5" spans="1:34" x14ac:dyDescent="0.25">
      <c r="A5" t="str">
        <f>"20200202138017192459"</f>
        <v>20200202138017192459</v>
      </c>
      <c r="B5">
        <v>1</v>
      </c>
      <c r="C5">
        <v>1</v>
      </c>
      <c r="D5" t="s">
        <v>5751</v>
      </c>
      <c r="E5" t="s">
        <v>66</v>
      </c>
      <c r="F5" t="s">
        <v>1627</v>
      </c>
      <c r="G5" t="s">
        <v>56</v>
      </c>
      <c r="H5" t="s">
        <v>66</v>
      </c>
      <c r="I5" t="s">
        <v>66</v>
      </c>
      <c r="J5" t="s">
        <v>56</v>
      </c>
      <c r="K5" t="s">
        <v>56</v>
      </c>
      <c r="L5" t="s">
        <v>1627</v>
      </c>
      <c r="M5" t="s">
        <v>56</v>
      </c>
      <c r="N5" t="s">
        <v>56</v>
      </c>
      <c r="O5" t="s">
        <v>1627</v>
      </c>
      <c r="P5" t="s">
        <v>3887</v>
      </c>
      <c r="Q5" t="s">
        <v>66</v>
      </c>
      <c r="R5" t="s">
        <v>56</v>
      </c>
      <c r="S5" t="s">
        <v>56</v>
      </c>
      <c r="T5" t="s">
        <v>56</v>
      </c>
      <c r="U5">
        <v>209606</v>
      </c>
      <c r="V5" t="s">
        <v>5752</v>
      </c>
      <c r="W5">
        <v>1</v>
      </c>
      <c r="X5">
        <v>1</v>
      </c>
      <c r="Y5">
        <v>8</v>
      </c>
      <c r="Z5" t="s">
        <v>5751</v>
      </c>
      <c r="AA5" t="s">
        <v>56</v>
      </c>
      <c r="AB5">
        <v>1</v>
      </c>
      <c r="AC5" t="s">
        <v>56</v>
      </c>
      <c r="AD5" t="s">
        <v>56</v>
      </c>
      <c r="AE5" t="s">
        <v>5755</v>
      </c>
      <c r="AF5" t="s">
        <v>5756</v>
      </c>
      <c r="AG5">
        <v>1</v>
      </c>
      <c r="AH5" t="s">
        <v>3902</v>
      </c>
    </row>
    <row r="6" spans="1:34" x14ac:dyDescent="0.25">
      <c r="A6" t="str">
        <f>"20200128131017079171"</f>
        <v>20200128131017079171</v>
      </c>
      <c r="B6">
        <v>1</v>
      </c>
      <c r="C6">
        <v>1</v>
      </c>
      <c r="D6" t="s">
        <v>5751</v>
      </c>
      <c r="E6" t="s">
        <v>1627</v>
      </c>
      <c r="F6" t="s">
        <v>56</v>
      </c>
      <c r="G6" t="s">
        <v>56</v>
      </c>
      <c r="H6" t="s">
        <v>66</v>
      </c>
      <c r="I6" t="s">
        <v>66</v>
      </c>
      <c r="J6" t="s">
        <v>56</v>
      </c>
      <c r="K6" t="s">
        <v>56</v>
      </c>
      <c r="L6" t="s">
        <v>1627</v>
      </c>
      <c r="M6" t="s">
        <v>56</v>
      </c>
      <c r="N6" t="s">
        <v>56</v>
      </c>
      <c r="O6" t="s">
        <v>1627</v>
      </c>
      <c r="P6" t="s">
        <v>3887</v>
      </c>
      <c r="Q6" t="s">
        <v>66</v>
      </c>
      <c r="R6" t="s">
        <v>56</v>
      </c>
      <c r="S6" t="s">
        <v>56</v>
      </c>
      <c r="T6" t="s">
        <v>56</v>
      </c>
      <c r="U6">
        <v>129303</v>
      </c>
      <c r="V6" t="s">
        <v>5757</v>
      </c>
      <c r="W6">
        <v>1</v>
      </c>
      <c r="X6">
        <v>1</v>
      </c>
      <c r="Y6">
        <v>8</v>
      </c>
      <c r="Z6" t="s">
        <v>5751</v>
      </c>
      <c r="AA6" t="s">
        <v>56</v>
      </c>
      <c r="AB6">
        <v>1</v>
      </c>
      <c r="AC6" t="s">
        <v>56</v>
      </c>
      <c r="AD6" t="s">
        <v>56</v>
      </c>
      <c r="AE6" t="s">
        <v>5758</v>
      </c>
      <c r="AF6" t="s">
        <v>5759</v>
      </c>
      <c r="AG6">
        <v>1</v>
      </c>
      <c r="AH6" t="s">
        <v>3902</v>
      </c>
    </row>
    <row r="7" spans="1:34" x14ac:dyDescent="0.25">
      <c r="A7" t="str">
        <f>"20200128193017080629"</f>
        <v>20200128193017080629</v>
      </c>
      <c r="B7">
        <v>1</v>
      </c>
      <c r="C7">
        <v>1</v>
      </c>
      <c r="D7" t="s">
        <v>5751</v>
      </c>
      <c r="E7" t="s">
        <v>1627</v>
      </c>
      <c r="F7" t="s">
        <v>56</v>
      </c>
      <c r="G7" t="s">
        <v>56</v>
      </c>
      <c r="H7" t="s">
        <v>66</v>
      </c>
      <c r="I7" t="s">
        <v>66</v>
      </c>
      <c r="J7" t="s">
        <v>56</v>
      </c>
      <c r="K7" t="s">
        <v>56</v>
      </c>
      <c r="L7" t="s">
        <v>1627</v>
      </c>
      <c r="M7" t="s">
        <v>56</v>
      </c>
      <c r="N7" t="s">
        <v>56</v>
      </c>
      <c r="O7" t="s">
        <v>1627</v>
      </c>
      <c r="P7" t="s">
        <v>3887</v>
      </c>
      <c r="Q7" t="s">
        <v>66</v>
      </c>
      <c r="R7" t="s">
        <v>56</v>
      </c>
      <c r="S7" t="s">
        <v>56</v>
      </c>
      <c r="T7" t="s">
        <v>56</v>
      </c>
      <c r="U7">
        <v>306003</v>
      </c>
      <c r="V7" t="s">
        <v>5760</v>
      </c>
      <c r="W7">
        <v>1</v>
      </c>
      <c r="X7">
        <v>1</v>
      </c>
      <c r="Y7">
        <v>3</v>
      </c>
      <c r="Z7" t="s">
        <v>3911</v>
      </c>
      <c r="AA7">
        <v>1</v>
      </c>
      <c r="AB7">
        <v>1</v>
      </c>
      <c r="AC7">
        <v>3</v>
      </c>
      <c r="AD7" t="s">
        <v>3911</v>
      </c>
      <c r="AE7" t="s">
        <v>5761</v>
      </c>
      <c r="AF7" t="s">
        <v>66</v>
      </c>
      <c r="AG7">
        <v>1</v>
      </c>
      <c r="AH7" t="s">
        <v>3902</v>
      </c>
    </row>
    <row r="8" spans="1:34" x14ac:dyDescent="0.25">
      <c r="A8" t="str">
        <f>"20200201159017190176"</f>
        <v>20200201159017190176</v>
      </c>
      <c r="B8">
        <v>1</v>
      </c>
      <c r="C8">
        <v>1</v>
      </c>
      <c r="D8" t="s">
        <v>5751</v>
      </c>
      <c r="E8" t="s">
        <v>1627</v>
      </c>
      <c r="F8" t="s">
        <v>56</v>
      </c>
      <c r="G8" t="s">
        <v>56</v>
      </c>
      <c r="H8" t="s">
        <v>66</v>
      </c>
      <c r="I8" t="s">
        <v>1627</v>
      </c>
      <c r="J8">
        <v>441302</v>
      </c>
      <c r="K8" t="s">
        <v>5762</v>
      </c>
      <c r="L8" t="s">
        <v>56</v>
      </c>
      <c r="M8" t="s">
        <v>56</v>
      </c>
      <c r="N8" t="s">
        <v>56</v>
      </c>
      <c r="O8" t="s">
        <v>66</v>
      </c>
      <c r="P8" t="s">
        <v>56</v>
      </c>
      <c r="Q8" t="s">
        <v>66</v>
      </c>
      <c r="R8" t="s">
        <v>56</v>
      </c>
      <c r="S8" t="s">
        <v>56</v>
      </c>
      <c r="T8" t="s">
        <v>56</v>
      </c>
      <c r="U8">
        <v>438402</v>
      </c>
      <c r="V8" t="s">
        <v>5763</v>
      </c>
      <c r="W8">
        <v>1</v>
      </c>
      <c r="X8">
        <v>1</v>
      </c>
      <c r="Y8">
        <v>8</v>
      </c>
      <c r="Z8" t="s">
        <v>5751</v>
      </c>
      <c r="AA8" t="s">
        <v>56</v>
      </c>
      <c r="AB8">
        <v>1</v>
      </c>
      <c r="AC8" t="s">
        <v>56</v>
      </c>
      <c r="AD8" t="s">
        <v>56</v>
      </c>
      <c r="AE8" t="s">
        <v>5764</v>
      </c>
      <c r="AF8" t="s">
        <v>5765</v>
      </c>
      <c r="AG8">
        <v>1</v>
      </c>
      <c r="AH8" t="s">
        <v>3902</v>
      </c>
    </row>
    <row r="9" spans="1:34" x14ac:dyDescent="0.25">
      <c r="A9" t="str">
        <f>"20200129166017114193"</f>
        <v>20200129166017114193</v>
      </c>
      <c r="B9">
        <v>1</v>
      </c>
      <c r="C9">
        <v>1</v>
      </c>
      <c r="D9" t="s">
        <v>5751</v>
      </c>
      <c r="E9" t="s">
        <v>1627</v>
      </c>
      <c r="F9" t="s">
        <v>56</v>
      </c>
      <c r="G9" t="s">
        <v>56</v>
      </c>
      <c r="H9" t="s">
        <v>66</v>
      </c>
      <c r="I9" t="s">
        <v>1627</v>
      </c>
      <c r="J9">
        <v>990105</v>
      </c>
      <c r="K9" t="s">
        <v>5766</v>
      </c>
      <c r="L9" t="s">
        <v>56</v>
      </c>
      <c r="M9" t="s">
        <v>56</v>
      </c>
      <c r="N9" t="s">
        <v>56</v>
      </c>
      <c r="O9" t="s">
        <v>66</v>
      </c>
      <c r="P9" t="s">
        <v>56</v>
      </c>
      <c r="Q9" t="s">
        <v>66</v>
      </c>
      <c r="R9" t="s">
        <v>56</v>
      </c>
      <c r="S9" t="s">
        <v>56</v>
      </c>
      <c r="T9" t="s">
        <v>56</v>
      </c>
      <c r="U9">
        <v>438402</v>
      </c>
      <c r="V9" t="s">
        <v>5763</v>
      </c>
      <c r="W9">
        <v>1</v>
      </c>
      <c r="X9">
        <v>1</v>
      </c>
      <c r="Y9">
        <v>8</v>
      </c>
      <c r="Z9" t="s">
        <v>5751</v>
      </c>
      <c r="AA9" t="s">
        <v>56</v>
      </c>
      <c r="AB9">
        <v>1</v>
      </c>
      <c r="AC9" t="s">
        <v>56</v>
      </c>
      <c r="AD9" t="s">
        <v>56</v>
      </c>
      <c r="AE9" t="s">
        <v>5767</v>
      </c>
      <c r="AF9" t="s">
        <v>5768</v>
      </c>
      <c r="AG9">
        <v>1</v>
      </c>
      <c r="AH9" t="s">
        <v>3902</v>
      </c>
    </row>
    <row r="10" spans="1:34" x14ac:dyDescent="0.25">
      <c r="A10" t="str">
        <f>"20200128115017096905"</f>
        <v>20200128115017096905</v>
      </c>
      <c r="B10">
        <v>1</v>
      </c>
      <c r="C10">
        <v>1</v>
      </c>
      <c r="D10" t="s">
        <v>5751</v>
      </c>
      <c r="E10" t="s">
        <v>1627</v>
      </c>
      <c r="F10" t="s">
        <v>56</v>
      </c>
      <c r="G10" t="s">
        <v>56</v>
      </c>
      <c r="H10" t="s">
        <v>66</v>
      </c>
      <c r="I10" t="s">
        <v>1627</v>
      </c>
      <c r="J10">
        <v>441302</v>
      </c>
      <c r="K10" t="s">
        <v>5762</v>
      </c>
      <c r="L10" t="s">
        <v>56</v>
      </c>
      <c r="M10" t="s">
        <v>56</v>
      </c>
      <c r="N10" t="s">
        <v>56</v>
      </c>
      <c r="O10" t="s">
        <v>66</v>
      </c>
      <c r="P10" t="s">
        <v>56</v>
      </c>
      <c r="Q10" t="s">
        <v>66</v>
      </c>
      <c r="R10" t="s">
        <v>56</v>
      </c>
      <c r="S10" t="s">
        <v>56</v>
      </c>
      <c r="T10" t="s">
        <v>56</v>
      </c>
      <c r="U10">
        <v>449602</v>
      </c>
      <c r="V10" t="s">
        <v>5769</v>
      </c>
      <c r="W10">
        <v>1</v>
      </c>
      <c r="X10">
        <v>1</v>
      </c>
      <c r="Y10">
        <v>8</v>
      </c>
      <c r="Z10" t="s">
        <v>5751</v>
      </c>
      <c r="AA10" t="s">
        <v>56</v>
      </c>
      <c r="AB10">
        <v>1</v>
      </c>
      <c r="AC10" t="s">
        <v>56</v>
      </c>
      <c r="AD10" t="s">
        <v>56</v>
      </c>
      <c r="AE10" t="s">
        <v>5770</v>
      </c>
      <c r="AF10" t="s">
        <v>5771</v>
      </c>
      <c r="AG10">
        <v>1</v>
      </c>
      <c r="AH10" t="s">
        <v>3902</v>
      </c>
    </row>
    <row r="11" spans="1:34" x14ac:dyDescent="0.25">
      <c r="A11" t="str">
        <f>"20200127172017061232"</f>
        <v>20200127172017061232</v>
      </c>
      <c r="B11">
        <v>1</v>
      </c>
      <c r="C11">
        <v>1</v>
      </c>
      <c r="D11" t="s">
        <v>5751</v>
      </c>
      <c r="E11" t="s">
        <v>1627</v>
      </c>
      <c r="F11" t="s">
        <v>56</v>
      </c>
      <c r="G11" t="s">
        <v>56</v>
      </c>
      <c r="H11" t="s">
        <v>66</v>
      </c>
      <c r="I11" t="s">
        <v>1627</v>
      </c>
      <c r="J11">
        <v>452301</v>
      </c>
      <c r="K11" t="s">
        <v>5772</v>
      </c>
      <c r="L11" t="s">
        <v>56</v>
      </c>
      <c r="M11" t="s">
        <v>56</v>
      </c>
      <c r="N11" t="s">
        <v>56</v>
      </c>
      <c r="O11" t="s">
        <v>66</v>
      </c>
      <c r="P11" t="s">
        <v>56</v>
      </c>
      <c r="Q11" t="s">
        <v>66</v>
      </c>
      <c r="R11" t="s">
        <v>56</v>
      </c>
      <c r="S11" t="s">
        <v>56</v>
      </c>
      <c r="T11" t="s">
        <v>56</v>
      </c>
      <c r="U11">
        <v>454301</v>
      </c>
      <c r="V11" t="s">
        <v>5773</v>
      </c>
      <c r="W11">
        <v>1</v>
      </c>
      <c r="X11">
        <v>1</v>
      </c>
      <c r="Y11">
        <v>8</v>
      </c>
      <c r="Z11" t="s">
        <v>5751</v>
      </c>
      <c r="AA11" t="s">
        <v>56</v>
      </c>
      <c r="AB11">
        <v>1</v>
      </c>
      <c r="AC11" t="s">
        <v>56</v>
      </c>
      <c r="AD11" t="s">
        <v>56</v>
      </c>
      <c r="AE11" t="s">
        <v>5774</v>
      </c>
      <c r="AF11" t="s">
        <v>5775</v>
      </c>
      <c r="AG11">
        <v>1</v>
      </c>
      <c r="AH11" t="s">
        <v>3902</v>
      </c>
    </row>
    <row r="12" spans="1:34" x14ac:dyDescent="0.25">
      <c r="A12" t="str">
        <f>"20200128119017094538"</f>
        <v>20200128119017094538</v>
      </c>
      <c r="B12">
        <v>1</v>
      </c>
      <c r="C12">
        <v>2</v>
      </c>
      <c r="D12" t="s">
        <v>5776</v>
      </c>
      <c r="E12" t="s">
        <v>1627</v>
      </c>
      <c r="F12" t="s">
        <v>56</v>
      </c>
      <c r="G12" t="s">
        <v>56</v>
      </c>
      <c r="H12" t="s">
        <v>66</v>
      </c>
      <c r="I12" t="s">
        <v>1627</v>
      </c>
      <c r="J12">
        <v>452301</v>
      </c>
      <c r="K12" t="s">
        <v>5772</v>
      </c>
      <c r="L12" t="s">
        <v>56</v>
      </c>
      <c r="M12" t="s">
        <v>56</v>
      </c>
      <c r="N12" t="s">
        <v>56</v>
      </c>
      <c r="O12" t="s">
        <v>66</v>
      </c>
      <c r="P12" t="s">
        <v>56</v>
      </c>
      <c r="Q12" t="s">
        <v>66</v>
      </c>
      <c r="R12" t="s">
        <v>56</v>
      </c>
      <c r="S12" t="s">
        <v>56</v>
      </c>
      <c r="T12" t="s">
        <v>56</v>
      </c>
      <c r="U12">
        <v>454301</v>
      </c>
      <c r="V12" t="s">
        <v>5773</v>
      </c>
      <c r="W12">
        <v>1</v>
      </c>
      <c r="X12">
        <v>6</v>
      </c>
      <c r="Y12">
        <v>5</v>
      </c>
      <c r="Z12" t="s">
        <v>3899</v>
      </c>
      <c r="AA12">
        <v>6</v>
      </c>
      <c r="AB12">
        <v>1</v>
      </c>
      <c r="AC12">
        <v>5</v>
      </c>
      <c r="AD12" t="s">
        <v>3899</v>
      </c>
      <c r="AE12" t="s">
        <v>5777</v>
      </c>
      <c r="AF12" t="s">
        <v>5778</v>
      </c>
      <c r="AG12">
        <v>1</v>
      </c>
      <c r="AH12" t="s">
        <v>3902</v>
      </c>
    </row>
    <row r="13" spans="1:34" x14ac:dyDescent="0.25">
      <c r="A13" t="str">
        <f>"20200128125017095524"</f>
        <v>20200128125017095524</v>
      </c>
      <c r="B13">
        <v>1</v>
      </c>
      <c r="C13">
        <v>1</v>
      </c>
      <c r="D13" t="s">
        <v>5751</v>
      </c>
      <c r="E13" t="s">
        <v>1627</v>
      </c>
      <c r="F13" t="s">
        <v>56</v>
      </c>
      <c r="G13" t="s">
        <v>56</v>
      </c>
      <c r="H13" t="s">
        <v>66</v>
      </c>
      <c r="I13" t="s">
        <v>66</v>
      </c>
      <c r="J13" t="s">
        <v>56</v>
      </c>
      <c r="K13" t="s">
        <v>56</v>
      </c>
      <c r="L13" t="s">
        <v>1627</v>
      </c>
      <c r="M13" t="s">
        <v>56</v>
      </c>
      <c r="N13" t="s">
        <v>56</v>
      </c>
      <c r="O13" t="s">
        <v>1627</v>
      </c>
      <c r="P13" t="s">
        <v>3887</v>
      </c>
      <c r="Q13" t="s">
        <v>66</v>
      </c>
      <c r="R13" t="s">
        <v>56</v>
      </c>
      <c r="S13" t="s">
        <v>56</v>
      </c>
      <c r="T13" t="s">
        <v>56</v>
      </c>
      <c r="U13">
        <v>753601</v>
      </c>
      <c r="V13" t="s">
        <v>5779</v>
      </c>
      <c r="W13">
        <v>1</v>
      </c>
      <c r="X13">
        <v>1</v>
      </c>
      <c r="Y13">
        <v>8</v>
      </c>
      <c r="Z13" t="s">
        <v>5751</v>
      </c>
      <c r="AA13" t="s">
        <v>56</v>
      </c>
      <c r="AB13">
        <v>1</v>
      </c>
      <c r="AC13" t="s">
        <v>56</v>
      </c>
      <c r="AD13" t="s">
        <v>56</v>
      </c>
      <c r="AE13" t="s">
        <v>5780</v>
      </c>
      <c r="AF13" t="s">
        <v>5781</v>
      </c>
      <c r="AG13">
        <v>1</v>
      </c>
      <c r="AH13" t="s">
        <v>3902</v>
      </c>
    </row>
    <row r="14" spans="1:34" x14ac:dyDescent="0.25">
      <c r="A14" t="str">
        <f>"20200125117017032189"</f>
        <v>20200125117017032189</v>
      </c>
      <c r="B14">
        <v>1</v>
      </c>
      <c r="C14">
        <v>1</v>
      </c>
      <c r="D14" t="s">
        <v>5751</v>
      </c>
      <c r="E14" t="s">
        <v>66</v>
      </c>
      <c r="F14" t="s">
        <v>1627</v>
      </c>
      <c r="G14" t="s">
        <v>56</v>
      </c>
      <c r="H14" t="s">
        <v>66</v>
      </c>
      <c r="I14" t="s">
        <v>1627</v>
      </c>
      <c r="J14">
        <v>881340</v>
      </c>
      <c r="K14" t="s">
        <v>5782</v>
      </c>
      <c r="L14" t="s">
        <v>56</v>
      </c>
      <c r="M14" t="s">
        <v>56</v>
      </c>
      <c r="N14" t="s">
        <v>56</v>
      </c>
      <c r="O14" t="s">
        <v>66</v>
      </c>
      <c r="P14" t="s">
        <v>56</v>
      </c>
      <c r="Q14" t="s">
        <v>66</v>
      </c>
      <c r="R14" t="s">
        <v>56</v>
      </c>
      <c r="S14" t="s">
        <v>56</v>
      </c>
      <c r="T14" t="s">
        <v>56</v>
      </c>
      <c r="U14">
        <v>753731</v>
      </c>
      <c r="V14" t="s">
        <v>5783</v>
      </c>
      <c r="W14">
        <v>1</v>
      </c>
      <c r="X14">
        <v>1</v>
      </c>
      <c r="Y14">
        <v>3</v>
      </c>
      <c r="Z14" t="s">
        <v>3911</v>
      </c>
      <c r="AA14">
        <v>1</v>
      </c>
      <c r="AB14">
        <v>1</v>
      </c>
      <c r="AC14">
        <v>3</v>
      </c>
      <c r="AD14" t="s">
        <v>3911</v>
      </c>
      <c r="AE14" t="s">
        <v>5784</v>
      </c>
      <c r="AF14" t="s">
        <v>5785</v>
      </c>
      <c r="AG14">
        <v>1</v>
      </c>
      <c r="AH14" t="s">
        <v>3902</v>
      </c>
    </row>
    <row r="15" spans="1:34" x14ac:dyDescent="0.25">
      <c r="A15" t="str">
        <f>"20200128165017073895"</f>
        <v>20200128165017073895</v>
      </c>
      <c r="B15">
        <v>1</v>
      </c>
      <c r="C15">
        <v>1</v>
      </c>
      <c r="D15" t="s">
        <v>5751</v>
      </c>
      <c r="E15" t="s">
        <v>66</v>
      </c>
      <c r="F15" t="s">
        <v>1627</v>
      </c>
      <c r="G15" t="s">
        <v>56</v>
      </c>
      <c r="H15" t="s">
        <v>66</v>
      </c>
      <c r="I15" t="s">
        <v>66</v>
      </c>
      <c r="J15" t="s">
        <v>56</v>
      </c>
      <c r="K15" t="s">
        <v>56</v>
      </c>
      <c r="L15" t="s">
        <v>1627</v>
      </c>
      <c r="M15" t="s">
        <v>56</v>
      </c>
      <c r="N15" t="s">
        <v>56</v>
      </c>
      <c r="O15" t="s">
        <v>1627</v>
      </c>
      <c r="P15" t="s">
        <v>3887</v>
      </c>
      <c r="Q15" t="s">
        <v>66</v>
      </c>
      <c r="R15" t="s">
        <v>56</v>
      </c>
      <c r="S15" t="s">
        <v>56</v>
      </c>
      <c r="T15" t="s">
        <v>56</v>
      </c>
      <c r="U15">
        <v>753731</v>
      </c>
      <c r="V15" t="s">
        <v>5783</v>
      </c>
      <c r="W15">
        <v>1</v>
      </c>
      <c r="X15">
        <v>1</v>
      </c>
      <c r="Y15">
        <v>8</v>
      </c>
      <c r="Z15" t="s">
        <v>5751</v>
      </c>
      <c r="AA15" t="s">
        <v>56</v>
      </c>
      <c r="AB15">
        <v>1</v>
      </c>
      <c r="AC15" t="s">
        <v>56</v>
      </c>
      <c r="AD15" t="s">
        <v>56</v>
      </c>
      <c r="AE15" t="s">
        <v>5786</v>
      </c>
      <c r="AF15" t="s">
        <v>5787</v>
      </c>
      <c r="AG15">
        <v>1</v>
      </c>
      <c r="AH15" t="s">
        <v>3902</v>
      </c>
    </row>
    <row r="16" spans="1:34" x14ac:dyDescent="0.25">
      <c r="A16" t="str">
        <f>"20200130140017145306"</f>
        <v>20200130140017145306</v>
      </c>
      <c r="B16">
        <v>1</v>
      </c>
      <c r="C16">
        <v>1</v>
      </c>
      <c r="D16" t="s">
        <v>5751</v>
      </c>
      <c r="E16" t="s">
        <v>1627</v>
      </c>
      <c r="F16" t="s">
        <v>56</v>
      </c>
      <c r="G16" t="s">
        <v>56</v>
      </c>
      <c r="H16" t="s">
        <v>66</v>
      </c>
      <c r="I16" t="s">
        <v>66</v>
      </c>
      <c r="J16" t="s">
        <v>56</v>
      </c>
      <c r="K16" t="s">
        <v>56</v>
      </c>
      <c r="L16" t="s">
        <v>1627</v>
      </c>
      <c r="M16" t="s">
        <v>56</v>
      </c>
      <c r="N16" t="s">
        <v>56</v>
      </c>
      <c r="O16" t="s">
        <v>1627</v>
      </c>
      <c r="P16" t="s">
        <v>3887</v>
      </c>
      <c r="Q16" t="s">
        <v>66</v>
      </c>
      <c r="R16" t="s">
        <v>56</v>
      </c>
      <c r="S16" t="s">
        <v>56</v>
      </c>
      <c r="T16" t="s">
        <v>56</v>
      </c>
      <c r="U16">
        <v>898111</v>
      </c>
      <c r="V16" t="s">
        <v>5788</v>
      </c>
      <c r="W16">
        <v>1</v>
      </c>
      <c r="X16">
        <v>1</v>
      </c>
      <c r="Y16">
        <v>8</v>
      </c>
      <c r="Z16" t="s">
        <v>5751</v>
      </c>
      <c r="AA16" t="s">
        <v>56</v>
      </c>
      <c r="AB16">
        <v>1</v>
      </c>
      <c r="AC16" t="s">
        <v>56</v>
      </c>
      <c r="AD16" t="s">
        <v>56</v>
      </c>
      <c r="AE16" t="s">
        <v>5789</v>
      </c>
      <c r="AF16" t="s">
        <v>5790</v>
      </c>
      <c r="AG16">
        <v>1</v>
      </c>
      <c r="AH16" t="s">
        <v>3902</v>
      </c>
    </row>
    <row r="17" spans="1:34" x14ac:dyDescent="0.25">
      <c r="A17" t="str">
        <f>"20200124146017015625"</f>
        <v>20200124146017015625</v>
      </c>
      <c r="B17">
        <v>1</v>
      </c>
      <c r="C17">
        <v>1</v>
      </c>
      <c r="D17" t="s">
        <v>5751</v>
      </c>
      <c r="E17" t="s">
        <v>1627</v>
      </c>
      <c r="F17" t="s">
        <v>56</v>
      </c>
      <c r="G17" t="s">
        <v>56</v>
      </c>
      <c r="H17" t="s">
        <v>66</v>
      </c>
      <c r="I17" t="s">
        <v>66</v>
      </c>
      <c r="J17" t="s">
        <v>56</v>
      </c>
      <c r="K17" t="s">
        <v>56</v>
      </c>
      <c r="L17" t="s">
        <v>1627</v>
      </c>
      <c r="M17" t="s">
        <v>56</v>
      </c>
      <c r="N17" t="s">
        <v>56</v>
      </c>
      <c r="O17" t="s">
        <v>1627</v>
      </c>
      <c r="P17" t="s">
        <v>3887</v>
      </c>
      <c r="Q17" t="s">
        <v>66</v>
      </c>
      <c r="R17" t="s">
        <v>56</v>
      </c>
      <c r="S17" t="s">
        <v>56</v>
      </c>
      <c r="T17" t="s">
        <v>56</v>
      </c>
      <c r="U17">
        <v>903036</v>
      </c>
      <c r="V17" t="s">
        <v>5791</v>
      </c>
      <c r="W17">
        <v>1</v>
      </c>
      <c r="X17">
        <v>1</v>
      </c>
      <c r="Y17">
        <v>8</v>
      </c>
      <c r="Z17" t="s">
        <v>5751</v>
      </c>
      <c r="AA17" t="s">
        <v>56</v>
      </c>
      <c r="AB17">
        <v>1</v>
      </c>
      <c r="AC17" t="s">
        <v>56</v>
      </c>
      <c r="AD17" t="s">
        <v>56</v>
      </c>
      <c r="AE17" t="s">
        <v>5792</v>
      </c>
      <c r="AF17" t="s">
        <v>5793</v>
      </c>
      <c r="AG17">
        <v>1</v>
      </c>
      <c r="AH17" t="s">
        <v>3902</v>
      </c>
    </row>
    <row r="18" spans="1:34" x14ac:dyDescent="0.25">
      <c r="A18" t="str">
        <f>"20200129183017118766"</f>
        <v>20200129183017118766</v>
      </c>
      <c r="B18">
        <v>1</v>
      </c>
      <c r="C18">
        <v>2</v>
      </c>
      <c r="D18" t="s">
        <v>5776</v>
      </c>
      <c r="E18" t="s">
        <v>1627</v>
      </c>
      <c r="F18" t="s">
        <v>56</v>
      </c>
      <c r="G18" t="s">
        <v>56</v>
      </c>
      <c r="H18" t="s">
        <v>66</v>
      </c>
      <c r="I18" t="s">
        <v>1627</v>
      </c>
      <c r="J18">
        <v>903811</v>
      </c>
      <c r="K18" t="s">
        <v>5794</v>
      </c>
      <c r="L18" t="s">
        <v>56</v>
      </c>
      <c r="M18" t="s">
        <v>56</v>
      </c>
      <c r="N18" t="s">
        <v>56</v>
      </c>
      <c r="O18" t="s">
        <v>66</v>
      </c>
      <c r="P18" t="s">
        <v>56</v>
      </c>
      <c r="Q18" t="s">
        <v>66</v>
      </c>
      <c r="R18" t="s">
        <v>56</v>
      </c>
      <c r="S18" t="s">
        <v>56</v>
      </c>
      <c r="T18" t="s">
        <v>56</v>
      </c>
      <c r="U18">
        <v>903052</v>
      </c>
      <c r="V18" t="s">
        <v>5795</v>
      </c>
      <c r="W18">
        <v>1</v>
      </c>
      <c r="X18">
        <v>24</v>
      </c>
      <c r="Y18">
        <v>2</v>
      </c>
      <c r="Z18" t="s">
        <v>3897</v>
      </c>
      <c r="AA18">
        <v>1</v>
      </c>
      <c r="AB18">
        <v>1</v>
      </c>
      <c r="AC18">
        <v>3</v>
      </c>
      <c r="AD18" t="s">
        <v>3911</v>
      </c>
      <c r="AE18" t="s">
        <v>5796</v>
      </c>
      <c r="AF18" t="s">
        <v>5797</v>
      </c>
      <c r="AG18">
        <v>1</v>
      </c>
      <c r="AH18" t="s">
        <v>3902</v>
      </c>
    </row>
    <row r="19" spans="1:34" x14ac:dyDescent="0.25">
      <c r="A19" t="str">
        <f>"20200124146017015625"</f>
        <v>20200124146017015625</v>
      </c>
      <c r="B19">
        <v>2</v>
      </c>
      <c r="C19">
        <v>1</v>
      </c>
      <c r="D19" t="s">
        <v>5751</v>
      </c>
      <c r="E19" t="s">
        <v>1627</v>
      </c>
      <c r="F19" t="s">
        <v>56</v>
      </c>
      <c r="G19" t="s">
        <v>56</v>
      </c>
      <c r="H19" t="s">
        <v>66</v>
      </c>
      <c r="I19" t="s">
        <v>66</v>
      </c>
      <c r="J19" t="s">
        <v>56</v>
      </c>
      <c r="K19" t="s">
        <v>56</v>
      </c>
      <c r="L19" t="s">
        <v>1627</v>
      </c>
      <c r="M19" t="s">
        <v>56</v>
      </c>
      <c r="N19" t="s">
        <v>56</v>
      </c>
      <c r="O19" t="s">
        <v>1627</v>
      </c>
      <c r="P19" t="s">
        <v>3887</v>
      </c>
      <c r="Q19" t="s">
        <v>66</v>
      </c>
      <c r="R19" t="s">
        <v>56</v>
      </c>
      <c r="S19" t="s">
        <v>56</v>
      </c>
      <c r="T19" t="s">
        <v>56</v>
      </c>
      <c r="U19">
        <v>903052</v>
      </c>
      <c r="V19" t="s">
        <v>5795</v>
      </c>
      <c r="W19">
        <v>1</v>
      </c>
      <c r="X19">
        <v>1</v>
      </c>
      <c r="Y19">
        <v>8</v>
      </c>
      <c r="Z19" t="s">
        <v>5751</v>
      </c>
      <c r="AA19" t="s">
        <v>56</v>
      </c>
      <c r="AB19">
        <v>1</v>
      </c>
      <c r="AC19" t="s">
        <v>56</v>
      </c>
      <c r="AD19" t="s">
        <v>56</v>
      </c>
      <c r="AE19" t="s">
        <v>5798</v>
      </c>
      <c r="AF19" t="s">
        <v>5799</v>
      </c>
      <c r="AG19">
        <v>1</v>
      </c>
      <c r="AH19" t="s">
        <v>3902</v>
      </c>
    </row>
    <row r="20" spans="1:34" x14ac:dyDescent="0.25">
      <c r="A20" t="str">
        <f>"20200130111017135618"</f>
        <v>20200130111017135618</v>
      </c>
      <c r="B20">
        <v>1</v>
      </c>
      <c r="C20">
        <v>1</v>
      </c>
      <c r="D20" t="s">
        <v>5751</v>
      </c>
      <c r="E20" t="s">
        <v>1627</v>
      </c>
      <c r="F20" t="s">
        <v>56</v>
      </c>
      <c r="G20" t="s">
        <v>56</v>
      </c>
      <c r="H20" t="s">
        <v>66</v>
      </c>
      <c r="I20" t="s">
        <v>66</v>
      </c>
      <c r="J20" t="s">
        <v>56</v>
      </c>
      <c r="K20" t="s">
        <v>56</v>
      </c>
      <c r="L20" t="s">
        <v>1627</v>
      </c>
      <c r="M20" t="s">
        <v>56</v>
      </c>
      <c r="N20" t="s">
        <v>56</v>
      </c>
      <c r="O20" t="s">
        <v>1627</v>
      </c>
      <c r="P20" t="s">
        <v>3887</v>
      </c>
      <c r="Q20" t="s">
        <v>66</v>
      </c>
      <c r="R20" t="s">
        <v>56</v>
      </c>
      <c r="S20" t="s">
        <v>56</v>
      </c>
      <c r="T20" t="s">
        <v>56</v>
      </c>
      <c r="U20">
        <v>903052</v>
      </c>
      <c r="V20" t="s">
        <v>5795</v>
      </c>
      <c r="W20">
        <v>1</v>
      </c>
      <c r="X20">
        <v>1</v>
      </c>
      <c r="Y20">
        <v>8</v>
      </c>
      <c r="Z20" t="s">
        <v>5751</v>
      </c>
      <c r="AA20" t="s">
        <v>56</v>
      </c>
      <c r="AB20">
        <v>1</v>
      </c>
      <c r="AC20" t="s">
        <v>56</v>
      </c>
      <c r="AD20" t="s">
        <v>56</v>
      </c>
      <c r="AE20" t="s">
        <v>5800</v>
      </c>
      <c r="AF20" t="s">
        <v>5801</v>
      </c>
      <c r="AG20">
        <v>1</v>
      </c>
      <c r="AH20" t="s">
        <v>3902</v>
      </c>
    </row>
    <row r="21" spans="1:34" x14ac:dyDescent="0.25">
      <c r="A21" t="str">
        <f>"20200127199017062951"</f>
        <v>20200127199017062951</v>
      </c>
      <c r="B21">
        <v>1</v>
      </c>
      <c r="C21">
        <v>1</v>
      </c>
      <c r="D21" t="s">
        <v>5751</v>
      </c>
      <c r="E21" t="s">
        <v>1627</v>
      </c>
      <c r="F21" t="s">
        <v>56</v>
      </c>
      <c r="G21" t="s">
        <v>56</v>
      </c>
      <c r="H21" t="s">
        <v>66</v>
      </c>
      <c r="I21" t="s">
        <v>66</v>
      </c>
      <c r="J21" t="s">
        <v>56</v>
      </c>
      <c r="K21" t="s">
        <v>56</v>
      </c>
      <c r="L21" t="s">
        <v>1627</v>
      </c>
      <c r="M21" t="s">
        <v>56</v>
      </c>
      <c r="N21" t="s">
        <v>56</v>
      </c>
      <c r="O21" t="s">
        <v>1627</v>
      </c>
      <c r="P21" t="s">
        <v>3887</v>
      </c>
      <c r="Q21" t="s">
        <v>66</v>
      </c>
      <c r="R21" t="s">
        <v>56</v>
      </c>
      <c r="S21" t="s">
        <v>56</v>
      </c>
      <c r="T21" t="s">
        <v>56</v>
      </c>
      <c r="U21">
        <v>903065</v>
      </c>
      <c r="V21" t="s">
        <v>5802</v>
      </c>
      <c r="W21">
        <v>1</v>
      </c>
      <c r="X21">
        <v>1</v>
      </c>
      <c r="Y21">
        <v>8</v>
      </c>
      <c r="Z21" t="s">
        <v>5751</v>
      </c>
      <c r="AA21" t="s">
        <v>56</v>
      </c>
      <c r="AB21">
        <v>1</v>
      </c>
      <c r="AC21" t="s">
        <v>56</v>
      </c>
      <c r="AD21" t="s">
        <v>56</v>
      </c>
      <c r="AE21" t="s">
        <v>5803</v>
      </c>
      <c r="AF21" t="s">
        <v>5804</v>
      </c>
      <c r="AG21">
        <v>1</v>
      </c>
      <c r="AH21" t="s">
        <v>3902</v>
      </c>
    </row>
    <row r="22" spans="1:34" x14ac:dyDescent="0.25">
      <c r="A22" t="str">
        <f>"20200130188017147563"</f>
        <v>20200130188017147563</v>
      </c>
      <c r="B22">
        <v>1</v>
      </c>
      <c r="C22">
        <v>1</v>
      </c>
      <c r="D22" t="s">
        <v>5751</v>
      </c>
      <c r="E22" t="s">
        <v>1627</v>
      </c>
      <c r="F22" t="s">
        <v>56</v>
      </c>
      <c r="G22" t="s">
        <v>56</v>
      </c>
      <c r="H22" t="s">
        <v>66</v>
      </c>
      <c r="I22" t="s">
        <v>66</v>
      </c>
      <c r="J22" t="s">
        <v>56</v>
      </c>
      <c r="K22" t="s">
        <v>56</v>
      </c>
      <c r="L22" t="s">
        <v>1627</v>
      </c>
      <c r="M22" t="s">
        <v>56</v>
      </c>
      <c r="N22" t="s">
        <v>56</v>
      </c>
      <c r="O22" t="s">
        <v>1627</v>
      </c>
      <c r="P22" t="s">
        <v>3887</v>
      </c>
      <c r="Q22" t="s">
        <v>66</v>
      </c>
      <c r="R22" t="s">
        <v>56</v>
      </c>
      <c r="S22" t="s">
        <v>56</v>
      </c>
      <c r="T22" t="s">
        <v>56</v>
      </c>
      <c r="U22">
        <v>903065</v>
      </c>
      <c r="V22" t="s">
        <v>5802</v>
      </c>
      <c r="W22">
        <v>1</v>
      </c>
      <c r="X22">
        <v>1</v>
      </c>
      <c r="Y22">
        <v>8</v>
      </c>
      <c r="Z22" t="s">
        <v>5751</v>
      </c>
      <c r="AA22" t="s">
        <v>56</v>
      </c>
      <c r="AB22">
        <v>1</v>
      </c>
      <c r="AC22" t="s">
        <v>56</v>
      </c>
      <c r="AD22" t="s">
        <v>56</v>
      </c>
      <c r="AE22" t="s">
        <v>5805</v>
      </c>
      <c r="AF22" t="s">
        <v>5806</v>
      </c>
      <c r="AG22">
        <v>1</v>
      </c>
      <c r="AH22" t="s">
        <v>3902</v>
      </c>
    </row>
    <row r="23" spans="1:34" x14ac:dyDescent="0.25">
      <c r="A23" t="str">
        <f>"20200124176017006588"</f>
        <v>20200124176017006588</v>
      </c>
      <c r="B23">
        <v>1</v>
      </c>
      <c r="C23">
        <v>1</v>
      </c>
      <c r="D23" t="s">
        <v>5751</v>
      </c>
      <c r="E23" t="s">
        <v>1627</v>
      </c>
      <c r="F23" t="s">
        <v>56</v>
      </c>
      <c r="G23" t="s">
        <v>56</v>
      </c>
      <c r="H23" t="s">
        <v>66</v>
      </c>
      <c r="I23" t="s">
        <v>66</v>
      </c>
      <c r="J23" t="s">
        <v>56</v>
      </c>
      <c r="K23" t="s">
        <v>56</v>
      </c>
      <c r="L23" t="s">
        <v>1627</v>
      </c>
      <c r="M23" t="s">
        <v>56</v>
      </c>
      <c r="N23" t="s">
        <v>56</v>
      </c>
      <c r="O23" t="s">
        <v>1627</v>
      </c>
      <c r="P23" t="s">
        <v>3887</v>
      </c>
      <c r="Q23" t="s">
        <v>66</v>
      </c>
      <c r="R23" t="s">
        <v>56</v>
      </c>
      <c r="S23" t="s">
        <v>56</v>
      </c>
      <c r="T23" t="s">
        <v>56</v>
      </c>
      <c r="U23">
        <v>903066</v>
      </c>
      <c r="V23" t="s">
        <v>5807</v>
      </c>
      <c r="W23">
        <v>1</v>
      </c>
      <c r="X23">
        <v>1</v>
      </c>
      <c r="Y23">
        <v>8</v>
      </c>
      <c r="Z23" t="s">
        <v>5751</v>
      </c>
      <c r="AA23" t="s">
        <v>56</v>
      </c>
      <c r="AB23">
        <v>1</v>
      </c>
      <c r="AC23" t="s">
        <v>56</v>
      </c>
      <c r="AD23" t="s">
        <v>56</v>
      </c>
      <c r="AE23" t="s">
        <v>5808</v>
      </c>
      <c r="AF23" t="s">
        <v>5806</v>
      </c>
      <c r="AG23">
        <v>1</v>
      </c>
      <c r="AH23" t="s">
        <v>3902</v>
      </c>
    </row>
    <row r="24" spans="1:34" x14ac:dyDescent="0.25">
      <c r="A24" t="str">
        <f>"20200126137017037120"</f>
        <v>20200126137017037120</v>
      </c>
      <c r="B24">
        <v>1</v>
      </c>
      <c r="C24">
        <v>1</v>
      </c>
      <c r="D24" t="s">
        <v>5751</v>
      </c>
      <c r="E24" t="s">
        <v>1627</v>
      </c>
      <c r="F24" t="s">
        <v>56</v>
      </c>
      <c r="G24" t="s">
        <v>56</v>
      </c>
      <c r="H24" t="s">
        <v>66</v>
      </c>
      <c r="I24" t="s">
        <v>66</v>
      </c>
      <c r="J24" t="s">
        <v>56</v>
      </c>
      <c r="K24" t="s">
        <v>56</v>
      </c>
      <c r="L24" t="s">
        <v>1627</v>
      </c>
      <c r="M24" t="s">
        <v>56</v>
      </c>
      <c r="N24" t="s">
        <v>56</v>
      </c>
      <c r="O24" t="s">
        <v>1627</v>
      </c>
      <c r="P24" t="s">
        <v>3887</v>
      </c>
      <c r="Q24" t="s">
        <v>66</v>
      </c>
      <c r="R24" t="s">
        <v>56</v>
      </c>
      <c r="S24" t="s">
        <v>56</v>
      </c>
      <c r="T24" t="s">
        <v>56</v>
      </c>
      <c r="U24">
        <v>903066</v>
      </c>
      <c r="V24" t="s">
        <v>5807</v>
      </c>
      <c r="W24">
        <v>1</v>
      </c>
      <c r="X24">
        <v>1</v>
      </c>
      <c r="Y24">
        <v>8</v>
      </c>
      <c r="Z24" t="s">
        <v>5751</v>
      </c>
      <c r="AA24" t="s">
        <v>56</v>
      </c>
      <c r="AB24">
        <v>1</v>
      </c>
      <c r="AC24" t="s">
        <v>56</v>
      </c>
      <c r="AD24" t="s">
        <v>56</v>
      </c>
      <c r="AE24" t="s">
        <v>5809</v>
      </c>
      <c r="AF24" t="s">
        <v>62</v>
      </c>
      <c r="AG24">
        <v>1</v>
      </c>
      <c r="AH24" t="s">
        <v>3902</v>
      </c>
    </row>
    <row r="25" spans="1:34" x14ac:dyDescent="0.25">
      <c r="A25" t="str">
        <f>"20200130178017153491"</f>
        <v>20200130178017153491</v>
      </c>
      <c r="B25">
        <v>1</v>
      </c>
      <c r="C25">
        <v>2</v>
      </c>
      <c r="D25" t="s">
        <v>5776</v>
      </c>
      <c r="E25" t="s">
        <v>1627</v>
      </c>
      <c r="F25" t="s">
        <v>56</v>
      </c>
      <c r="G25" t="s">
        <v>56</v>
      </c>
      <c r="H25" t="s">
        <v>66</v>
      </c>
      <c r="I25" t="s">
        <v>1627</v>
      </c>
      <c r="J25">
        <v>441302</v>
      </c>
      <c r="K25" t="s">
        <v>5762</v>
      </c>
      <c r="L25" t="s">
        <v>56</v>
      </c>
      <c r="M25" t="s">
        <v>56</v>
      </c>
      <c r="N25" t="s">
        <v>56</v>
      </c>
      <c r="O25" t="s">
        <v>66</v>
      </c>
      <c r="P25" t="s">
        <v>56</v>
      </c>
      <c r="Q25" t="s">
        <v>66</v>
      </c>
      <c r="R25" t="s">
        <v>56</v>
      </c>
      <c r="S25" t="s">
        <v>56</v>
      </c>
      <c r="T25" t="s">
        <v>56</v>
      </c>
      <c r="U25">
        <v>893905</v>
      </c>
      <c r="V25" t="s">
        <v>5810</v>
      </c>
      <c r="W25">
        <v>1</v>
      </c>
      <c r="X25">
        <v>6</v>
      </c>
      <c r="Y25">
        <v>5</v>
      </c>
      <c r="Z25" t="s">
        <v>3899</v>
      </c>
      <c r="AA25">
        <v>1</v>
      </c>
      <c r="AB25">
        <v>1</v>
      </c>
      <c r="AC25">
        <v>6</v>
      </c>
      <c r="AD25" t="s">
        <v>4216</v>
      </c>
      <c r="AE25" t="s">
        <v>5811</v>
      </c>
      <c r="AF25" t="s">
        <v>5812</v>
      </c>
      <c r="AG25">
        <v>1</v>
      </c>
      <c r="AH25" t="s">
        <v>3902</v>
      </c>
    </row>
    <row r="26" spans="1:34" x14ac:dyDescent="0.25">
      <c r="A26" t="str">
        <f>"20200127146017054662"</f>
        <v>20200127146017054662</v>
      </c>
      <c r="B26">
        <v>1</v>
      </c>
      <c r="C26">
        <v>2</v>
      </c>
      <c r="D26" t="s">
        <v>5776</v>
      </c>
      <c r="E26" t="s">
        <v>1627</v>
      </c>
      <c r="F26" t="s">
        <v>56</v>
      </c>
      <c r="G26" t="s">
        <v>56</v>
      </c>
      <c r="H26" t="s">
        <v>66</v>
      </c>
      <c r="I26" t="s">
        <v>66</v>
      </c>
      <c r="J26" t="s">
        <v>56</v>
      </c>
      <c r="K26" t="s">
        <v>56</v>
      </c>
      <c r="L26" t="s">
        <v>1627</v>
      </c>
      <c r="M26" t="s">
        <v>56</v>
      </c>
      <c r="N26" t="s">
        <v>56</v>
      </c>
      <c r="O26" t="s">
        <v>1627</v>
      </c>
      <c r="P26" t="s">
        <v>3887</v>
      </c>
      <c r="Q26" t="s">
        <v>66</v>
      </c>
      <c r="R26" t="s">
        <v>56</v>
      </c>
      <c r="S26" t="s">
        <v>56</v>
      </c>
      <c r="T26" t="s">
        <v>56</v>
      </c>
      <c r="U26">
        <v>893911</v>
      </c>
      <c r="V26" t="s">
        <v>5813</v>
      </c>
      <c r="W26">
        <v>1</v>
      </c>
      <c r="X26">
        <v>2</v>
      </c>
      <c r="Y26">
        <v>4</v>
      </c>
      <c r="Z26" t="s">
        <v>4302</v>
      </c>
      <c r="AA26">
        <v>12</v>
      </c>
      <c r="AB26">
        <v>6</v>
      </c>
      <c r="AC26">
        <v>4</v>
      </c>
      <c r="AD26" t="s">
        <v>4302</v>
      </c>
      <c r="AE26" t="s">
        <v>5814</v>
      </c>
      <c r="AF26" t="s">
        <v>5815</v>
      </c>
      <c r="AG26">
        <v>1</v>
      </c>
      <c r="AH26" t="s">
        <v>3902</v>
      </c>
    </row>
    <row r="27" spans="1:34" x14ac:dyDescent="0.25">
      <c r="A27" t="str">
        <f>"20200131193017163225"</f>
        <v>20200131193017163225</v>
      </c>
      <c r="B27">
        <v>1</v>
      </c>
      <c r="C27">
        <v>1</v>
      </c>
      <c r="D27" t="s">
        <v>5751</v>
      </c>
      <c r="E27" t="s">
        <v>1627</v>
      </c>
      <c r="F27" t="s">
        <v>56</v>
      </c>
      <c r="G27" t="s">
        <v>56</v>
      </c>
      <c r="H27" t="s">
        <v>66</v>
      </c>
      <c r="I27" t="s">
        <v>1627</v>
      </c>
      <c r="J27">
        <v>876120</v>
      </c>
      <c r="K27" t="s">
        <v>5816</v>
      </c>
      <c r="L27" t="s">
        <v>56</v>
      </c>
      <c r="M27" t="s">
        <v>56</v>
      </c>
      <c r="N27" t="s">
        <v>56</v>
      </c>
      <c r="O27" t="s">
        <v>66</v>
      </c>
      <c r="P27" t="s">
        <v>56</v>
      </c>
      <c r="Q27" t="s">
        <v>66</v>
      </c>
      <c r="R27" t="s">
        <v>56</v>
      </c>
      <c r="S27" t="s">
        <v>56</v>
      </c>
      <c r="T27" t="s">
        <v>56</v>
      </c>
      <c r="U27">
        <v>895801</v>
      </c>
      <c r="V27" t="s">
        <v>5817</v>
      </c>
      <c r="W27">
        <v>1</v>
      </c>
      <c r="X27">
        <v>24</v>
      </c>
      <c r="Y27">
        <v>2</v>
      </c>
      <c r="Z27" t="s">
        <v>3897</v>
      </c>
      <c r="AA27">
        <v>1</v>
      </c>
      <c r="AB27">
        <v>1</v>
      </c>
      <c r="AC27">
        <v>3</v>
      </c>
      <c r="AD27" t="s">
        <v>3911</v>
      </c>
      <c r="AE27" t="s">
        <v>5818</v>
      </c>
      <c r="AF27" t="s">
        <v>5819</v>
      </c>
      <c r="AG27">
        <v>1</v>
      </c>
      <c r="AH27" t="s">
        <v>3902</v>
      </c>
    </row>
    <row r="28" spans="1:34" x14ac:dyDescent="0.25">
      <c r="A28" t="str">
        <f>"20200131116017177022"</f>
        <v>20200131116017177022</v>
      </c>
      <c r="B28">
        <v>1</v>
      </c>
      <c r="C28">
        <v>1</v>
      </c>
      <c r="D28" t="s">
        <v>5751</v>
      </c>
      <c r="E28" t="s">
        <v>1627</v>
      </c>
      <c r="F28" t="s">
        <v>56</v>
      </c>
      <c r="G28" t="s">
        <v>56</v>
      </c>
      <c r="H28" t="s">
        <v>66</v>
      </c>
      <c r="I28" t="s">
        <v>1627</v>
      </c>
      <c r="J28">
        <v>876120</v>
      </c>
      <c r="K28" t="s">
        <v>5816</v>
      </c>
      <c r="L28" t="s">
        <v>56</v>
      </c>
      <c r="M28" t="s">
        <v>56</v>
      </c>
      <c r="N28" t="s">
        <v>56</v>
      </c>
      <c r="O28" t="s">
        <v>66</v>
      </c>
      <c r="P28" t="s">
        <v>56</v>
      </c>
      <c r="Q28" t="s">
        <v>66</v>
      </c>
      <c r="R28" t="s">
        <v>56</v>
      </c>
      <c r="S28" t="s">
        <v>56</v>
      </c>
      <c r="T28" t="s">
        <v>56</v>
      </c>
      <c r="U28">
        <v>895801</v>
      </c>
      <c r="V28" t="s">
        <v>5817</v>
      </c>
      <c r="W28">
        <v>1</v>
      </c>
      <c r="X28">
        <v>24</v>
      </c>
      <c r="Y28">
        <v>2</v>
      </c>
      <c r="Z28" t="s">
        <v>3897</v>
      </c>
      <c r="AA28">
        <v>1</v>
      </c>
      <c r="AB28">
        <v>1</v>
      </c>
      <c r="AC28">
        <v>3</v>
      </c>
      <c r="AD28" t="s">
        <v>3911</v>
      </c>
      <c r="AE28" t="s">
        <v>5820</v>
      </c>
      <c r="AF28" t="s">
        <v>5821</v>
      </c>
      <c r="AG28">
        <v>1</v>
      </c>
      <c r="AH28" t="s">
        <v>3902</v>
      </c>
    </row>
    <row r="29" spans="1:34" x14ac:dyDescent="0.25">
      <c r="A29" t="str">
        <f>"20200124196017012444"</f>
        <v>20200124196017012444</v>
      </c>
      <c r="B29">
        <v>1</v>
      </c>
      <c r="C29">
        <v>1</v>
      </c>
      <c r="D29" t="s">
        <v>5751</v>
      </c>
      <c r="E29" t="s">
        <v>1627</v>
      </c>
      <c r="F29" t="s">
        <v>56</v>
      </c>
      <c r="G29" t="s">
        <v>56</v>
      </c>
      <c r="H29" t="s">
        <v>66</v>
      </c>
      <c r="I29" t="s">
        <v>1627</v>
      </c>
      <c r="J29">
        <v>943102</v>
      </c>
      <c r="K29" t="s">
        <v>5822</v>
      </c>
      <c r="L29" t="s">
        <v>56</v>
      </c>
      <c r="M29" t="s">
        <v>56</v>
      </c>
      <c r="N29" t="s">
        <v>56</v>
      </c>
      <c r="O29" t="s">
        <v>66</v>
      </c>
      <c r="P29" t="s">
        <v>56</v>
      </c>
      <c r="Q29" t="s">
        <v>66</v>
      </c>
      <c r="R29" t="s">
        <v>56</v>
      </c>
      <c r="S29" t="s">
        <v>56</v>
      </c>
      <c r="T29" t="s">
        <v>56</v>
      </c>
      <c r="U29">
        <v>940701</v>
      </c>
      <c r="V29" t="s">
        <v>5823</v>
      </c>
      <c r="W29">
        <v>1</v>
      </c>
      <c r="X29">
        <v>1</v>
      </c>
      <c r="Y29">
        <v>8</v>
      </c>
      <c r="Z29" t="s">
        <v>5751</v>
      </c>
      <c r="AA29" t="s">
        <v>56</v>
      </c>
      <c r="AB29">
        <v>1</v>
      </c>
      <c r="AC29" t="s">
        <v>56</v>
      </c>
      <c r="AD29" t="s">
        <v>56</v>
      </c>
      <c r="AE29" t="s">
        <v>5824</v>
      </c>
      <c r="AF29" t="s">
        <v>5825</v>
      </c>
      <c r="AG29">
        <v>1</v>
      </c>
      <c r="AH29" t="s">
        <v>3902</v>
      </c>
    </row>
    <row r="30" spans="1:34" x14ac:dyDescent="0.25">
      <c r="A30" t="str">
        <f>"20200124124017002455"</f>
        <v>20200124124017002455</v>
      </c>
      <c r="B30">
        <v>1</v>
      </c>
      <c r="C30">
        <v>1</v>
      </c>
      <c r="D30" t="s">
        <v>5751</v>
      </c>
      <c r="E30" t="s">
        <v>1627</v>
      </c>
      <c r="F30" t="s">
        <v>56</v>
      </c>
      <c r="G30" t="s">
        <v>56</v>
      </c>
      <c r="H30" t="s">
        <v>66</v>
      </c>
      <c r="I30" t="s">
        <v>66</v>
      </c>
      <c r="J30" t="s">
        <v>56</v>
      </c>
      <c r="K30" t="s">
        <v>56</v>
      </c>
      <c r="L30" t="s">
        <v>1627</v>
      </c>
      <c r="M30" t="s">
        <v>56</v>
      </c>
      <c r="N30" t="s">
        <v>56</v>
      </c>
      <c r="O30" t="s">
        <v>1627</v>
      </c>
      <c r="P30" t="s">
        <v>5826</v>
      </c>
      <c r="Q30" t="s">
        <v>66</v>
      </c>
      <c r="R30" t="s">
        <v>56</v>
      </c>
      <c r="S30" t="s">
        <v>56</v>
      </c>
      <c r="T30" t="s">
        <v>56</v>
      </c>
      <c r="U30">
        <v>940701</v>
      </c>
      <c r="V30" t="s">
        <v>5823</v>
      </c>
      <c r="W30">
        <v>1</v>
      </c>
      <c r="X30">
        <v>1</v>
      </c>
      <c r="Y30">
        <v>8</v>
      </c>
      <c r="Z30" t="s">
        <v>5751</v>
      </c>
      <c r="AA30" t="s">
        <v>56</v>
      </c>
      <c r="AB30">
        <v>1</v>
      </c>
      <c r="AC30" t="s">
        <v>56</v>
      </c>
      <c r="AD30" t="s">
        <v>56</v>
      </c>
      <c r="AE30" t="s">
        <v>5827</v>
      </c>
      <c r="AF30" t="s">
        <v>5828</v>
      </c>
      <c r="AG30">
        <v>1</v>
      </c>
      <c r="AH30" t="s">
        <v>3902</v>
      </c>
    </row>
    <row r="31" spans="1:34" x14ac:dyDescent="0.25">
      <c r="A31" t="str">
        <f>"20200124151017008780"</f>
        <v>20200124151017008780</v>
      </c>
      <c r="B31">
        <v>1</v>
      </c>
      <c r="C31">
        <v>2</v>
      </c>
      <c r="D31" t="s">
        <v>5776</v>
      </c>
      <c r="E31" t="s">
        <v>1627</v>
      </c>
      <c r="F31" t="s">
        <v>56</v>
      </c>
      <c r="G31" t="s">
        <v>56</v>
      </c>
      <c r="H31" t="s">
        <v>66</v>
      </c>
      <c r="I31" t="s">
        <v>66</v>
      </c>
      <c r="J31" t="s">
        <v>56</v>
      </c>
      <c r="K31" t="s">
        <v>56</v>
      </c>
      <c r="L31" t="s">
        <v>1627</v>
      </c>
      <c r="M31" t="s">
        <v>56</v>
      </c>
      <c r="N31" t="s">
        <v>56</v>
      </c>
      <c r="O31" t="s">
        <v>1627</v>
      </c>
      <c r="P31" t="s">
        <v>3887</v>
      </c>
      <c r="Q31" t="s">
        <v>66</v>
      </c>
      <c r="R31" t="s">
        <v>56</v>
      </c>
      <c r="S31" t="s">
        <v>56</v>
      </c>
      <c r="T31" t="s">
        <v>56</v>
      </c>
      <c r="U31">
        <v>940701</v>
      </c>
      <c r="V31" t="s">
        <v>5823</v>
      </c>
      <c r="W31">
        <v>5</v>
      </c>
      <c r="X31">
        <v>1</v>
      </c>
      <c r="Y31">
        <v>4</v>
      </c>
      <c r="Z31" t="s">
        <v>4302</v>
      </c>
      <c r="AA31">
        <v>30</v>
      </c>
      <c r="AB31">
        <v>5</v>
      </c>
      <c r="AC31">
        <v>3</v>
      </c>
      <c r="AD31" t="s">
        <v>3911</v>
      </c>
      <c r="AE31" t="s">
        <v>5829</v>
      </c>
      <c r="AF31" t="s">
        <v>5830</v>
      </c>
      <c r="AG31">
        <v>1</v>
      </c>
      <c r="AH31" t="s">
        <v>3902</v>
      </c>
    </row>
    <row r="32" spans="1:34" x14ac:dyDescent="0.25">
      <c r="A32" t="str">
        <f>"20200124113017008891"</f>
        <v>20200124113017008891</v>
      </c>
      <c r="B32">
        <v>1</v>
      </c>
      <c r="C32">
        <v>1</v>
      </c>
      <c r="D32" t="s">
        <v>5751</v>
      </c>
      <c r="E32" t="s">
        <v>1627</v>
      </c>
      <c r="F32" t="s">
        <v>56</v>
      </c>
      <c r="G32" t="s">
        <v>56</v>
      </c>
      <c r="H32" t="s">
        <v>66</v>
      </c>
      <c r="I32" t="s">
        <v>66</v>
      </c>
      <c r="J32" t="s">
        <v>56</v>
      </c>
      <c r="K32" t="s">
        <v>56</v>
      </c>
      <c r="L32" t="s">
        <v>1627</v>
      </c>
      <c r="M32" t="s">
        <v>56</v>
      </c>
      <c r="N32" t="s">
        <v>56</v>
      </c>
      <c r="O32" t="s">
        <v>1627</v>
      </c>
      <c r="P32" t="s">
        <v>5826</v>
      </c>
      <c r="Q32" t="s">
        <v>66</v>
      </c>
      <c r="R32" t="s">
        <v>56</v>
      </c>
      <c r="S32" t="s">
        <v>56</v>
      </c>
      <c r="T32" t="s">
        <v>56</v>
      </c>
      <c r="U32">
        <v>940701</v>
      </c>
      <c r="V32" t="s">
        <v>5823</v>
      </c>
      <c r="W32">
        <v>1</v>
      </c>
      <c r="X32">
        <v>1</v>
      </c>
      <c r="Y32">
        <v>8</v>
      </c>
      <c r="Z32" t="s">
        <v>5751</v>
      </c>
      <c r="AA32" t="s">
        <v>56</v>
      </c>
      <c r="AB32">
        <v>1</v>
      </c>
      <c r="AC32" t="s">
        <v>56</v>
      </c>
      <c r="AD32" t="s">
        <v>56</v>
      </c>
      <c r="AE32" t="s">
        <v>5831</v>
      </c>
      <c r="AF32" t="s">
        <v>5832</v>
      </c>
      <c r="AG32">
        <v>1</v>
      </c>
      <c r="AH32" t="s">
        <v>3902</v>
      </c>
    </row>
    <row r="33" spans="1:34" x14ac:dyDescent="0.25">
      <c r="A33" t="str">
        <f>"20200124129017009517"</f>
        <v>20200124129017009517</v>
      </c>
      <c r="B33">
        <v>1</v>
      </c>
      <c r="C33">
        <v>2</v>
      </c>
      <c r="D33" t="s">
        <v>5776</v>
      </c>
      <c r="E33" t="s">
        <v>1627</v>
      </c>
      <c r="F33" t="s">
        <v>56</v>
      </c>
      <c r="G33" t="s">
        <v>56</v>
      </c>
      <c r="H33" t="s">
        <v>66</v>
      </c>
      <c r="I33" t="s">
        <v>66</v>
      </c>
      <c r="J33" t="s">
        <v>56</v>
      </c>
      <c r="K33" t="s">
        <v>56</v>
      </c>
      <c r="L33" t="s">
        <v>1627</v>
      </c>
      <c r="M33" t="s">
        <v>56</v>
      </c>
      <c r="N33" t="s">
        <v>56</v>
      </c>
      <c r="O33" t="s">
        <v>1627</v>
      </c>
      <c r="P33" t="s">
        <v>3887</v>
      </c>
      <c r="Q33" t="s">
        <v>66</v>
      </c>
      <c r="R33" t="s">
        <v>56</v>
      </c>
      <c r="S33" t="s">
        <v>56</v>
      </c>
      <c r="T33" t="s">
        <v>56</v>
      </c>
      <c r="U33">
        <v>940701</v>
      </c>
      <c r="V33" t="s">
        <v>5823</v>
      </c>
      <c r="W33">
        <v>5</v>
      </c>
      <c r="X33">
        <v>1</v>
      </c>
      <c r="Y33">
        <v>4</v>
      </c>
      <c r="Z33" t="s">
        <v>4302</v>
      </c>
      <c r="AA33">
        <v>2</v>
      </c>
      <c r="AB33">
        <v>5</v>
      </c>
      <c r="AC33">
        <v>5</v>
      </c>
      <c r="AD33" t="s">
        <v>3899</v>
      </c>
      <c r="AE33" t="s">
        <v>5833</v>
      </c>
      <c r="AF33" t="s">
        <v>5834</v>
      </c>
      <c r="AG33">
        <v>1</v>
      </c>
      <c r="AH33" t="s">
        <v>3902</v>
      </c>
    </row>
    <row r="34" spans="1:34" x14ac:dyDescent="0.25">
      <c r="A34" t="str">
        <f>"20200131136017160791"</f>
        <v>20200131136017160791</v>
      </c>
      <c r="B34">
        <v>1</v>
      </c>
      <c r="C34">
        <v>1</v>
      </c>
      <c r="D34" t="s">
        <v>5751</v>
      </c>
      <c r="E34" t="s">
        <v>1627</v>
      </c>
      <c r="F34" t="s">
        <v>56</v>
      </c>
      <c r="G34" t="s">
        <v>56</v>
      </c>
      <c r="H34" t="s">
        <v>66</v>
      </c>
      <c r="I34" t="s">
        <v>66</v>
      </c>
      <c r="J34" t="s">
        <v>56</v>
      </c>
      <c r="K34" t="s">
        <v>56</v>
      </c>
      <c r="L34" t="s">
        <v>1627</v>
      </c>
      <c r="M34" t="s">
        <v>56</v>
      </c>
      <c r="N34" t="s">
        <v>56</v>
      </c>
      <c r="O34" t="s">
        <v>1627</v>
      </c>
      <c r="P34" t="s">
        <v>5826</v>
      </c>
      <c r="Q34" t="s">
        <v>66</v>
      </c>
      <c r="R34" t="s">
        <v>56</v>
      </c>
      <c r="S34" t="s">
        <v>56</v>
      </c>
      <c r="T34" t="s">
        <v>56</v>
      </c>
      <c r="U34">
        <v>940701</v>
      </c>
      <c r="V34" t="s">
        <v>5823</v>
      </c>
      <c r="W34">
        <v>1</v>
      </c>
      <c r="X34">
        <v>1</v>
      </c>
      <c r="Y34">
        <v>8</v>
      </c>
      <c r="Z34" t="s">
        <v>5751</v>
      </c>
      <c r="AA34" t="s">
        <v>56</v>
      </c>
      <c r="AB34">
        <v>1</v>
      </c>
      <c r="AC34" t="s">
        <v>56</v>
      </c>
      <c r="AD34" t="s">
        <v>56</v>
      </c>
      <c r="AE34" t="s">
        <v>5835</v>
      </c>
      <c r="AF34" t="s">
        <v>5836</v>
      </c>
      <c r="AG34">
        <v>1</v>
      </c>
      <c r="AH34" t="s">
        <v>3902</v>
      </c>
    </row>
    <row r="35" spans="1:34" x14ac:dyDescent="0.25">
      <c r="A35" t="str">
        <f>"20200129189017120901"</f>
        <v>20200129189017120901</v>
      </c>
      <c r="B35">
        <v>1</v>
      </c>
      <c r="C35">
        <v>1</v>
      </c>
      <c r="D35" t="s">
        <v>5751</v>
      </c>
      <c r="E35" t="s">
        <v>1627</v>
      </c>
      <c r="F35" t="s">
        <v>56</v>
      </c>
      <c r="G35" t="s">
        <v>56</v>
      </c>
      <c r="H35" t="s">
        <v>66</v>
      </c>
      <c r="I35" t="s">
        <v>66</v>
      </c>
      <c r="J35" t="s">
        <v>56</v>
      </c>
      <c r="K35" t="s">
        <v>56</v>
      </c>
      <c r="L35" t="s">
        <v>1627</v>
      </c>
      <c r="M35" t="s">
        <v>56</v>
      </c>
      <c r="N35" t="s">
        <v>56</v>
      </c>
      <c r="O35" t="s">
        <v>1627</v>
      </c>
      <c r="P35" t="s">
        <v>3887</v>
      </c>
      <c r="Q35" t="s">
        <v>66</v>
      </c>
      <c r="R35" t="s">
        <v>56</v>
      </c>
      <c r="S35" t="s">
        <v>56</v>
      </c>
      <c r="T35" t="s">
        <v>56</v>
      </c>
      <c r="U35">
        <v>940701</v>
      </c>
      <c r="V35" t="s">
        <v>5823</v>
      </c>
      <c r="W35">
        <v>1</v>
      </c>
      <c r="X35">
        <v>1</v>
      </c>
      <c r="Y35">
        <v>4</v>
      </c>
      <c r="Z35" t="s">
        <v>4302</v>
      </c>
      <c r="AA35">
        <v>4</v>
      </c>
      <c r="AB35">
        <v>4</v>
      </c>
      <c r="AC35">
        <v>4</v>
      </c>
      <c r="AD35" t="s">
        <v>4302</v>
      </c>
      <c r="AE35" t="s">
        <v>5837</v>
      </c>
      <c r="AF35" t="s">
        <v>5838</v>
      </c>
      <c r="AG35">
        <v>1</v>
      </c>
      <c r="AH35" t="s">
        <v>3902</v>
      </c>
    </row>
    <row r="36" spans="1:34" x14ac:dyDescent="0.25">
      <c r="A36" t="str">
        <f>"20200129160017121298"</f>
        <v>20200129160017121298</v>
      </c>
      <c r="B36">
        <v>1</v>
      </c>
      <c r="C36">
        <v>1</v>
      </c>
      <c r="D36" t="s">
        <v>5751</v>
      </c>
      <c r="E36" t="s">
        <v>1627</v>
      </c>
      <c r="F36" t="s">
        <v>56</v>
      </c>
      <c r="G36" t="s">
        <v>56</v>
      </c>
      <c r="H36" t="s">
        <v>66</v>
      </c>
      <c r="I36" t="s">
        <v>66</v>
      </c>
      <c r="J36" t="s">
        <v>56</v>
      </c>
      <c r="K36" t="s">
        <v>56</v>
      </c>
      <c r="L36" t="s">
        <v>1627</v>
      </c>
      <c r="M36" t="s">
        <v>56</v>
      </c>
      <c r="N36" t="s">
        <v>56</v>
      </c>
      <c r="O36" t="s">
        <v>1627</v>
      </c>
      <c r="P36" t="s">
        <v>3887</v>
      </c>
      <c r="Q36" t="s">
        <v>66</v>
      </c>
      <c r="R36" t="s">
        <v>56</v>
      </c>
      <c r="S36" t="s">
        <v>56</v>
      </c>
      <c r="T36" t="s">
        <v>56</v>
      </c>
      <c r="U36">
        <v>940701</v>
      </c>
      <c r="V36" t="s">
        <v>5823</v>
      </c>
      <c r="W36">
        <v>1</v>
      </c>
      <c r="X36">
        <v>1</v>
      </c>
      <c r="Y36">
        <v>4</v>
      </c>
      <c r="Z36" t="s">
        <v>4302</v>
      </c>
      <c r="AA36">
        <v>4</v>
      </c>
      <c r="AB36">
        <v>4</v>
      </c>
      <c r="AC36">
        <v>4</v>
      </c>
      <c r="AD36" t="s">
        <v>4302</v>
      </c>
      <c r="AE36" t="s">
        <v>5839</v>
      </c>
      <c r="AF36" t="s">
        <v>5840</v>
      </c>
      <c r="AG36">
        <v>1</v>
      </c>
      <c r="AH36" t="s">
        <v>3902</v>
      </c>
    </row>
    <row r="37" spans="1:34" x14ac:dyDescent="0.25">
      <c r="A37" t="str">
        <f>"20200129142017122513"</f>
        <v>20200129142017122513</v>
      </c>
      <c r="B37">
        <v>1</v>
      </c>
      <c r="C37">
        <v>1</v>
      </c>
      <c r="D37" t="s">
        <v>5751</v>
      </c>
      <c r="E37" t="s">
        <v>1627</v>
      </c>
      <c r="F37" t="s">
        <v>56</v>
      </c>
      <c r="G37" t="s">
        <v>56</v>
      </c>
      <c r="H37" t="s">
        <v>66</v>
      </c>
      <c r="I37" t="s">
        <v>66</v>
      </c>
      <c r="J37" t="s">
        <v>56</v>
      </c>
      <c r="K37" t="s">
        <v>56</v>
      </c>
      <c r="L37" t="s">
        <v>1627</v>
      </c>
      <c r="M37" t="s">
        <v>56</v>
      </c>
      <c r="N37" t="s">
        <v>56</v>
      </c>
      <c r="O37" t="s">
        <v>1627</v>
      </c>
      <c r="P37" t="s">
        <v>3887</v>
      </c>
      <c r="Q37" t="s">
        <v>66</v>
      </c>
      <c r="R37" t="s">
        <v>56</v>
      </c>
      <c r="S37" t="s">
        <v>56</v>
      </c>
      <c r="T37" t="s">
        <v>56</v>
      </c>
      <c r="U37">
        <v>940701</v>
      </c>
      <c r="V37" t="s">
        <v>5823</v>
      </c>
      <c r="W37">
        <v>1</v>
      </c>
      <c r="X37">
        <v>1</v>
      </c>
      <c r="Y37">
        <v>4</v>
      </c>
      <c r="Z37" t="s">
        <v>4302</v>
      </c>
      <c r="AA37">
        <v>4</v>
      </c>
      <c r="AB37">
        <v>4</v>
      </c>
      <c r="AC37">
        <v>4</v>
      </c>
      <c r="AD37" t="s">
        <v>4302</v>
      </c>
      <c r="AE37" t="s">
        <v>5841</v>
      </c>
      <c r="AF37" t="s">
        <v>5840</v>
      </c>
      <c r="AG37">
        <v>1</v>
      </c>
      <c r="AH37" t="s">
        <v>3902</v>
      </c>
    </row>
    <row r="38" spans="1:34" x14ac:dyDescent="0.25">
      <c r="A38" t="str">
        <f>"20200129169017122707"</f>
        <v>20200129169017122707</v>
      </c>
      <c r="B38">
        <v>1</v>
      </c>
      <c r="C38">
        <v>1</v>
      </c>
      <c r="D38" t="s">
        <v>5751</v>
      </c>
      <c r="E38" t="s">
        <v>1627</v>
      </c>
      <c r="F38" t="s">
        <v>56</v>
      </c>
      <c r="G38" t="s">
        <v>56</v>
      </c>
      <c r="H38" t="s">
        <v>66</v>
      </c>
      <c r="I38" t="s">
        <v>66</v>
      </c>
      <c r="J38" t="s">
        <v>56</v>
      </c>
      <c r="K38" t="s">
        <v>56</v>
      </c>
      <c r="L38" t="s">
        <v>1627</v>
      </c>
      <c r="M38" t="s">
        <v>56</v>
      </c>
      <c r="N38" t="s">
        <v>56</v>
      </c>
      <c r="O38" t="s">
        <v>1627</v>
      </c>
      <c r="P38" t="s">
        <v>3887</v>
      </c>
      <c r="Q38" t="s">
        <v>66</v>
      </c>
      <c r="R38" t="s">
        <v>56</v>
      </c>
      <c r="S38" t="s">
        <v>56</v>
      </c>
      <c r="T38" t="s">
        <v>56</v>
      </c>
      <c r="U38">
        <v>940701</v>
      </c>
      <c r="V38" t="s">
        <v>5823</v>
      </c>
      <c r="W38">
        <v>1</v>
      </c>
      <c r="X38">
        <v>1</v>
      </c>
      <c r="Y38">
        <v>4</v>
      </c>
      <c r="Z38" t="s">
        <v>4302</v>
      </c>
      <c r="AA38">
        <v>4</v>
      </c>
      <c r="AB38">
        <v>4</v>
      </c>
      <c r="AC38">
        <v>4</v>
      </c>
      <c r="AD38" t="s">
        <v>4302</v>
      </c>
      <c r="AE38" t="s">
        <v>5841</v>
      </c>
      <c r="AF38" t="s">
        <v>5840</v>
      </c>
      <c r="AG38">
        <v>1</v>
      </c>
      <c r="AH38" t="s">
        <v>3902</v>
      </c>
    </row>
    <row r="39" spans="1:34" x14ac:dyDescent="0.25">
      <c r="A39" t="str">
        <f>"20200127100017042248"</f>
        <v>20200127100017042248</v>
      </c>
      <c r="B39">
        <v>1</v>
      </c>
      <c r="C39">
        <v>1</v>
      </c>
      <c r="D39" t="s">
        <v>5751</v>
      </c>
      <c r="E39" t="s">
        <v>1627</v>
      </c>
      <c r="F39" t="s">
        <v>56</v>
      </c>
      <c r="G39" t="s">
        <v>56</v>
      </c>
      <c r="H39" t="s">
        <v>66</v>
      </c>
      <c r="I39" t="s">
        <v>66</v>
      </c>
      <c r="J39" t="s">
        <v>56</v>
      </c>
      <c r="K39" t="s">
        <v>56</v>
      </c>
      <c r="L39" t="s">
        <v>1627</v>
      </c>
      <c r="M39" t="s">
        <v>56</v>
      </c>
      <c r="N39" t="s">
        <v>56</v>
      </c>
      <c r="O39" t="s">
        <v>1627</v>
      </c>
      <c r="P39" t="s">
        <v>3887</v>
      </c>
      <c r="Q39" t="s">
        <v>66</v>
      </c>
      <c r="R39" t="s">
        <v>56</v>
      </c>
      <c r="S39" t="s">
        <v>56</v>
      </c>
      <c r="T39" t="s">
        <v>56</v>
      </c>
      <c r="U39">
        <v>940701</v>
      </c>
      <c r="V39" t="s">
        <v>5823</v>
      </c>
      <c r="W39">
        <v>3</v>
      </c>
      <c r="X39">
        <v>3</v>
      </c>
      <c r="Y39">
        <v>2</v>
      </c>
      <c r="Z39" t="s">
        <v>3897</v>
      </c>
      <c r="AA39">
        <v>3</v>
      </c>
      <c r="AB39">
        <v>3</v>
      </c>
      <c r="AC39">
        <v>3</v>
      </c>
      <c r="AD39" t="s">
        <v>3911</v>
      </c>
      <c r="AE39" t="s">
        <v>5842</v>
      </c>
      <c r="AF39" t="s">
        <v>5843</v>
      </c>
      <c r="AG39">
        <v>1</v>
      </c>
      <c r="AH39" t="s">
        <v>3902</v>
      </c>
    </row>
    <row r="40" spans="1:34" x14ac:dyDescent="0.25">
      <c r="A40" t="str">
        <f>"20200127151017049470"</f>
        <v>20200127151017049470</v>
      </c>
      <c r="B40">
        <v>1</v>
      </c>
      <c r="C40">
        <v>2</v>
      </c>
      <c r="D40" t="s">
        <v>5776</v>
      </c>
      <c r="E40" t="s">
        <v>1627</v>
      </c>
      <c r="F40" t="s">
        <v>56</v>
      </c>
      <c r="G40" t="s">
        <v>56</v>
      </c>
      <c r="H40" t="s">
        <v>66</v>
      </c>
      <c r="I40" t="s">
        <v>66</v>
      </c>
      <c r="J40" t="s">
        <v>56</v>
      </c>
      <c r="K40" t="s">
        <v>56</v>
      </c>
      <c r="L40" t="s">
        <v>1627</v>
      </c>
      <c r="M40" t="s">
        <v>56</v>
      </c>
      <c r="N40" t="s">
        <v>56</v>
      </c>
      <c r="O40" t="s">
        <v>1627</v>
      </c>
      <c r="P40" t="s">
        <v>3887</v>
      </c>
      <c r="Q40" t="s">
        <v>66</v>
      </c>
      <c r="R40" t="s">
        <v>56</v>
      </c>
      <c r="S40" t="s">
        <v>56</v>
      </c>
      <c r="T40" t="s">
        <v>56</v>
      </c>
      <c r="U40">
        <v>940701</v>
      </c>
      <c r="V40" t="s">
        <v>5823</v>
      </c>
      <c r="W40">
        <v>5</v>
      </c>
      <c r="X40">
        <v>1</v>
      </c>
      <c r="Y40">
        <v>4</v>
      </c>
      <c r="Z40" t="s">
        <v>4302</v>
      </c>
      <c r="AA40">
        <v>60</v>
      </c>
      <c r="AB40">
        <v>5</v>
      </c>
      <c r="AC40">
        <v>3</v>
      </c>
      <c r="AD40" t="s">
        <v>3911</v>
      </c>
      <c r="AE40" t="s">
        <v>5844</v>
      </c>
      <c r="AF40" t="s">
        <v>5845</v>
      </c>
      <c r="AG40">
        <v>1</v>
      </c>
      <c r="AH40" t="s">
        <v>3902</v>
      </c>
    </row>
    <row r="41" spans="1:34" x14ac:dyDescent="0.25">
      <c r="A41" t="str">
        <f>"20200128120017078376"</f>
        <v>20200128120017078376</v>
      </c>
      <c r="B41">
        <v>1</v>
      </c>
      <c r="C41">
        <v>1</v>
      </c>
      <c r="D41" t="s">
        <v>5751</v>
      </c>
      <c r="E41" t="s">
        <v>1627</v>
      </c>
      <c r="F41" t="s">
        <v>56</v>
      </c>
      <c r="G41" t="s">
        <v>56</v>
      </c>
      <c r="H41" t="s">
        <v>66</v>
      </c>
      <c r="I41" t="s">
        <v>66</v>
      </c>
      <c r="J41" t="s">
        <v>56</v>
      </c>
      <c r="K41" t="s">
        <v>56</v>
      </c>
      <c r="L41" t="s">
        <v>1627</v>
      </c>
      <c r="M41" t="s">
        <v>56</v>
      </c>
      <c r="N41" t="s">
        <v>56</v>
      </c>
      <c r="O41" t="s">
        <v>1627</v>
      </c>
      <c r="P41" t="s">
        <v>5846</v>
      </c>
      <c r="Q41" t="s">
        <v>66</v>
      </c>
      <c r="R41" t="s">
        <v>56</v>
      </c>
      <c r="S41" t="s">
        <v>56</v>
      </c>
      <c r="T41" t="s">
        <v>56</v>
      </c>
      <c r="U41">
        <v>940701</v>
      </c>
      <c r="V41" t="s">
        <v>5823</v>
      </c>
      <c r="W41">
        <v>1</v>
      </c>
      <c r="X41">
        <v>1</v>
      </c>
      <c r="Y41">
        <v>8</v>
      </c>
      <c r="Z41" t="s">
        <v>5751</v>
      </c>
      <c r="AA41" t="s">
        <v>56</v>
      </c>
      <c r="AB41">
        <v>1</v>
      </c>
      <c r="AC41" t="s">
        <v>56</v>
      </c>
      <c r="AD41" t="s">
        <v>56</v>
      </c>
      <c r="AE41" t="s">
        <v>5847</v>
      </c>
      <c r="AF41" t="s">
        <v>5848</v>
      </c>
      <c r="AG41">
        <v>1</v>
      </c>
      <c r="AH41" t="s">
        <v>3902</v>
      </c>
    </row>
    <row r="42" spans="1:34" x14ac:dyDescent="0.25">
      <c r="A42" t="str">
        <f>"20200130191017132429"</f>
        <v>20200130191017132429</v>
      </c>
      <c r="B42">
        <v>1</v>
      </c>
      <c r="C42">
        <v>1</v>
      </c>
      <c r="D42" t="s">
        <v>5751</v>
      </c>
      <c r="E42" t="s">
        <v>1627</v>
      </c>
      <c r="F42" t="s">
        <v>56</v>
      </c>
      <c r="G42" t="s">
        <v>56</v>
      </c>
      <c r="H42" t="s">
        <v>66</v>
      </c>
      <c r="I42" t="s">
        <v>66</v>
      </c>
      <c r="J42" t="s">
        <v>56</v>
      </c>
      <c r="K42" t="s">
        <v>56</v>
      </c>
      <c r="L42" t="s">
        <v>1627</v>
      </c>
      <c r="M42" t="s">
        <v>56</v>
      </c>
      <c r="N42" t="s">
        <v>56</v>
      </c>
      <c r="O42" t="s">
        <v>1627</v>
      </c>
      <c r="P42" t="s">
        <v>3887</v>
      </c>
      <c r="Q42" t="s">
        <v>66</v>
      </c>
      <c r="R42" t="s">
        <v>56</v>
      </c>
      <c r="S42" t="s">
        <v>56</v>
      </c>
      <c r="T42" t="s">
        <v>56</v>
      </c>
      <c r="U42">
        <v>940701</v>
      </c>
      <c r="V42" t="s">
        <v>5823</v>
      </c>
      <c r="W42">
        <v>3</v>
      </c>
      <c r="X42">
        <v>3</v>
      </c>
      <c r="Y42">
        <v>2</v>
      </c>
      <c r="Z42" t="s">
        <v>3897</v>
      </c>
      <c r="AA42">
        <v>3</v>
      </c>
      <c r="AB42">
        <v>3</v>
      </c>
      <c r="AC42">
        <v>3</v>
      </c>
      <c r="AD42" t="s">
        <v>3911</v>
      </c>
      <c r="AE42" t="s">
        <v>5849</v>
      </c>
      <c r="AF42" t="s">
        <v>5850</v>
      </c>
      <c r="AG42">
        <v>1</v>
      </c>
      <c r="AH42" t="s">
        <v>3902</v>
      </c>
    </row>
    <row r="43" spans="1:34" x14ac:dyDescent="0.25">
      <c r="A43" t="str">
        <f>"20200130177017139507"</f>
        <v>20200130177017139507</v>
      </c>
      <c r="B43">
        <v>1</v>
      </c>
      <c r="C43">
        <v>1</v>
      </c>
      <c r="D43" t="s">
        <v>5751</v>
      </c>
      <c r="E43" t="s">
        <v>1627</v>
      </c>
      <c r="F43" t="s">
        <v>56</v>
      </c>
      <c r="G43" t="s">
        <v>56</v>
      </c>
      <c r="H43" t="s">
        <v>66</v>
      </c>
      <c r="I43" t="s">
        <v>66</v>
      </c>
      <c r="J43" t="s">
        <v>56</v>
      </c>
      <c r="K43" t="s">
        <v>56</v>
      </c>
      <c r="L43" t="s">
        <v>1627</v>
      </c>
      <c r="M43" t="s">
        <v>56</v>
      </c>
      <c r="N43" t="s">
        <v>56</v>
      </c>
      <c r="O43" t="s">
        <v>1627</v>
      </c>
      <c r="P43" t="s">
        <v>5826</v>
      </c>
      <c r="Q43" t="s">
        <v>66</v>
      </c>
      <c r="R43" t="s">
        <v>56</v>
      </c>
      <c r="S43" t="s">
        <v>56</v>
      </c>
      <c r="T43" t="s">
        <v>56</v>
      </c>
      <c r="U43">
        <v>940701</v>
      </c>
      <c r="V43" t="s">
        <v>5823</v>
      </c>
      <c r="W43">
        <v>1</v>
      </c>
      <c r="X43">
        <v>1</v>
      </c>
      <c r="Y43">
        <v>8</v>
      </c>
      <c r="Z43" t="s">
        <v>5751</v>
      </c>
      <c r="AA43" t="s">
        <v>56</v>
      </c>
      <c r="AB43">
        <v>1</v>
      </c>
      <c r="AC43" t="s">
        <v>56</v>
      </c>
      <c r="AD43" t="s">
        <v>56</v>
      </c>
      <c r="AE43" t="s">
        <v>5851</v>
      </c>
      <c r="AF43" t="s">
        <v>5852</v>
      </c>
      <c r="AG43">
        <v>1</v>
      </c>
      <c r="AH43" t="s">
        <v>3902</v>
      </c>
    </row>
    <row r="44" spans="1:34" x14ac:dyDescent="0.25">
      <c r="A44" t="str">
        <f>"20200130151017140187"</f>
        <v>20200130151017140187</v>
      </c>
      <c r="B44">
        <v>1</v>
      </c>
      <c r="C44">
        <v>1</v>
      </c>
      <c r="D44" t="s">
        <v>5751</v>
      </c>
      <c r="E44" t="s">
        <v>1627</v>
      </c>
      <c r="F44" t="s">
        <v>56</v>
      </c>
      <c r="G44" t="s">
        <v>56</v>
      </c>
      <c r="H44" t="s">
        <v>66</v>
      </c>
      <c r="I44" t="s">
        <v>66</v>
      </c>
      <c r="J44" t="s">
        <v>56</v>
      </c>
      <c r="K44" t="s">
        <v>56</v>
      </c>
      <c r="L44" t="s">
        <v>1627</v>
      </c>
      <c r="M44" t="s">
        <v>56</v>
      </c>
      <c r="N44" t="s">
        <v>56</v>
      </c>
      <c r="O44" t="s">
        <v>1627</v>
      </c>
      <c r="P44" t="s">
        <v>3887</v>
      </c>
      <c r="Q44" t="s">
        <v>66</v>
      </c>
      <c r="R44" t="s">
        <v>56</v>
      </c>
      <c r="S44" t="s">
        <v>56</v>
      </c>
      <c r="T44" t="s">
        <v>56</v>
      </c>
      <c r="U44">
        <v>940701</v>
      </c>
      <c r="V44" t="s">
        <v>5823</v>
      </c>
      <c r="W44">
        <v>3</v>
      </c>
      <c r="X44">
        <v>3</v>
      </c>
      <c r="Y44">
        <v>2</v>
      </c>
      <c r="Z44" t="s">
        <v>3897</v>
      </c>
      <c r="AA44">
        <v>3</v>
      </c>
      <c r="AB44">
        <v>3</v>
      </c>
      <c r="AC44">
        <v>3</v>
      </c>
      <c r="AD44" t="s">
        <v>3911</v>
      </c>
      <c r="AE44" t="s">
        <v>5853</v>
      </c>
      <c r="AF44" t="s">
        <v>5854</v>
      </c>
      <c r="AG44">
        <v>1</v>
      </c>
      <c r="AH44" t="s">
        <v>3902</v>
      </c>
    </row>
    <row r="45" spans="1:34" x14ac:dyDescent="0.25">
      <c r="A45" t="str">
        <f>"20200130166017144598"</f>
        <v>20200130166017144598</v>
      </c>
      <c r="B45">
        <v>1</v>
      </c>
      <c r="C45">
        <v>1</v>
      </c>
      <c r="D45" t="s">
        <v>5751</v>
      </c>
      <c r="E45" t="s">
        <v>1627</v>
      </c>
      <c r="F45" t="s">
        <v>56</v>
      </c>
      <c r="G45" t="s">
        <v>56</v>
      </c>
      <c r="H45" t="s">
        <v>66</v>
      </c>
      <c r="I45" t="s">
        <v>66</v>
      </c>
      <c r="J45" t="s">
        <v>56</v>
      </c>
      <c r="K45" t="s">
        <v>56</v>
      </c>
      <c r="L45" t="s">
        <v>1627</v>
      </c>
      <c r="M45" t="s">
        <v>56</v>
      </c>
      <c r="N45" t="s">
        <v>56</v>
      </c>
      <c r="O45" t="s">
        <v>1627</v>
      </c>
      <c r="P45" t="s">
        <v>5826</v>
      </c>
      <c r="Q45" t="s">
        <v>66</v>
      </c>
      <c r="R45" t="s">
        <v>56</v>
      </c>
      <c r="S45" t="s">
        <v>56</v>
      </c>
      <c r="T45" t="s">
        <v>56</v>
      </c>
      <c r="U45">
        <v>940701</v>
      </c>
      <c r="V45" t="s">
        <v>5823</v>
      </c>
      <c r="W45">
        <v>1</v>
      </c>
      <c r="X45">
        <v>1</v>
      </c>
      <c r="Y45">
        <v>8</v>
      </c>
      <c r="Z45" t="s">
        <v>5751</v>
      </c>
      <c r="AA45" t="s">
        <v>56</v>
      </c>
      <c r="AB45">
        <v>1</v>
      </c>
      <c r="AC45" t="s">
        <v>56</v>
      </c>
      <c r="AD45" t="s">
        <v>56</v>
      </c>
      <c r="AE45" t="s">
        <v>5855</v>
      </c>
      <c r="AF45" t="s">
        <v>5856</v>
      </c>
      <c r="AG45">
        <v>1</v>
      </c>
      <c r="AH45" t="s">
        <v>3902</v>
      </c>
    </row>
    <row r="46" spans="1:34" x14ac:dyDescent="0.25">
      <c r="A46" t="str">
        <f>"20200124110017004408"</f>
        <v>20200124110017004408</v>
      </c>
      <c r="B46">
        <v>1</v>
      </c>
      <c r="C46">
        <v>1</v>
      </c>
      <c r="D46" t="s">
        <v>5751</v>
      </c>
      <c r="E46" t="s">
        <v>1627</v>
      </c>
      <c r="F46" t="s">
        <v>56</v>
      </c>
      <c r="G46" t="s">
        <v>56</v>
      </c>
      <c r="H46" t="s">
        <v>66</v>
      </c>
      <c r="I46" t="s">
        <v>66</v>
      </c>
      <c r="J46" t="s">
        <v>56</v>
      </c>
      <c r="K46" t="s">
        <v>56</v>
      </c>
      <c r="L46" t="s">
        <v>1627</v>
      </c>
      <c r="M46" t="s">
        <v>56</v>
      </c>
      <c r="N46" t="s">
        <v>56</v>
      </c>
      <c r="O46" t="s">
        <v>1627</v>
      </c>
      <c r="P46" t="s">
        <v>3887</v>
      </c>
      <c r="Q46" t="s">
        <v>66</v>
      </c>
      <c r="R46" t="s">
        <v>56</v>
      </c>
      <c r="S46" t="s">
        <v>56</v>
      </c>
      <c r="T46" t="s">
        <v>56</v>
      </c>
      <c r="U46">
        <v>954601</v>
      </c>
      <c r="V46" t="s">
        <v>5857</v>
      </c>
      <c r="W46">
        <v>1</v>
      </c>
      <c r="X46">
        <v>1</v>
      </c>
      <c r="Y46">
        <v>8</v>
      </c>
      <c r="Z46" t="s">
        <v>5751</v>
      </c>
      <c r="AA46" t="s">
        <v>56</v>
      </c>
      <c r="AB46">
        <v>1</v>
      </c>
      <c r="AC46" t="s">
        <v>56</v>
      </c>
      <c r="AD46" t="s">
        <v>56</v>
      </c>
      <c r="AE46" t="s">
        <v>5858</v>
      </c>
      <c r="AF46" t="s">
        <v>5859</v>
      </c>
      <c r="AG46">
        <v>1</v>
      </c>
      <c r="AH46" t="s">
        <v>3902</v>
      </c>
    </row>
    <row r="47" spans="1:34" x14ac:dyDescent="0.25">
      <c r="A47" t="str">
        <f>"20200124133017004556"</f>
        <v>20200124133017004556</v>
      </c>
      <c r="B47">
        <v>1</v>
      </c>
      <c r="C47">
        <v>1</v>
      </c>
      <c r="D47" t="s">
        <v>5751</v>
      </c>
      <c r="E47" t="s">
        <v>1627</v>
      </c>
      <c r="F47" t="s">
        <v>56</v>
      </c>
      <c r="G47" t="s">
        <v>56</v>
      </c>
      <c r="H47" t="s">
        <v>66</v>
      </c>
      <c r="I47" t="s">
        <v>66</v>
      </c>
      <c r="J47" t="s">
        <v>56</v>
      </c>
      <c r="K47" t="s">
        <v>56</v>
      </c>
      <c r="L47" t="s">
        <v>1627</v>
      </c>
      <c r="M47" t="s">
        <v>56</v>
      </c>
      <c r="N47" t="s">
        <v>56</v>
      </c>
      <c r="O47" t="s">
        <v>1627</v>
      </c>
      <c r="P47" t="s">
        <v>3887</v>
      </c>
      <c r="Q47" t="s">
        <v>66</v>
      </c>
      <c r="R47" t="s">
        <v>56</v>
      </c>
      <c r="S47" t="s">
        <v>56</v>
      </c>
      <c r="T47" t="s">
        <v>56</v>
      </c>
      <c r="U47">
        <v>954625</v>
      </c>
      <c r="V47" t="s">
        <v>5860</v>
      </c>
      <c r="W47">
        <v>1</v>
      </c>
      <c r="X47">
        <v>1</v>
      </c>
      <c r="Y47">
        <v>8</v>
      </c>
      <c r="Z47" t="s">
        <v>5751</v>
      </c>
      <c r="AA47" t="s">
        <v>56</v>
      </c>
      <c r="AB47">
        <v>1</v>
      </c>
      <c r="AC47" t="s">
        <v>56</v>
      </c>
      <c r="AD47" t="s">
        <v>56</v>
      </c>
      <c r="AE47" t="s">
        <v>5861</v>
      </c>
      <c r="AF47" t="s">
        <v>5862</v>
      </c>
      <c r="AG47">
        <v>1</v>
      </c>
      <c r="AH47" t="s">
        <v>3902</v>
      </c>
    </row>
    <row r="48" spans="1:34" x14ac:dyDescent="0.25">
      <c r="A48" t="str">
        <f>"20200129174017111565"</f>
        <v>20200129174017111565</v>
      </c>
      <c r="B48">
        <v>1</v>
      </c>
      <c r="C48">
        <v>1</v>
      </c>
      <c r="D48" t="s">
        <v>5751</v>
      </c>
      <c r="E48" t="s">
        <v>1627</v>
      </c>
      <c r="F48" t="s">
        <v>56</v>
      </c>
      <c r="G48" t="s">
        <v>56</v>
      </c>
      <c r="H48" t="s">
        <v>66</v>
      </c>
      <c r="I48" t="s">
        <v>66</v>
      </c>
      <c r="J48" t="s">
        <v>56</v>
      </c>
      <c r="K48" t="s">
        <v>56</v>
      </c>
      <c r="L48" t="s">
        <v>1627</v>
      </c>
      <c r="M48" t="s">
        <v>56</v>
      </c>
      <c r="N48" t="s">
        <v>56</v>
      </c>
      <c r="O48" t="s">
        <v>1627</v>
      </c>
      <c r="P48" t="s">
        <v>3887</v>
      </c>
      <c r="Q48" t="s">
        <v>66</v>
      </c>
      <c r="R48" t="s">
        <v>56</v>
      </c>
      <c r="S48" t="s">
        <v>56</v>
      </c>
      <c r="T48" t="s">
        <v>56</v>
      </c>
      <c r="U48">
        <v>922445</v>
      </c>
      <c r="V48" t="s">
        <v>5863</v>
      </c>
      <c r="W48">
        <v>1</v>
      </c>
      <c r="X48">
        <v>1</v>
      </c>
      <c r="Y48">
        <v>8</v>
      </c>
      <c r="Z48" t="s">
        <v>5751</v>
      </c>
      <c r="AA48" t="s">
        <v>56</v>
      </c>
      <c r="AB48">
        <v>1</v>
      </c>
      <c r="AC48" t="s">
        <v>56</v>
      </c>
      <c r="AD48" t="s">
        <v>56</v>
      </c>
      <c r="AE48" t="s">
        <v>5864</v>
      </c>
      <c r="AF48" t="s">
        <v>5865</v>
      </c>
      <c r="AG48">
        <v>1</v>
      </c>
      <c r="AH48" t="s">
        <v>3902</v>
      </c>
    </row>
    <row r="49" spans="1:34" x14ac:dyDescent="0.25">
      <c r="A49" t="str">
        <f>"20200128112017083315"</f>
        <v>20200128112017083315</v>
      </c>
      <c r="B49">
        <v>1</v>
      </c>
      <c r="C49">
        <v>1</v>
      </c>
      <c r="D49" t="s">
        <v>5751</v>
      </c>
      <c r="E49" t="s">
        <v>1627</v>
      </c>
      <c r="F49" t="s">
        <v>56</v>
      </c>
      <c r="G49" t="s">
        <v>56</v>
      </c>
      <c r="H49" t="s">
        <v>66</v>
      </c>
      <c r="I49" t="s">
        <v>66</v>
      </c>
      <c r="J49" t="s">
        <v>56</v>
      </c>
      <c r="K49" t="s">
        <v>56</v>
      </c>
      <c r="L49" t="s">
        <v>1627</v>
      </c>
      <c r="M49" t="s">
        <v>56</v>
      </c>
      <c r="N49" t="s">
        <v>56</v>
      </c>
      <c r="O49" t="s">
        <v>1627</v>
      </c>
      <c r="P49" t="s">
        <v>3887</v>
      </c>
      <c r="Q49" t="s">
        <v>66</v>
      </c>
      <c r="R49" t="s">
        <v>56</v>
      </c>
      <c r="S49" t="s">
        <v>56</v>
      </c>
      <c r="T49" t="s">
        <v>56</v>
      </c>
      <c r="U49">
        <v>930403</v>
      </c>
      <c r="V49" t="s">
        <v>5866</v>
      </c>
      <c r="W49">
        <v>1</v>
      </c>
      <c r="X49">
        <v>1</v>
      </c>
      <c r="Y49">
        <v>8</v>
      </c>
      <c r="Z49" t="s">
        <v>5751</v>
      </c>
      <c r="AA49" t="s">
        <v>56</v>
      </c>
      <c r="AB49">
        <v>1</v>
      </c>
      <c r="AC49" t="s">
        <v>56</v>
      </c>
      <c r="AD49" t="s">
        <v>56</v>
      </c>
      <c r="AE49" t="s">
        <v>5867</v>
      </c>
      <c r="AF49" t="s">
        <v>5868</v>
      </c>
      <c r="AG49">
        <v>1</v>
      </c>
      <c r="AH49" t="s">
        <v>3902</v>
      </c>
    </row>
    <row r="50" spans="1:34" x14ac:dyDescent="0.25">
      <c r="A50" t="str">
        <f>"20200130179017129676"</f>
        <v>20200130179017129676</v>
      </c>
      <c r="B50">
        <v>1</v>
      </c>
      <c r="C50">
        <v>1</v>
      </c>
      <c r="D50" t="s">
        <v>5751</v>
      </c>
      <c r="E50" t="s">
        <v>66</v>
      </c>
      <c r="F50" t="s">
        <v>1627</v>
      </c>
      <c r="G50" t="s">
        <v>56</v>
      </c>
      <c r="H50" t="s">
        <v>66</v>
      </c>
      <c r="I50" t="s">
        <v>66</v>
      </c>
      <c r="J50" t="s">
        <v>56</v>
      </c>
      <c r="K50" t="s">
        <v>56</v>
      </c>
      <c r="L50" t="s">
        <v>1627</v>
      </c>
      <c r="M50" t="s">
        <v>56</v>
      </c>
      <c r="N50" t="s">
        <v>56</v>
      </c>
      <c r="O50" t="s">
        <v>1627</v>
      </c>
      <c r="P50" t="s">
        <v>3887</v>
      </c>
      <c r="Q50" t="s">
        <v>66</v>
      </c>
      <c r="R50" t="s">
        <v>56</v>
      </c>
      <c r="S50" t="s">
        <v>56</v>
      </c>
      <c r="T50" t="s">
        <v>56</v>
      </c>
      <c r="U50">
        <v>930403</v>
      </c>
      <c r="V50" t="s">
        <v>5866</v>
      </c>
      <c r="W50">
        <v>1</v>
      </c>
      <c r="X50">
        <v>1</v>
      </c>
      <c r="Y50">
        <v>8</v>
      </c>
      <c r="Z50" t="s">
        <v>5751</v>
      </c>
      <c r="AA50" t="s">
        <v>56</v>
      </c>
      <c r="AB50">
        <v>1</v>
      </c>
      <c r="AC50" t="s">
        <v>56</v>
      </c>
      <c r="AD50" t="s">
        <v>56</v>
      </c>
      <c r="AE50" t="s">
        <v>5869</v>
      </c>
      <c r="AF50" t="s">
        <v>5870</v>
      </c>
      <c r="AG50">
        <v>1</v>
      </c>
      <c r="AH50" t="s">
        <v>3902</v>
      </c>
    </row>
    <row r="51" spans="1:34" x14ac:dyDescent="0.25">
      <c r="A51" t="str">
        <f>"20200131162017175106"</f>
        <v>20200131162017175106</v>
      </c>
      <c r="B51">
        <v>1</v>
      </c>
      <c r="C51">
        <v>1</v>
      </c>
      <c r="D51" t="s">
        <v>5751</v>
      </c>
      <c r="E51" t="s">
        <v>1627</v>
      </c>
      <c r="F51" t="s">
        <v>56</v>
      </c>
      <c r="G51" t="s">
        <v>56</v>
      </c>
      <c r="H51" t="s">
        <v>66</v>
      </c>
      <c r="I51" t="s">
        <v>1627</v>
      </c>
      <c r="J51">
        <v>902210</v>
      </c>
      <c r="K51" t="s">
        <v>5871</v>
      </c>
      <c r="L51" t="s">
        <v>56</v>
      </c>
      <c r="M51" t="s">
        <v>56</v>
      </c>
      <c r="N51" t="s">
        <v>56</v>
      </c>
      <c r="O51" t="s">
        <v>66</v>
      </c>
      <c r="P51" t="s">
        <v>56</v>
      </c>
      <c r="Q51" t="s">
        <v>66</v>
      </c>
      <c r="R51" t="s">
        <v>56</v>
      </c>
      <c r="S51" t="s">
        <v>56</v>
      </c>
      <c r="T51" t="s">
        <v>56</v>
      </c>
      <c r="U51">
        <v>906841</v>
      </c>
      <c r="V51" t="s">
        <v>5872</v>
      </c>
      <c r="W51">
        <v>1</v>
      </c>
      <c r="X51">
        <v>1</v>
      </c>
      <c r="Y51">
        <v>3</v>
      </c>
      <c r="Z51" t="s">
        <v>3911</v>
      </c>
      <c r="AA51">
        <v>1</v>
      </c>
      <c r="AB51">
        <v>1</v>
      </c>
      <c r="AC51">
        <v>3</v>
      </c>
      <c r="AD51" t="s">
        <v>3911</v>
      </c>
      <c r="AE51" t="s">
        <v>5873</v>
      </c>
      <c r="AF51" t="s">
        <v>5874</v>
      </c>
      <c r="AG51">
        <v>1</v>
      </c>
      <c r="AH51" t="s">
        <v>3902</v>
      </c>
    </row>
    <row r="52" spans="1:34" x14ac:dyDescent="0.25">
      <c r="A52" t="str">
        <f>"20200130181017153615"</f>
        <v>20200130181017153615</v>
      </c>
      <c r="B52">
        <v>1</v>
      </c>
      <c r="C52">
        <v>1</v>
      </c>
      <c r="D52" t="s">
        <v>5751</v>
      </c>
      <c r="E52" t="s">
        <v>1627</v>
      </c>
      <c r="F52" t="s">
        <v>56</v>
      </c>
      <c r="G52" t="s">
        <v>56</v>
      </c>
      <c r="H52" t="s">
        <v>66</v>
      </c>
      <c r="I52" t="s">
        <v>66</v>
      </c>
      <c r="J52" t="s">
        <v>56</v>
      </c>
      <c r="K52" t="s">
        <v>56</v>
      </c>
      <c r="L52" t="s">
        <v>1627</v>
      </c>
      <c r="M52" t="s">
        <v>56</v>
      </c>
      <c r="N52" t="s">
        <v>56</v>
      </c>
      <c r="O52" t="s">
        <v>1627</v>
      </c>
      <c r="P52" t="s">
        <v>3887</v>
      </c>
      <c r="Q52" t="s">
        <v>66</v>
      </c>
      <c r="R52" t="s">
        <v>56</v>
      </c>
      <c r="S52" t="s">
        <v>56</v>
      </c>
      <c r="T52" t="s">
        <v>56</v>
      </c>
      <c r="U52">
        <v>906841</v>
      </c>
      <c r="V52" t="s">
        <v>5872</v>
      </c>
      <c r="W52">
        <v>1</v>
      </c>
      <c r="X52">
        <v>1</v>
      </c>
      <c r="Y52">
        <v>8</v>
      </c>
      <c r="Z52" t="s">
        <v>5751</v>
      </c>
      <c r="AA52" t="s">
        <v>56</v>
      </c>
      <c r="AB52">
        <v>1</v>
      </c>
      <c r="AC52" t="s">
        <v>56</v>
      </c>
      <c r="AD52" t="s">
        <v>56</v>
      </c>
      <c r="AE52" t="s">
        <v>5875</v>
      </c>
      <c r="AF52" t="s">
        <v>5666</v>
      </c>
      <c r="AG52">
        <v>1</v>
      </c>
      <c r="AH52" t="s">
        <v>3902</v>
      </c>
    </row>
    <row r="53" spans="1:34" x14ac:dyDescent="0.25">
      <c r="A53" t="str">
        <f>"20200127199017062951"</f>
        <v>20200127199017062951</v>
      </c>
      <c r="B53">
        <v>2</v>
      </c>
      <c r="C53">
        <v>1</v>
      </c>
      <c r="D53" t="s">
        <v>5751</v>
      </c>
      <c r="E53" t="s">
        <v>1627</v>
      </c>
      <c r="F53" t="s">
        <v>56</v>
      </c>
      <c r="G53" t="s">
        <v>56</v>
      </c>
      <c r="H53" t="s">
        <v>66</v>
      </c>
      <c r="I53" t="s">
        <v>66</v>
      </c>
      <c r="J53" t="s">
        <v>56</v>
      </c>
      <c r="K53" t="s">
        <v>56</v>
      </c>
      <c r="L53" t="s">
        <v>1627</v>
      </c>
      <c r="M53" t="s">
        <v>56</v>
      </c>
      <c r="N53" t="s">
        <v>56</v>
      </c>
      <c r="O53" t="s">
        <v>1627</v>
      </c>
      <c r="P53" t="s">
        <v>3887</v>
      </c>
      <c r="Q53" t="s">
        <v>66</v>
      </c>
      <c r="R53" t="s">
        <v>56</v>
      </c>
      <c r="S53" t="s">
        <v>56</v>
      </c>
      <c r="T53" t="s">
        <v>56</v>
      </c>
      <c r="U53">
        <v>906841</v>
      </c>
      <c r="V53" t="s">
        <v>5872</v>
      </c>
      <c r="W53">
        <v>1</v>
      </c>
      <c r="X53">
        <v>1</v>
      </c>
      <c r="Y53">
        <v>8</v>
      </c>
      <c r="Z53" t="s">
        <v>5751</v>
      </c>
      <c r="AA53" t="s">
        <v>56</v>
      </c>
      <c r="AB53">
        <v>1</v>
      </c>
      <c r="AC53" t="s">
        <v>56</v>
      </c>
      <c r="AD53" t="s">
        <v>56</v>
      </c>
      <c r="AE53" t="s">
        <v>5876</v>
      </c>
      <c r="AF53" t="s">
        <v>5877</v>
      </c>
      <c r="AG53">
        <v>1</v>
      </c>
      <c r="AH53" t="s">
        <v>3902</v>
      </c>
    </row>
    <row r="54" spans="1:34" x14ac:dyDescent="0.25">
      <c r="A54" t="str">
        <f>"20200130133017139900"</f>
        <v>20200130133017139900</v>
      </c>
      <c r="B54">
        <v>1</v>
      </c>
      <c r="C54">
        <v>1</v>
      </c>
      <c r="D54" t="s">
        <v>5751</v>
      </c>
      <c r="E54" t="s">
        <v>1627</v>
      </c>
      <c r="F54" t="s">
        <v>56</v>
      </c>
      <c r="G54" t="s">
        <v>56</v>
      </c>
      <c r="H54" t="s">
        <v>66</v>
      </c>
      <c r="I54" t="s">
        <v>66</v>
      </c>
      <c r="J54" t="s">
        <v>56</v>
      </c>
      <c r="K54" t="s">
        <v>56</v>
      </c>
      <c r="L54" t="s">
        <v>1627</v>
      </c>
      <c r="M54" t="s">
        <v>56</v>
      </c>
      <c r="N54" t="s">
        <v>56</v>
      </c>
      <c r="O54" t="s">
        <v>1627</v>
      </c>
      <c r="P54" t="s">
        <v>3887</v>
      </c>
      <c r="Q54" t="s">
        <v>66</v>
      </c>
      <c r="R54" t="s">
        <v>56</v>
      </c>
      <c r="S54" t="s">
        <v>56</v>
      </c>
      <c r="T54" t="s">
        <v>56</v>
      </c>
      <c r="U54">
        <v>906841</v>
      </c>
      <c r="V54" t="s">
        <v>5872</v>
      </c>
      <c r="W54">
        <v>1</v>
      </c>
      <c r="X54">
        <v>1</v>
      </c>
      <c r="Y54">
        <v>8</v>
      </c>
      <c r="Z54" t="s">
        <v>5751</v>
      </c>
      <c r="AA54" t="s">
        <v>56</v>
      </c>
      <c r="AB54">
        <v>1</v>
      </c>
      <c r="AC54" t="s">
        <v>56</v>
      </c>
      <c r="AD54" t="s">
        <v>56</v>
      </c>
      <c r="AE54" t="s">
        <v>5878</v>
      </c>
      <c r="AF54" t="s">
        <v>5879</v>
      </c>
      <c r="AG54">
        <v>1</v>
      </c>
      <c r="AH54" t="s">
        <v>3902</v>
      </c>
    </row>
    <row r="55" spans="1:34" x14ac:dyDescent="0.25">
      <c r="A55" t="str">
        <f>"20200129159017126171"</f>
        <v>20200129159017126171</v>
      </c>
      <c r="B55">
        <v>1</v>
      </c>
      <c r="C55">
        <v>2</v>
      </c>
      <c r="D55" t="s">
        <v>5776</v>
      </c>
      <c r="E55" t="s">
        <v>66</v>
      </c>
      <c r="F55" t="s">
        <v>1627</v>
      </c>
      <c r="G55" t="s">
        <v>56</v>
      </c>
      <c r="H55" t="s">
        <v>66</v>
      </c>
      <c r="I55" t="s">
        <v>1627</v>
      </c>
      <c r="J55">
        <v>452301</v>
      </c>
      <c r="K55" t="s">
        <v>5772</v>
      </c>
      <c r="L55" t="s">
        <v>56</v>
      </c>
      <c r="M55" t="s">
        <v>56</v>
      </c>
      <c r="N55" t="s">
        <v>56</v>
      </c>
      <c r="O55" t="s">
        <v>66</v>
      </c>
      <c r="P55" t="s">
        <v>56</v>
      </c>
      <c r="Q55" t="s">
        <v>66</v>
      </c>
      <c r="R55" t="s">
        <v>56</v>
      </c>
      <c r="S55" t="s">
        <v>56</v>
      </c>
      <c r="T55" t="s">
        <v>56</v>
      </c>
      <c r="U55">
        <v>906851</v>
      </c>
      <c r="V55" t="s">
        <v>5880</v>
      </c>
      <c r="W55">
        <v>1</v>
      </c>
      <c r="X55">
        <v>6</v>
      </c>
      <c r="Y55">
        <v>5</v>
      </c>
      <c r="Z55" t="s">
        <v>3899</v>
      </c>
      <c r="AA55">
        <v>1</v>
      </c>
      <c r="AB55">
        <v>1</v>
      </c>
      <c r="AC55">
        <v>6</v>
      </c>
      <c r="AD55" t="s">
        <v>4216</v>
      </c>
      <c r="AE55" t="s">
        <v>5684</v>
      </c>
      <c r="AF55" t="s">
        <v>5881</v>
      </c>
      <c r="AG55">
        <v>1</v>
      </c>
      <c r="AH55" t="s">
        <v>3902</v>
      </c>
    </row>
    <row r="56" spans="1:34" x14ac:dyDescent="0.25">
      <c r="A56" t="str">
        <f>"20200128131017076935"</f>
        <v>20200128131017076935</v>
      </c>
      <c r="B56">
        <v>1</v>
      </c>
      <c r="C56">
        <v>1</v>
      </c>
      <c r="D56" t="s">
        <v>5751</v>
      </c>
      <c r="E56" t="s">
        <v>1627</v>
      </c>
      <c r="F56" t="s">
        <v>56</v>
      </c>
      <c r="G56" t="s">
        <v>56</v>
      </c>
      <c r="H56" t="s">
        <v>66</v>
      </c>
      <c r="I56" t="s">
        <v>66</v>
      </c>
      <c r="J56" t="s">
        <v>56</v>
      </c>
      <c r="K56" t="s">
        <v>56</v>
      </c>
      <c r="L56" t="s">
        <v>1627</v>
      </c>
      <c r="M56" t="s">
        <v>56</v>
      </c>
      <c r="N56" t="s">
        <v>56</v>
      </c>
      <c r="O56" t="s">
        <v>1627</v>
      </c>
      <c r="P56" t="s">
        <v>3887</v>
      </c>
      <c r="Q56" t="s">
        <v>66</v>
      </c>
      <c r="R56" t="s">
        <v>56</v>
      </c>
      <c r="S56" t="s">
        <v>56</v>
      </c>
      <c r="T56" t="s">
        <v>56</v>
      </c>
      <c r="U56">
        <v>908433</v>
      </c>
      <c r="V56" t="s">
        <v>5882</v>
      </c>
      <c r="W56">
        <v>1</v>
      </c>
      <c r="X56">
        <v>1</v>
      </c>
      <c r="Y56">
        <v>8</v>
      </c>
      <c r="Z56" t="s">
        <v>5751</v>
      </c>
      <c r="AA56" t="s">
        <v>56</v>
      </c>
      <c r="AB56">
        <v>1</v>
      </c>
      <c r="AC56" t="s">
        <v>56</v>
      </c>
      <c r="AD56" t="s">
        <v>56</v>
      </c>
      <c r="AE56" t="s">
        <v>5883</v>
      </c>
      <c r="AF56" t="s">
        <v>5884</v>
      </c>
      <c r="AG56">
        <v>1</v>
      </c>
      <c r="AH56" t="s">
        <v>3902</v>
      </c>
    </row>
    <row r="57" spans="1:34" x14ac:dyDescent="0.25">
      <c r="A57" t="str">
        <f>"20200124184016999984"</f>
        <v>20200124184016999984</v>
      </c>
      <c r="B57">
        <v>1</v>
      </c>
      <c r="C57">
        <v>1</v>
      </c>
      <c r="D57" t="s">
        <v>5751</v>
      </c>
      <c r="E57" t="s">
        <v>1627</v>
      </c>
      <c r="F57" t="s">
        <v>56</v>
      </c>
      <c r="G57" t="s">
        <v>56</v>
      </c>
      <c r="H57" t="s">
        <v>66</v>
      </c>
      <c r="I57" t="s">
        <v>66</v>
      </c>
      <c r="J57" t="s">
        <v>56</v>
      </c>
      <c r="K57" t="s">
        <v>56</v>
      </c>
      <c r="L57" t="s">
        <v>1627</v>
      </c>
      <c r="M57" t="s">
        <v>56</v>
      </c>
      <c r="N57" t="s">
        <v>56</v>
      </c>
      <c r="O57" t="s">
        <v>1627</v>
      </c>
      <c r="P57" t="s">
        <v>3887</v>
      </c>
      <c r="Q57" t="s">
        <v>66</v>
      </c>
      <c r="R57" t="s">
        <v>56</v>
      </c>
      <c r="S57" t="s">
        <v>56</v>
      </c>
      <c r="T57" t="s">
        <v>56</v>
      </c>
      <c r="U57">
        <v>908820</v>
      </c>
      <c r="V57" t="s">
        <v>5885</v>
      </c>
      <c r="W57">
        <v>1</v>
      </c>
      <c r="X57">
        <v>1</v>
      </c>
      <c r="Y57">
        <v>8</v>
      </c>
      <c r="Z57" t="s">
        <v>5751</v>
      </c>
      <c r="AA57" t="s">
        <v>56</v>
      </c>
      <c r="AB57">
        <v>1</v>
      </c>
      <c r="AC57" t="s">
        <v>56</v>
      </c>
      <c r="AD57" t="s">
        <v>56</v>
      </c>
      <c r="AE57" t="s">
        <v>5886</v>
      </c>
      <c r="AF57" t="s">
        <v>5887</v>
      </c>
      <c r="AG57">
        <v>1</v>
      </c>
      <c r="AH57" t="s">
        <v>3902</v>
      </c>
    </row>
    <row r="58" spans="1:34" x14ac:dyDescent="0.25">
      <c r="A58" t="str">
        <f>"20200124199017016795"</f>
        <v>20200124199017016795</v>
      </c>
      <c r="B58">
        <v>1</v>
      </c>
      <c r="C58">
        <v>2</v>
      </c>
      <c r="D58" t="s">
        <v>5776</v>
      </c>
      <c r="E58" t="s">
        <v>1627</v>
      </c>
      <c r="F58" t="s">
        <v>56</v>
      </c>
      <c r="G58" t="s">
        <v>56</v>
      </c>
      <c r="H58" t="s">
        <v>66</v>
      </c>
      <c r="I58" t="s">
        <v>66</v>
      </c>
      <c r="J58" t="s">
        <v>56</v>
      </c>
      <c r="K58" t="s">
        <v>56</v>
      </c>
      <c r="L58" t="s">
        <v>1627</v>
      </c>
      <c r="M58" t="s">
        <v>56</v>
      </c>
      <c r="N58" t="s">
        <v>56</v>
      </c>
      <c r="O58" t="s">
        <v>1627</v>
      </c>
      <c r="P58" t="s">
        <v>3887</v>
      </c>
      <c r="Q58" t="s">
        <v>66</v>
      </c>
      <c r="R58" t="s">
        <v>56</v>
      </c>
      <c r="S58" t="s">
        <v>56</v>
      </c>
      <c r="T58" t="s">
        <v>56</v>
      </c>
      <c r="U58">
        <v>991202</v>
      </c>
      <c r="V58" t="s">
        <v>5888</v>
      </c>
      <c r="W58">
        <v>1</v>
      </c>
      <c r="X58">
        <v>30</v>
      </c>
      <c r="Y58">
        <v>3</v>
      </c>
      <c r="Z58" t="s">
        <v>3911</v>
      </c>
      <c r="AA58">
        <v>4</v>
      </c>
      <c r="AB58">
        <v>4</v>
      </c>
      <c r="AC58">
        <v>5</v>
      </c>
      <c r="AD58" t="s">
        <v>3899</v>
      </c>
      <c r="AE58" t="s">
        <v>5889</v>
      </c>
      <c r="AF58" t="s">
        <v>5890</v>
      </c>
      <c r="AG58">
        <v>1</v>
      </c>
      <c r="AH58" t="s">
        <v>3902</v>
      </c>
    </row>
    <row r="59" spans="1:34" x14ac:dyDescent="0.25">
      <c r="A59" t="str">
        <f>"20200124130017018406"</f>
        <v>20200124130017018406</v>
      </c>
      <c r="B59">
        <v>1</v>
      </c>
      <c r="C59">
        <v>2</v>
      </c>
      <c r="D59" t="s">
        <v>5776</v>
      </c>
      <c r="E59" t="s">
        <v>1627</v>
      </c>
      <c r="F59" t="s">
        <v>56</v>
      </c>
      <c r="G59" t="s">
        <v>56</v>
      </c>
      <c r="H59" t="s">
        <v>66</v>
      </c>
      <c r="I59" t="s">
        <v>66</v>
      </c>
      <c r="J59" t="s">
        <v>56</v>
      </c>
      <c r="K59" t="s">
        <v>56</v>
      </c>
      <c r="L59" t="s">
        <v>1627</v>
      </c>
      <c r="M59" t="s">
        <v>56</v>
      </c>
      <c r="N59" t="s">
        <v>56</v>
      </c>
      <c r="O59" t="s">
        <v>1627</v>
      </c>
      <c r="P59" t="s">
        <v>3887</v>
      </c>
      <c r="Q59" t="s">
        <v>66</v>
      </c>
      <c r="R59" t="s">
        <v>56</v>
      </c>
      <c r="S59" t="s">
        <v>56</v>
      </c>
      <c r="T59" t="s">
        <v>56</v>
      </c>
      <c r="U59">
        <v>991202</v>
      </c>
      <c r="V59" t="s">
        <v>5888</v>
      </c>
      <c r="W59">
        <v>1</v>
      </c>
      <c r="X59">
        <v>30</v>
      </c>
      <c r="Y59">
        <v>3</v>
      </c>
      <c r="Z59" t="s">
        <v>3911</v>
      </c>
      <c r="AA59">
        <v>4</v>
      </c>
      <c r="AB59">
        <v>4</v>
      </c>
      <c r="AC59">
        <v>5</v>
      </c>
      <c r="AD59" t="s">
        <v>3899</v>
      </c>
      <c r="AE59" t="s">
        <v>5891</v>
      </c>
      <c r="AF59" t="s">
        <v>5890</v>
      </c>
      <c r="AG59">
        <v>1</v>
      </c>
      <c r="AH59" t="s">
        <v>3902</v>
      </c>
    </row>
    <row r="60" spans="1:34" x14ac:dyDescent="0.25">
      <c r="A60" t="str">
        <f>"20200131166017161104"</f>
        <v>20200131166017161104</v>
      </c>
      <c r="B60">
        <v>1</v>
      </c>
      <c r="C60">
        <v>2</v>
      </c>
      <c r="D60" t="s">
        <v>5776</v>
      </c>
      <c r="E60" t="s">
        <v>1627</v>
      </c>
      <c r="F60" t="s">
        <v>56</v>
      </c>
      <c r="G60" t="s">
        <v>56</v>
      </c>
      <c r="H60" t="s">
        <v>66</v>
      </c>
      <c r="I60" t="s">
        <v>66</v>
      </c>
      <c r="J60" t="s">
        <v>56</v>
      </c>
      <c r="K60" t="s">
        <v>56</v>
      </c>
      <c r="L60" t="s">
        <v>1627</v>
      </c>
      <c r="M60" t="s">
        <v>56</v>
      </c>
      <c r="N60" t="s">
        <v>56</v>
      </c>
      <c r="O60" t="s">
        <v>1627</v>
      </c>
      <c r="P60" t="s">
        <v>3887</v>
      </c>
      <c r="Q60" t="s">
        <v>66</v>
      </c>
      <c r="R60" t="s">
        <v>56</v>
      </c>
      <c r="S60" t="s">
        <v>56</v>
      </c>
      <c r="T60" t="s">
        <v>56</v>
      </c>
      <c r="U60">
        <v>991202</v>
      </c>
      <c r="V60" t="s">
        <v>5888</v>
      </c>
      <c r="W60">
        <v>1</v>
      </c>
      <c r="X60">
        <v>30</v>
      </c>
      <c r="Y60">
        <v>3</v>
      </c>
      <c r="Z60" t="s">
        <v>3911</v>
      </c>
      <c r="AA60">
        <v>6</v>
      </c>
      <c r="AB60">
        <v>6</v>
      </c>
      <c r="AC60">
        <v>5</v>
      </c>
      <c r="AD60" t="s">
        <v>3899</v>
      </c>
      <c r="AE60" t="s">
        <v>5892</v>
      </c>
      <c r="AF60" t="s">
        <v>5890</v>
      </c>
      <c r="AG60">
        <v>1</v>
      </c>
      <c r="AH60" t="s">
        <v>3902</v>
      </c>
    </row>
    <row r="61" spans="1:34" x14ac:dyDescent="0.25">
      <c r="A61" t="str">
        <f>"20200131171017166567"</f>
        <v>20200131171017166567</v>
      </c>
      <c r="B61">
        <v>1</v>
      </c>
      <c r="C61">
        <v>2</v>
      </c>
      <c r="D61" t="s">
        <v>5776</v>
      </c>
      <c r="E61" t="s">
        <v>1627</v>
      </c>
      <c r="F61" t="s">
        <v>56</v>
      </c>
      <c r="G61" t="s">
        <v>56</v>
      </c>
      <c r="H61" t="s">
        <v>66</v>
      </c>
      <c r="I61" t="s">
        <v>66</v>
      </c>
      <c r="J61" t="s">
        <v>56</v>
      </c>
      <c r="K61" t="s">
        <v>56</v>
      </c>
      <c r="L61" t="s">
        <v>1627</v>
      </c>
      <c r="M61" t="s">
        <v>56</v>
      </c>
      <c r="N61" t="s">
        <v>56</v>
      </c>
      <c r="O61" t="s">
        <v>1627</v>
      </c>
      <c r="P61" t="s">
        <v>3887</v>
      </c>
      <c r="Q61" t="s">
        <v>66</v>
      </c>
      <c r="R61" t="s">
        <v>56</v>
      </c>
      <c r="S61" t="s">
        <v>56</v>
      </c>
      <c r="T61" t="s">
        <v>56</v>
      </c>
      <c r="U61">
        <v>991202</v>
      </c>
      <c r="V61" t="s">
        <v>5888</v>
      </c>
      <c r="W61">
        <v>1</v>
      </c>
      <c r="X61">
        <v>30</v>
      </c>
      <c r="Y61">
        <v>3</v>
      </c>
      <c r="Z61" t="s">
        <v>3911</v>
      </c>
      <c r="AA61">
        <v>6</v>
      </c>
      <c r="AB61">
        <v>6</v>
      </c>
      <c r="AC61">
        <v>5</v>
      </c>
      <c r="AD61" t="s">
        <v>3899</v>
      </c>
      <c r="AE61" t="s">
        <v>5893</v>
      </c>
      <c r="AF61" t="s">
        <v>5890</v>
      </c>
      <c r="AG61">
        <v>1</v>
      </c>
      <c r="AH61" t="s">
        <v>3902</v>
      </c>
    </row>
    <row r="62" spans="1:34" x14ac:dyDescent="0.25">
      <c r="A62" t="str">
        <f>"20200131118017175335"</f>
        <v>20200131118017175335</v>
      </c>
      <c r="B62">
        <v>1</v>
      </c>
      <c r="C62">
        <v>2</v>
      </c>
      <c r="D62" t="s">
        <v>5776</v>
      </c>
      <c r="E62" t="s">
        <v>1627</v>
      </c>
      <c r="F62" t="s">
        <v>56</v>
      </c>
      <c r="G62" t="s">
        <v>56</v>
      </c>
      <c r="H62" t="s">
        <v>66</v>
      </c>
      <c r="I62" t="s">
        <v>66</v>
      </c>
      <c r="J62" t="s">
        <v>56</v>
      </c>
      <c r="K62" t="s">
        <v>56</v>
      </c>
      <c r="L62" t="s">
        <v>1627</v>
      </c>
      <c r="M62" t="s">
        <v>56</v>
      </c>
      <c r="N62" t="s">
        <v>56</v>
      </c>
      <c r="O62" t="s">
        <v>1627</v>
      </c>
      <c r="P62" t="s">
        <v>3887</v>
      </c>
      <c r="Q62" t="s">
        <v>66</v>
      </c>
      <c r="R62" t="s">
        <v>56</v>
      </c>
      <c r="S62" t="s">
        <v>56</v>
      </c>
      <c r="T62" t="s">
        <v>56</v>
      </c>
      <c r="U62">
        <v>991202</v>
      </c>
      <c r="V62" t="s">
        <v>5888</v>
      </c>
      <c r="W62">
        <v>1</v>
      </c>
      <c r="X62">
        <v>30</v>
      </c>
      <c r="Y62">
        <v>3</v>
      </c>
      <c r="Z62" t="s">
        <v>3911</v>
      </c>
      <c r="AA62">
        <v>6</v>
      </c>
      <c r="AB62">
        <v>6</v>
      </c>
      <c r="AC62">
        <v>5</v>
      </c>
      <c r="AD62" t="s">
        <v>3899</v>
      </c>
      <c r="AE62" t="s">
        <v>5894</v>
      </c>
      <c r="AF62" t="s">
        <v>5890</v>
      </c>
      <c r="AG62">
        <v>1</v>
      </c>
      <c r="AH62" t="s">
        <v>3902</v>
      </c>
    </row>
    <row r="63" spans="1:34" x14ac:dyDescent="0.25">
      <c r="A63" t="str">
        <f>"20200129177017107870"</f>
        <v>20200129177017107870</v>
      </c>
      <c r="B63">
        <v>1</v>
      </c>
      <c r="C63">
        <v>2</v>
      </c>
      <c r="D63" t="s">
        <v>5776</v>
      </c>
      <c r="E63" t="s">
        <v>1627</v>
      </c>
      <c r="F63" t="s">
        <v>56</v>
      </c>
      <c r="G63" t="s">
        <v>56</v>
      </c>
      <c r="H63" t="s">
        <v>66</v>
      </c>
      <c r="I63" t="s">
        <v>66</v>
      </c>
      <c r="J63" t="s">
        <v>56</v>
      </c>
      <c r="K63" t="s">
        <v>56</v>
      </c>
      <c r="L63" t="s">
        <v>1627</v>
      </c>
      <c r="M63" t="s">
        <v>56</v>
      </c>
      <c r="N63" t="s">
        <v>56</v>
      </c>
      <c r="O63" t="s">
        <v>1627</v>
      </c>
      <c r="P63" t="s">
        <v>3887</v>
      </c>
      <c r="Q63" t="s">
        <v>66</v>
      </c>
      <c r="R63" t="s">
        <v>56</v>
      </c>
      <c r="S63" t="s">
        <v>56</v>
      </c>
      <c r="T63" t="s">
        <v>56</v>
      </c>
      <c r="U63">
        <v>991202</v>
      </c>
      <c r="V63" t="s">
        <v>5888</v>
      </c>
      <c r="W63">
        <v>1</v>
      </c>
      <c r="X63">
        <v>30</v>
      </c>
      <c r="Y63">
        <v>3</v>
      </c>
      <c r="Z63" t="s">
        <v>3911</v>
      </c>
      <c r="AA63">
        <v>5</v>
      </c>
      <c r="AB63">
        <v>5</v>
      </c>
      <c r="AC63">
        <v>5</v>
      </c>
      <c r="AD63" t="s">
        <v>3899</v>
      </c>
      <c r="AE63" t="s">
        <v>5895</v>
      </c>
      <c r="AF63" t="s">
        <v>5890</v>
      </c>
      <c r="AG63">
        <v>1</v>
      </c>
      <c r="AH63" t="s">
        <v>3902</v>
      </c>
    </row>
    <row r="64" spans="1:34" x14ac:dyDescent="0.25">
      <c r="A64" t="str">
        <f>"20200129177017109769"</f>
        <v>20200129177017109769</v>
      </c>
      <c r="B64">
        <v>1</v>
      </c>
      <c r="C64">
        <v>2</v>
      </c>
      <c r="D64" t="s">
        <v>5776</v>
      </c>
      <c r="E64" t="s">
        <v>1627</v>
      </c>
      <c r="F64" t="s">
        <v>56</v>
      </c>
      <c r="G64" t="s">
        <v>56</v>
      </c>
      <c r="H64" t="s">
        <v>66</v>
      </c>
      <c r="I64" t="s">
        <v>66</v>
      </c>
      <c r="J64" t="s">
        <v>56</v>
      </c>
      <c r="K64" t="s">
        <v>56</v>
      </c>
      <c r="L64" t="s">
        <v>1627</v>
      </c>
      <c r="M64" t="s">
        <v>56</v>
      </c>
      <c r="N64" t="s">
        <v>56</v>
      </c>
      <c r="O64" t="s">
        <v>1627</v>
      </c>
      <c r="P64" t="s">
        <v>3887</v>
      </c>
      <c r="Q64" t="s">
        <v>66</v>
      </c>
      <c r="R64" t="s">
        <v>56</v>
      </c>
      <c r="S64" t="s">
        <v>56</v>
      </c>
      <c r="T64" t="s">
        <v>56</v>
      </c>
      <c r="U64">
        <v>991202</v>
      </c>
      <c r="V64" t="s">
        <v>5888</v>
      </c>
      <c r="W64">
        <v>1</v>
      </c>
      <c r="X64">
        <v>30</v>
      </c>
      <c r="Y64">
        <v>3</v>
      </c>
      <c r="Z64" t="s">
        <v>3911</v>
      </c>
      <c r="AA64">
        <v>6</v>
      </c>
      <c r="AB64">
        <v>6</v>
      </c>
      <c r="AC64">
        <v>5</v>
      </c>
      <c r="AD64" t="s">
        <v>3899</v>
      </c>
      <c r="AE64" t="s">
        <v>5614</v>
      </c>
      <c r="AF64" t="s">
        <v>5890</v>
      </c>
      <c r="AG64">
        <v>1</v>
      </c>
      <c r="AH64" t="s">
        <v>3902</v>
      </c>
    </row>
    <row r="65" spans="1:34" x14ac:dyDescent="0.25">
      <c r="A65" t="str">
        <f>"20200127139017051710"</f>
        <v>20200127139017051710</v>
      </c>
      <c r="B65">
        <v>1</v>
      </c>
      <c r="C65">
        <v>2</v>
      </c>
      <c r="D65" t="s">
        <v>5776</v>
      </c>
      <c r="E65" t="s">
        <v>1627</v>
      </c>
      <c r="F65" t="s">
        <v>56</v>
      </c>
      <c r="G65" t="s">
        <v>56</v>
      </c>
      <c r="H65" t="s">
        <v>66</v>
      </c>
      <c r="I65" t="s">
        <v>66</v>
      </c>
      <c r="J65" t="s">
        <v>56</v>
      </c>
      <c r="K65" t="s">
        <v>56</v>
      </c>
      <c r="L65" t="s">
        <v>1627</v>
      </c>
      <c r="M65" t="s">
        <v>56</v>
      </c>
      <c r="N65" t="s">
        <v>56</v>
      </c>
      <c r="O65" t="s">
        <v>1627</v>
      </c>
      <c r="P65" t="s">
        <v>3887</v>
      </c>
      <c r="Q65" t="s">
        <v>66</v>
      </c>
      <c r="R65" t="s">
        <v>56</v>
      </c>
      <c r="S65" t="s">
        <v>56</v>
      </c>
      <c r="T65" t="s">
        <v>56</v>
      </c>
      <c r="U65">
        <v>991202</v>
      </c>
      <c r="V65" t="s">
        <v>5888</v>
      </c>
      <c r="W65">
        <v>1</v>
      </c>
      <c r="X65">
        <v>30</v>
      </c>
      <c r="Y65">
        <v>3</v>
      </c>
      <c r="Z65" t="s">
        <v>3911</v>
      </c>
      <c r="AA65">
        <v>6</v>
      </c>
      <c r="AB65">
        <v>6</v>
      </c>
      <c r="AC65">
        <v>5</v>
      </c>
      <c r="AD65" t="s">
        <v>3899</v>
      </c>
      <c r="AE65" t="s">
        <v>5896</v>
      </c>
      <c r="AF65" t="s">
        <v>5890</v>
      </c>
      <c r="AG65">
        <v>1</v>
      </c>
      <c r="AH65" t="s">
        <v>3902</v>
      </c>
    </row>
    <row r="66" spans="1:34" x14ac:dyDescent="0.25">
      <c r="A66" t="str">
        <f>"20200128196017074244"</f>
        <v>20200128196017074244</v>
      </c>
      <c r="B66">
        <v>1</v>
      </c>
      <c r="C66">
        <v>2</v>
      </c>
      <c r="D66" t="s">
        <v>5776</v>
      </c>
      <c r="E66" t="s">
        <v>1627</v>
      </c>
      <c r="F66" t="s">
        <v>56</v>
      </c>
      <c r="G66" t="s">
        <v>56</v>
      </c>
      <c r="H66" t="s">
        <v>66</v>
      </c>
      <c r="I66" t="s">
        <v>66</v>
      </c>
      <c r="J66" t="s">
        <v>56</v>
      </c>
      <c r="K66" t="s">
        <v>56</v>
      </c>
      <c r="L66" t="s">
        <v>1627</v>
      </c>
      <c r="M66" t="s">
        <v>56</v>
      </c>
      <c r="N66" t="s">
        <v>56</v>
      </c>
      <c r="O66" t="s">
        <v>1627</v>
      </c>
      <c r="P66" t="s">
        <v>3887</v>
      </c>
      <c r="Q66" t="s">
        <v>66</v>
      </c>
      <c r="R66" t="s">
        <v>56</v>
      </c>
      <c r="S66" t="s">
        <v>56</v>
      </c>
      <c r="T66" t="s">
        <v>56</v>
      </c>
      <c r="U66">
        <v>991202</v>
      </c>
      <c r="V66" t="s">
        <v>5888</v>
      </c>
      <c r="W66">
        <v>3</v>
      </c>
      <c r="X66">
        <v>1</v>
      </c>
      <c r="Y66">
        <v>5</v>
      </c>
      <c r="Z66" t="s">
        <v>3899</v>
      </c>
      <c r="AA66">
        <v>3</v>
      </c>
      <c r="AB66">
        <v>3</v>
      </c>
      <c r="AC66">
        <v>5</v>
      </c>
      <c r="AD66" t="s">
        <v>3899</v>
      </c>
      <c r="AE66" t="s">
        <v>5897</v>
      </c>
      <c r="AF66" t="s">
        <v>5898</v>
      </c>
      <c r="AG66">
        <v>1</v>
      </c>
      <c r="AH66" t="s">
        <v>3902</v>
      </c>
    </row>
    <row r="67" spans="1:34" x14ac:dyDescent="0.25">
      <c r="A67" t="str">
        <f>"20200128135017082310"</f>
        <v>20200128135017082310</v>
      </c>
      <c r="B67">
        <v>1</v>
      </c>
      <c r="C67">
        <v>2</v>
      </c>
      <c r="D67" t="s">
        <v>5776</v>
      </c>
      <c r="E67" t="s">
        <v>1627</v>
      </c>
      <c r="F67" t="s">
        <v>56</v>
      </c>
      <c r="G67" t="s">
        <v>56</v>
      </c>
      <c r="H67" t="s">
        <v>66</v>
      </c>
      <c r="I67" t="s">
        <v>66</v>
      </c>
      <c r="J67" t="s">
        <v>56</v>
      </c>
      <c r="K67" t="s">
        <v>56</v>
      </c>
      <c r="L67" t="s">
        <v>1627</v>
      </c>
      <c r="M67">
        <v>860203</v>
      </c>
      <c r="N67" t="s">
        <v>5899</v>
      </c>
      <c r="O67" t="s">
        <v>1627</v>
      </c>
      <c r="P67" t="s">
        <v>3887</v>
      </c>
      <c r="Q67" t="s">
        <v>66</v>
      </c>
      <c r="R67" t="s">
        <v>56</v>
      </c>
      <c r="S67" t="s">
        <v>56</v>
      </c>
      <c r="T67" t="s">
        <v>56</v>
      </c>
      <c r="U67">
        <v>991202</v>
      </c>
      <c r="V67" t="s">
        <v>5888</v>
      </c>
      <c r="W67">
        <v>1</v>
      </c>
      <c r="X67">
        <v>30</v>
      </c>
      <c r="Y67">
        <v>3</v>
      </c>
      <c r="Z67" t="s">
        <v>3911</v>
      </c>
      <c r="AA67">
        <v>6</v>
      </c>
      <c r="AB67">
        <v>6</v>
      </c>
      <c r="AC67">
        <v>5</v>
      </c>
      <c r="AD67" t="s">
        <v>3899</v>
      </c>
      <c r="AE67" t="s">
        <v>5900</v>
      </c>
      <c r="AF67" t="s">
        <v>5901</v>
      </c>
      <c r="AG67">
        <v>1</v>
      </c>
      <c r="AH67" t="s">
        <v>3902</v>
      </c>
    </row>
    <row r="68" spans="1:34" x14ac:dyDescent="0.25">
      <c r="A68" t="str">
        <f>"20200130163017137542"</f>
        <v>20200130163017137542</v>
      </c>
      <c r="B68">
        <v>1</v>
      </c>
      <c r="C68">
        <v>2</v>
      </c>
      <c r="D68" t="s">
        <v>5776</v>
      </c>
      <c r="E68" t="s">
        <v>1627</v>
      </c>
      <c r="F68" t="s">
        <v>56</v>
      </c>
      <c r="G68" t="s">
        <v>56</v>
      </c>
      <c r="H68" t="s">
        <v>66</v>
      </c>
      <c r="I68" t="s">
        <v>66</v>
      </c>
      <c r="J68" t="s">
        <v>56</v>
      </c>
      <c r="K68" t="s">
        <v>56</v>
      </c>
      <c r="L68" t="s">
        <v>1627</v>
      </c>
      <c r="M68" t="s">
        <v>56</v>
      </c>
      <c r="N68" t="s">
        <v>56</v>
      </c>
      <c r="O68" t="s">
        <v>1627</v>
      </c>
      <c r="P68" t="s">
        <v>3887</v>
      </c>
      <c r="Q68" t="s">
        <v>66</v>
      </c>
      <c r="R68" t="s">
        <v>56</v>
      </c>
      <c r="S68" t="s">
        <v>56</v>
      </c>
      <c r="T68" t="s">
        <v>56</v>
      </c>
      <c r="U68">
        <v>991202</v>
      </c>
      <c r="V68" t="s">
        <v>5888</v>
      </c>
      <c r="W68">
        <v>1</v>
      </c>
      <c r="X68">
        <v>30</v>
      </c>
      <c r="Y68">
        <v>3</v>
      </c>
      <c r="Z68" t="s">
        <v>3911</v>
      </c>
      <c r="AA68">
        <v>3</v>
      </c>
      <c r="AB68">
        <v>3</v>
      </c>
      <c r="AC68">
        <v>5</v>
      </c>
      <c r="AD68" t="s">
        <v>3899</v>
      </c>
      <c r="AE68" t="s">
        <v>5902</v>
      </c>
      <c r="AF68" t="s">
        <v>5890</v>
      </c>
      <c r="AG68">
        <v>1</v>
      </c>
      <c r="AH68" t="s">
        <v>3902</v>
      </c>
    </row>
    <row r="69" spans="1:34" x14ac:dyDescent="0.25">
      <c r="A69" t="str">
        <f>"20200127117017067646"</f>
        <v>20200127117017067646</v>
      </c>
      <c r="B69">
        <v>1</v>
      </c>
      <c r="C69">
        <v>1</v>
      </c>
      <c r="D69" t="s">
        <v>5751</v>
      </c>
      <c r="E69" t="s">
        <v>66</v>
      </c>
      <c r="F69" t="s">
        <v>1627</v>
      </c>
      <c r="G69" t="s">
        <v>56</v>
      </c>
      <c r="H69" t="s">
        <v>66</v>
      </c>
      <c r="I69" t="s">
        <v>1627</v>
      </c>
      <c r="J69">
        <v>902207</v>
      </c>
      <c r="K69" t="s">
        <v>5903</v>
      </c>
      <c r="L69" t="s">
        <v>56</v>
      </c>
      <c r="M69" t="s">
        <v>56</v>
      </c>
      <c r="N69" t="s">
        <v>56</v>
      </c>
      <c r="O69" t="s">
        <v>66</v>
      </c>
      <c r="P69" t="s">
        <v>56</v>
      </c>
      <c r="Q69" t="s">
        <v>66</v>
      </c>
      <c r="R69" t="s">
        <v>56</v>
      </c>
      <c r="S69" t="s">
        <v>56</v>
      </c>
      <c r="T69" t="s">
        <v>56</v>
      </c>
      <c r="U69">
        <v>908357</v>
      </c>
      <c r="V69" t="s">
        <v>56</v>
      </c>
      <c r="W69">
        <v>1</v>
      </c>
      <c r="X69">
        <v>1</v>
      </c>
      <c r="Y69">
        <v>8</v>
      </c>
      <c r="Z69" t="s">
        <v>5751</v>
      </c>
      <c r="AA69" t="s">
        <v>56</v>
      </c>
      <c r="AB69">
        <v>1</v>
      </c>
      <c r="AC69" t="s">
        <v>56</v>
      </c>
      <c r="AD69" t="s">
        <v>56</v>
      </c>
      <c r="AE69" t="s">
        <v>5904</v>
      </c>
      <c r="AF69" t="s">
        <v>5905</v>
      </c>
      <c r="AG69">
        <v>1</v>
      </c>
      <c r="AH69" t="s">
        <v>3902</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23"/>
  <sheetViews>
    <sheetView tabSelected="1" workbookViewId="0">
      <selection activeCell="G7" sqref="G7"/>
    </sheetView>
  </sheetViews>
  <sheetFormatPr baseColWidth="10" defaultColWidth="9.140625" defaultRowHeight="15" x14ac:dyDescent="0.25"/>
  <cols>
    <col min="1" max="1" width="24.7109375" bestFit="1" customWidth="1"/>
    <col min="2" max="2" width="10.5703125" bestFit="1" customWidth="1"/>
    <col min="3" max="3" width="11.7109375" bestFit="1" customWidth="1"/>
    <col min="4" max="4" width="17.5703125" bestFit="1" customWidth="1"/>
    <col min="5" max="5" width="11.7109375" bestFit="1" customWidth="1"/>
    <col min="6" max="6" width="9.28515625" bestFit="1" customWidth="1"/>
    <col min="7" max="8" width="11.7109375" bestFit="1" customWidth="1"/>
    <col min="9" max="9" width="18.7109375" bestFit="1" customWidth="1"/>
    <col min="10" max="10" width="14" bestFit="1" customWidth="1"/>
    <col min="11" max="11" width="11.7109375" bestFit="1" customWidth="1"/>
    <col min="12" max="12" width="14" bestFit="1" customWidth="1"/>
    <col min="13" max="16" width="11.7109375" bestFit="1" customWidth="1"/>
    <col min="17" max="17" width="30.5703125" bestFit="1" customWidth="1"/>
    <col min="18" max="18" width="11.7109375" bestFit="1" customWidth="1"/>
    <col min="19" max="19" width="30.5703125" bestFit="1" customWidth="1"/>
    <col min="20" max="20" width="11.7109375" bestFit="1" customWidth="1"/>
    <col min="21" max="21" width="30.5703125" bestFit="1" customWidth="1"/>
    <col min="22" max="22" width="11.7109375" bestFit="1" customWidth="1"/>
    <col min="23" max="23" width="30.5703125" bestFit="1" customWidth="1"/>
    <col min="24" max="24" width="11.7109375" bestFit="1" customWidth="1"/>
    <col min="25" max="25" width="27" bestFit="1" customWidth="1"/>
    <col min="26" max="26" width="12.85546875" bestFit="1" customWidth="1"/>
    <col min="27" max="27" width="125" bestFit="1" customWidth="1"/>
    <col min="28" max="28" width="15.28515625" bestFit="1" customWidth="1"/>
    <col min="29" max="29" width="27" bestFit="1" customWidth="1"/>
    <col min="30" max="30" width="10.5703125" bestFit="1" customWidth="1"/>
    <col min="31" max="31" width="16.42578125" bestFit="1" customWidth="1"/>
    <col min="32" max="32" width="14" bestFit="1" customWidth="1"/>
    <col min="33" max="33" width="20" bestFit="1" customWidth="1"/>
    <col min="34" max="34" width="598" bestFit="1" customWidth="1"/>
    <col min="35" max="35" width="7" bestFit="1" customWidth="1"/>
    <col min="36" max="36" width="9.28515625" bestFit="1" customWidth="1"/>
    <col min="37" max="37" width="15.28515625" bestFit="1" customWidth="1"/>
    <col min="38" max="38" width="16.42578125" bestFit="1" customWidth="1"/>
    <col min="39" max="39" width="10.5703125" bestFit="1" customWidth="1"/>
    <col min="40" max="40" width="14" bestFit="1" customWidth="1"/>
    <col min="41" max="41" width="20" bestFit="1" customWidth="1"/>
    <col min="42" max="42" width="8.140625" bestFit="1" customWidth="1"/>
    <col min="43" max="44" width="9.28515625" bestFit="1" customWidth="1"/>
    <col min="45" max="45" width="15.28515625" bestFit="1" customWidth="1"/>
    <col min="46" max="46" width="12.85546875" bestFit="1" customWidth="1"/>
    <col min="47" max="47" width="14" bestFit="1" customWidth="1"/>
    <col min="48" max="48" width="20" bestFit="1" customWidth="1"/>
    <col min="49" max="49" width="193.42578125" bestFit="1" customWidth="1"/>
    <col min="50" max="50" width="12.85546875" bestFit="1" customWidth="1"/>
    <col min="51" max="51" width="7" bestFit="1" customWidth="1"/>
    <col min="52" max="52" width="64.85546875" bestFit="1" customWidth="1"/>
  </cols>
  <sheetData>
    <row r="1" spans="1:52" ht="75" x14ac:dyDescent="0.25">
      <c r="B1" s="2" t="s">
        <v>6567</v>
      </c>
    </row>
    <row r="2" spans="1:52" x14ac:dyDescent="0.25">
      <c r="B2" s="3" t="s">
        <v>6569</v>
      </c>
    </row>
    <row r="3" spans="1:52" x14ac:dyDescent="0.25">
      <c r="A3" t="s">
        <v>0</v>
      </c>
      <c r="B3" t="s">
        <v>3825</v>
      </c>
      <c r="C3" t="s">
        <v>3828</v>
      </c>
      <c r="D3" t="s">
        <v>5729</v>
      </c>
      <c r="E3" t="s">
        <v>3829</v>
      </c>
      <c r="F3" t="s">
        <v>3831</v>
      </c>
      <c r="G3" t="s">
        <v>3833</v>
      </c>
      <c r="H3" t="s">
        <v>3842</v>
      </c>
      <c r="I3" t="s">
        <v>5906</v>
      </c>
      <c r="J3" t="s">
        <v>3845</v>
      </c>
      <c r="K3" t="s">
        <v>3847</v>
      </c>
      <c r="L3" t="s">
        <v>3848</v>
      </c>
      <c r="M3" t="s">
        <v>3850</v>
      </c>
      <c r="N3" t="s">
        <v>3857</v>
      </c>
      <c r="O3" t="s">
        <v>5907</v>
      </c>
      <c r="P3" t="s">
        <v>5908</v>
      </c>
      <c r="Q3" t="s">
        <v>5909</v>
      </c>
      <c r="R3" t="s">
        <v>5910</v>
      </c>
      <c r="S3" t="s">
        <v>5911</v>
      </c>
      <c r="T3" t="s">
        <v>5912</v>
      </c>
      <c r="U3" t="s">
        <v>5913</v>
      </c>
      <c r="V3" t="s">
        <v>5914</v>
      </c>
      <c r="W3" t="s">
        <v>5915</v>
      </c>
      <c r="X3" t="s">
        <v>5916</v>
      </c>
      <c r="Y3" t="s">
        <v>5917</v>
      </c>
      <c r="Z3" t="s">
        <v>5918</v>
      </c>
      <c r="AA3" t="s">
        <v>5919</v>
      </c>
      <c r="AB3" t="s">
        <v>5920</v>
      </c>
      <c r="AC3" t="s">
        <v>5921</v>
      </c>
      <c r="AD3" t="s">
        <v>5922</v>
      </c>
      <c r="AE3" t="s">
        <v>5923</v>
      </c>
      <c r="AF3" t="s">
        <v>5924</v>
      </c>
      <c r="AG3" t="s">
        <v>5925</v>
      </c>
      <c r="AH3" t="s">
        <v>3868</v>
      </c>
      <c r="AI3" t="s">
        <v>5926</v>
      </c>
      <c r="AJ3" t="s">
        <v>3869</v>
      </c>
      <c r="AK3" t="s">
        <v>3870</v>
      </c>
      <c r="AL3" t="s">
        <v>3871</v>
      </c>
      <c r="AM3" t="s">
        <v>3872</v>
      </c>
      <c r="AN3" t="s">
        <v>3873</v>
      </c>
      <c r="AO3" t="s">
        <v>3874</v>
      </c>
      <c r="AP3" t="s">
        <v>3875</v>
      </c>
      <c r="AQ3" t="s">
        <v>3877</v>
      </c>
      <c r="AR3" t="s">
        <v>3878</v>
      </c>
      <c r="AS3" t="s">
        <v>3879</v>
      </c>
      <c r="AT3" t="s">
        <v>3880</v>
      </c>
      <c r="AU3" t="s">
        <v>3881</v>
      </c>
      <c r="AV3" t="s">
        <v>3882</v>
      </c>
      <c r="AW3" t="s">
        <v>3883</v>
      </c>
      <c r="AX3" t="s">
        <v>5927</v>
      </c>
      <c r="AY3" t="s">
        <v>3884</v>
      </c>
      <c r="AZ3" t="s">
        <v>3885</v>
      </c>
    </row>
    <row r="4" spans="1:52" x14ac:dyDescent="0.25">
      <c r="A4" t="str">
        <f>"20200124173016997547"</f>
        <v>20200124173016997547</v>
      </c>
      <c r="B4">
        <v>1</v>
      </c>
      <c r="C4">
        <v>2</v>
      </c>
      <c r="D4" t="s">
        <v>5776</v>
      </c>
      <c r="E4" t="s">
        <v>56</v>
      </c>
      <c r="F4" t="s">
        <v>1627</v>
      </c>
      <c r="G4" t="s">
        <v>56</v>
      </c>
      <c r="H4" t="s">
        <v>56</v>
      </c>
      <c r="I4" t="s">
        <v>56</v>
      </c>
      <c r="J4" t="s">
        <v>56</v>
      </c>
      <c r="K4" t="s">
        <v>56</v>
      </c>
      <c r="L4" t="s">
        <v>56</v>
      </c>
      <c r="M4" t="s">
        <v>56</v>
      </c>
      <c r="N4" t="s">
        <v>56</v>
      </c>
      <c r="O4" t="s">
        <v>56</v>
      </c>
      <c r="P4" t="s">
        <v>56</v>
      </c>
      <c r="Q4" t="s">
        <v>5928</v>
      </c>
      <c r="R4" t="s">
        <v>56</v>
      </c>
      <c r="S4" t="s">
        <v>5928</v>
      </c>
      <c r="T4" t="s">
        <v>56</v>
      </c>
      <c r="U4" t="s">
        <v>5928</v>
      </c>
      <c r="V4" t="s">
        <v>56</v>
      </c>
      <c r="W4" t="s">
        <v>5928</v>
      </c>
      <c r="X4" t="s">
        <v>56</v>
      </c>
      <c r="Y4" t="s">
        <v>5928</v>
      </c>
      <c r="Z4">
        <v>1504</v>
      </c>
      <c r="AA4" t="s">
        <v>5929</v>
      </c>
      <c r="AB4">
        <v>150414</v>
      </c>
      <c r="AC4" t="s">
        <v>5930</v>
      </c>
      <c r="AD4">
        <v>5</v>
      </c>
      <c r="AE4" t="s">
        <v>5931</v>
      </c>
      <c r="AF4">
        <v>1</v>
      </c>
      <c r="AG4" t="s">
        <v>5932</v>
      </c>
      <c r="AH4" t="s">
        <v>5933</v>
      </c>
      <c r="AI4">
        <v>237</v>
      </c>
      <c r="AJ4" t="s">
        <v>4213</v>
      </c>
      <c r="AK4" t="s">
        <v>4214</v>
      </c>
      <c r="AL4" t="s">
        <v>4215</v>
      </c>
      <c r="AM4">
        <v>8</v>
      </c>
      <c r="AN4">
        <v>2</v>
      </c>
      <c r="AO4" t="s">
        <v>3897</v>
      </c>
      <c r="AP4">
        <v>10</v>
      </c>
      <c r="AQ4">
        <v>3</v>
      </c>
      <c r="AR4">
        <v>5</v>
      </c>
      <c r="AS4" t="s">
        <v>3899</v>
      </c>
      <c r="AT4">
        <v>270</v>
      </c>
      <c r="AU4">
        <v>3</v>
      </c>
      <c r="AV4" t="s">
        <v>5934</v>
      </c>
      <c r="AW4" t="s">
        <v>5935</v>
      </c>
      <c r="AX4" t="s">
        <v>56</v>
      </c>
      <c r="AY4">
        <v>2</v>
      </c>
      <c r="AZ4" t="s">
        <v>4776</v>
      </c>
    </row>
    <row r="5" spans="1:52" x14ac:dyDescent="0.25">
      <c r="A5" t="str">
        <f>"20200124186016997619"</f>
        <v>20200124186016997619</v>
      </c>
      <c r="B5">
        <v>1</v>
      </c>
      <c r="C5">
        <v>2</v>
      </c>
      <c r="D5" t="s">
        <v>5776</v>
      </c>
      <c r="E5" t="s">
        <v>56</v>
      </c>
      <c r="F5" t="s">
        <v>1627</v>
      </c>
      <c r="G5" t="s">
        <v>56</v>
      </c>
      <c r="H5" t="s">
        <v>56</v>
      </c>
      <c r="I5" t="s">
        <v>56</v>
      </c>
      <c r="J5" t="s">
        <v>56</v>
      </c>
      <c r="K5" t="s">
        <v>56</v>
      </c>
      <c r="L5" t="s">
        <v>56</v>
      </c>
      <c r="M5" t="s">
        <v>56</v>
      </c>
      <c r="N5" t="s">
        <v>56</v>
      </c>
      <c r="O5" t="s">
        <v>56</v>
      </c>
      <c r="P5" t="s">
        <v>56</v>
      </c>
      <c r="Q5" t="s">
        <v>5928</v>
      </c>
      <c r="R5" t="s">
        <v>56</v>
      </c>
      <c r="S5" t="s">
        <v>5928</v>
      </c>
      <c r="T5" t="s">
        <v>56</v>
      </c>
      <c r="U5" t="s">
        <v>5928</v>
      </c>
      <c r="V5" t="s">
        <v>56</v>
      </c>
      <c r="W5" t="s">
        <v>5928</v>
      </c>
      <c r="X5" t="s">
        <v>56</v>
      </c>
      <c r="Y5" t="s">
        <v>5928</v>
      </c>
      <c r="Z5">
        <v>1102</v>
      </c>
      <c r="AA5" t="s">
        <v>5936</v>
      </c>
      <c r="AB5">
        <v>110202</v>
      </c>
      <c r="AC5" t="s">
        <v>5937</v>
      </c>
      <c r="AD5">
        <v>3</v>
      </c>
      <c r="AE5" t="s">
        <v>5934</v>
      </c>
      <c r="AF5">
        <v>1</v>
      </c>
      <c r="AG5" t="s">
        <v>5932</v>
      </c>
      <c r="AH5" t="s">
        <v>5933</v>
      </c>
      <c r="AI5">
        <v>237</v>
      </c>
      <c r="AJ5" t="s">
        <v>4213</v>
      </c>
      <c r="AK5" t="s">
        <v>4214</v>
      </c>
      <c r="AL5" t="s">
        <v>4215</v>
      </c>
      <c r="AM5">
        <v>8</v>
      </c>
      <c r="AN5">
        <v>2</v>
      </c>
      <c r="AO5" t="s">
        <v>3897</v>
      </c>
      <c r="AP5">
        <v>10</v>
      </c>
      <c r="AQ5">
        <v>3</v>
      </c>
      <c r="AR5">
        <v>5</v>
      </c>
      <c r="AS5" t="s">
        <v>3899</v>
      </c>
      <c r="AT5">
        <v>270</v>
      </c>
      <c r="AU5">
        <v>3</v>
      </c>
      <c r="AV5" t="s">
        <v>5934</v>
      </c>
      <c r="AW5" t="s">
        <v>5938</v>
      </c>
      <c r="AX5" t="s">
        <v>56</v>
      </c>
      <c r="AY5">
        <v>2</v>
      </c>
      <c r="AZ5" t="s">
        <v>4776</v>
      </c>
    </row>
    <row r="6" spans="1:52" x14ac:dyDescent="0.25">
      <c r="A6" t="str">
        <f>"20200124136016999716"</f>
        <v>20200124136016999716</v>
      </c>
      <c r="B6">
        <v>1</v>
      </c>
      <c r="C6">
        <v>1</v>
      </c>
      <c r="D6" t="s">
        <v>5751</v>
      </c>
      <c r="E6" t="s">
        <v>56</v>
      </c>
      <c r="F6" t="s">
        <v>1627</v>
      </c>
      <c r="G6" t="s">
        <v>56</v>
      </c>
      <c r="H6" t="s">
        <v>56</v>
      </c>
      <c r="I6" t="s">
        <v>56</v>
      </c>
      <c r="J6" t="s">
        <v>56</v>
      </c>
      <c r="K6" t="s">
        <v>56</v>
      </c>
      <c r="L6" t="s">
        <v>56</v>
      </c>
      <c r="M6" t="s">
        <v>56</v>
      </c>
      <c r="N6" t="s">
        <v>56</v>
      </c>
      <c r="O6" t="s">
        <v>56</v>
      </c>
      <c r="P6" t="s">
        <v>56</v>
      </c>
      <c r="Q6" t="s">
        <v>5928</v>
      </c>
      <c r="R6" t="s">
        <v>56</v>
      </c>
      <c r="S6" t="s">
        <v>5928</v>
      </c>
      <c r="T6" t="s">
        <v>56</v>
      </c>
      <c r="U6" t="s">
        <v>5928</v>
      </c>
      <c r="V6" t="s">
        <v>56</v>
      </c>
      <c r="W6" t="s">
        <v>5928</v>
      </c>
      <c r="X6" t="s">
        <v>56</v>
      </c>
      <c r="Y6" t="s">
        <v>5928</v>
      </c>
      <c r="Z6">
        <v>1102</v>
      </c>
      <c r="AA6" t="s">
        <v>5936</v>
      </c>
      <c r="AB6">
        <v>110202</v>
      </c>
      <c r="AC6" t="s">
        <v>5937</v>
      </c>
      <c r="AD6">
        <v>3</v>
      </c>
      <c r="AE6" t="s">
        <v>5934</v>
      </c>
      <c r="AF6">
        <v>1</v>
      </c>
      <c r="AG6" t="s">
        <v>5932</v>
      </c>
      <c r="AH6" t="s">
        <v>5939</v>
      </c>
      <c r="AI6">
        <v>1</v>
      </c>
      <c r="AJ6" t="s">
        <v>4026</v>
      </c>
      <c r="AK6" t="s">
        <v>4027</v>
      </c>
      <c r="AL6" t="s">
        <v>4028</v>
      </c>
      <c r="AM6">
        <v>12</v>
      </c>
      <c r="AN6">
        <v>2</v>
      </c>
      <c r="AO6" t="s">
        <v>3897</v>
      </c>
      <c r="AP6">
        <v>1</v>
      </c>
      <c r="AQ6">
        <v>3</v>
      </c>
      <c r="AR6">
        <v>5</v>
      </c>
      <c r="AS6" t="s">
        <v>3899</v>
      </c>
      <c r="AT6">
        <v>180</v>
      </c>
      <c r="AU6">
        <v>3</v>
      </c>
      <c r="AV6" t="s">
        <v>5934</v>
      </c>
      <c r="AW6" t="s">
        <v>5940</v>
      </c>
      <c r="AX6" t="s">
        <v>56</v>
      </c>
      <c r="AY6">
        <v>2</v>
      </c>
      <c r="AZ6" t="s">
        <v>4776</v>
      </c>
    </row>
    <row r="7" spans="1:52" x14ac:dyDescent="0.25">
      <c r="A7" t="str">
        <f>"20200124193017003092"</f>
        <v>20200124193017003092</v>
      </c>
      <c r="B7">
        <v>1</v>
      </c>
      <c r="C7">
        <v>2</v>
      </c>
      <c r="D7" t="s">
        <v>5776</v>
      </c>
      <c r="E7" t="s">
        <v>56</v>
      </c>
      <c r="F7" t="s">
        <v>1627</v>
      </c>
      <c r="G7" t="s">
        <v>56</v>
      </c>
      <c r="H7" t="s">
        <v>56</v>
      </c>
      <c r="I7" t="s">
        <v>56</v>
      </c>
      <c r="J7" t="s">
        <v>56</v>
      </c>
      <c r="K7" t="s">
        <v>56</v>
      </c>
      <c r="L7" t="s">
        <v>56</v>
      </c>
      <c r="M7" t="s">
        <v>56</v>
      </c>
      <c r="N7" t="s">
        <v>56</v>
      </c>
      <c r="O7" t="s">
        <v>56</v>
      </c>
      <c r="P7" t="s">
        <v>56</v>
      </c>
      <c r="Q7" t="s">
        <v>5928</v>
      </c>
      <c r="R7" t="s">
        <v>56</v>
      </c>
      <c r="S7" t="s">
        <v>5928</v>
      </c>
      <c r="T7">
        <v>1</v>
      </c>
      <c r="U7" t="s">
        <v>5941</v>
      </c>
      <c r="V7" t="s">
        <v>56</v>
      </c>
      <c r="W7" t="s">
        <v>5928</v>
      </c>
      <c r="X7" t="s">
        <v>56</v>
      </c>
      <c r="Y7" t="s">
        <v>5928</v>
      </c>
      <c r="Z7">
        <v>1504</v>
      </c>
      <c r="AA7" t="s">
        <v>5929</v>
      </c>
      <c r="AB7">
        <v>150413</v>
      </c>
      <c r="AC7" t="s">
        <v>5930</v>
      </c>
      <c r="AD7">
        <v>3</v>
      </c>
      <c r="AE7" t="s">
        <v>5934</v>
      </c>
      <c r="AF7">
        <v>1</v>
      </c>
      <c r="AG7" t="s">
        <v>5932</v>
      </c>
      <c r="AH7" t="s">
        <v>5942</v>
      </c>
      <c r="AI7">
        <v>237</v>
      </c>
      <c r="AJ7" t="s">
        <v>4213</v>
      </c>
      <c r="AK7" t="s">
        <v>4214</v>
      </c>
      <c r="AL7" t="s">
        <v>4215</v>
      </c>
      <c r="AM7">
        <v>8</v>
      </c>
      <c r="AN7">
        <v>2</v>
      </c>
      <c r="AO7" t="s">
        <v>3897</v>
      </c>
      <c r="AP7">
        <v>3</v>
      </c>
      <c r="AQ7">
        <v>60</v>
      </c>
      <c r="AR7">
        <v>3</v>
      </c>
      <c r="AS7" t="s">
        <v>3911</v>
      </c>
      <c r="AT7">
        <v>180</v>
      </c>
      <c r="AU7">
        <v>3</v>
      </c>
      <c r="AV7" t="s">
        <v>5934</v>
      </c>
      <c r="AW7" t="s">
        <v>5943</v>
      </c>
      <c r="AX7" t="s">
        <v>56</v>
      </c>
      <c r="AY7">
        <v>1</v>
      </c>
      <c r="AZ7" t="s">
        <v>3902</v>
      </c>
    </row>
    <row r="8" spans="1:52" x14ac:dyDescent="0.25">
      <c r="A8" t="str">
        <f>"20200124187017004823"</f>
        <v>20200124187017004823</v>
      </c>
      <c r="B8">
        <v>1</v>
      </c>
      <c r="C8">
        <v>2</v>
      </c>
      <c r="D8" t="s">
        <v>5776</v>
      </c>
      <c r="E8" t="s">
        <v>56</v>
      </c>
      <c r="F8" t="s">
        <v>1627</v>
      </c>
      <c r="G8" t="s">
        <v>56</v>
      </c>
      <c r="H8" t="s">
        <v>56</v>
      </c>
      <c r="I8" t="s">
        <v>56</v>
      </c>
      <c r="J8" t="s">
        <v>56</v>
      </c>
      <c r="K8" t="s">
        <v>56</v>
      </c>
      <c r="L8" t="s">
        <v>56</v>
      </c>
      <c r="M8" t="s">
        <v>56</v>
      </c>
      <c r="N8" t="s">
        <v>56</v>
      </c>
      <c r="O8" t="s">
        <v>56</v>
      </c>
      <c r="P8" t="s">
        <v>56</v>
      </c>
      <c r="Q8" t="s">
        <v>5928</v>
      </c>
      <c r="R8" t="s">
        <v>56</v>
      </c>
      <c r="S8" t="s">
        <v>5928</v>
      </c>
      <c r="T8" t="s">
        <v>56</v>
      </c>
      <c r="U8" t="s">
        <v>5928</v>
      </c>
      <c r="V8" t="s">
        <v>56</v>
      </c>
      <c r="W8" t="s">
        <v>5928</v>
      </c>
      <c r="X8">
        <v>1</v>
      </c>
      <c r="Y8" t="s">
        <v>5941</v>
      </c>
      <c r="Z8">
        <v>1404</v>
      </c>
      <c r="AA8" t="s">
        <v>5944</v>
      </c>
      <c r="AB8">
        <v>140402</v>
      </c>
      <c r="AC8" t="s">
        <v>5945</v>
      </c>
      <c r="AD8">
        <v>9</v>
      </c>
      <c r="AE8" t="s">
        <v>5946</v>
      </c>
      <c r="AF8">
        <v>1</v>
      </c>
      <c r="AG8" t="s">
        <v>5932</v>
      </c>
      <c r="AH8" t="s">
        <v>5947</v>
      </c>
      <c r="AI8">
        <v>46</v>
      </c>
      <c r="AJ8" t="s">
        <v>3929</v>
      </c>
      <c r="AK8" t="s">
        <v>3930</v>
      </c>
      <c r="AL8" t="s">
        <v>3931</v>
      </c>
      <c r="AM8">
        <v>24</v>
      </c>
      <c r="AN8">
        <v>2</v>
      </c>
      <c r="AO8" t="s">
        <v>3897</v>
      </c>
      <c r="AP8">
        <v>3</v>
      </c>
      <c r="AQ8">
        <v>60</v>
      </c>
      <c r="AR8">
        <v>3</v>
      </c>
      <c r="AS8" t="s">
        <v>3911</v>
      </c>
      <c r="AT8">
        <v>30</v>
      </c>
      <c r="AU8">
        <v>9</v>
      </c>
      <c r="AV8" t="s">
        <v>5946</v>
      </c>
      <c r="AW8" t="s">
        <v>5948</v>
      </c>
      <c r="AX8" t="s">
        <v>56</v>
      </c>
      <c r="AY8">
        <v>1</v>
      </c>
      <c r="AZ8" t="s">
        <v>3902</v>
      </c>
    </row>
    <row r="9" spans="1:52" x14ac:dyDescent="0.25">
      <c r="A9" t="str">
        <f>"20200124132017005122"</f>
        <v>20200124132017005122</v>
      </c>
      <c r="B9">
        <v>1</v>
      </c>
      <c r="C9">
        <v>2</v>
      </c>
      <c r="D9" t="s">
        <v>5776</v>
      </c>
      <c r="E9" t="s">
        <v>56</v>
      </c>
      <c r="F9" t="s">
        <v>1627</v>
      </c>
      <c r="G9" t="s">
        <v>56</v>
      </c>
      <c r="H9" t="s">
        <v>56</v>
      </c>
      <c r="I9" t="s">
        <v>56</v>
      </c>
      <c r="J9" t="s">
        <v>56</v>
      </c>
      <c r="K9" t="s">
        <v>56</v>
      </c>
      <c r="L9" t="s">
        <v>56</v>
      </c>
      <c r="M9" t="s">
        <v>56</v>
      </c>
      <c r="N9" t="s">
        <v>56</v>
      </c>
      <c r="O9" t="s">
        <v>56</v>
      </c>
      <c r="P9" t="s">
        <v>56</v>
      </c>
      <c r="Q9" t="s">
        <v>5928</v>
      </c>
      <c r="R9" t="s">
        <v>56</v>
      </c>
      <c r="S9" t="s">
        <v>5928</v>
      </c>
      <c r="T9" t="s">
        <v>56</v>
      </c>
      <c r="U9" t="s">
        <v>5928</v>
      </c>
      <c r="V9" t="s">
        <v>56</v>
      </c>
      <c r="W9" t="s">
        <v>5928</v>
      </c>
      <c r="X9" t="s">
        <v>56</v>
      </c>
      <c r="Y9" t="s">
        <v>5928</v>
      </c>
      <c r="Z9">
        <v>1501</v>
      </c>
      <c r="AA9" t="s">
        <v>5949</v>
      </c>
      <c r="AB9">
        <v>150101</v>
      </c>
      <c r="AC9" t="s">
        <v>5950</v>
      </c>
      <c r="AD9">
        <v>3</v>
      </c>
      <c r="AE9" t="s">
        <v>5934</v>
      </c>
      <c r="AF9">
        <v>1</v>
      </c>
      <c r="AG9" t="s">
        <v>5932</v>
      </c>
      <c r="AH9" t="s">
        <v>5951</v>
      </c>
      <c r="AI9">
        <v>220</v>
      </c>
      <c r="AJ9" t="s">
        <v>4213</v>
      </c>
      <c r="AK9" t="s">
        <v>4214</v>
      </c>
      <c r="AL9" t="s">
        <v>4215</v>
      </c>
      <c r="AM9">
        <v>24</v>
      </c>
      <c r="AN9">
        <v>2</v>
      </c>
      <c r="AO9" t="s">
        <v>3897</v>
      </c>
      <c r="AP9">
        <v>10</v>
      </c>
      <c r="AQ9">
        <v>5</v>
      </c>
      <c r="AR9">
        <v>5</v>
      </c>
      <c r="AS9" t="s">
        <v>3899</v>
      </c>
      <c r="AT9">
        <v>150</v>
      </c>
      <c r="AU9">
        <v>3</v>
      </c>
      <c r="AV9" t="s">
        <v>5934</v>
      </c>
      <c r="AW9" t="s">
        <v>5952</v>
      </c>
      <c r="AX9" t="s">
        <v>56</v>
      </c>
      <c r="AY9">
        <v>2</v>
      </c>
      <c r="AZ9" t="s">
        <v>4776</v>
      </c>
    </row>
    <row r="10" spans="1:52" x14ac:dyDescent="0.25">
      <c r="A10" t="str">
        <f>"20200124118017006015"</f>
        <v>20200124118017006015</v>
      </c>
      <c r="B10">
        <v>1</v>
      </c>
      <c r="C10">
        <v>2</v>
      </c>
      <c r="D10" t="s">
        <v>5776</v>
      </c>
      <c r="E10" t="s">
        <v>56</v>
      </c>
      <c r="F10" t="s">
        <v>1627</v>
      </c>
      <c r="G10" t="s">
        <v>56</v>
      </c>
      <c r="H10" t="s">
        <v>56</v>
      </c>
      <c r="I10" t="s">
        <v>56</v>
      </c>
      <c r="J10" t="s">
        <v>56</v>
      </c>
      <c r="K10" t="s">
        <v>56</v>
      </c>
      <c r="L10" t="s">
        <v>56</v>
      </c>
      <c r="M10" t="s">
        <v>56</v>
      </c>
      <c r="N10" t="s">
        <v>56</v>
      </c>
      <c r="O10" t="s">
        <v>56</v>
      </c>
      <c r="P10" t="s">
        <v>56</v>
      </c>
      <c r="Q10" t="s">
        <v>5928</v>
      </c>
      <c r="R10" t="s">
        <v>56</v>
      </c>
      <c r="S10" t="s">
        <v>5928</v>
      </c>
      <c r="T10">
        <v>1</v>
      </c>
      <c r="U10" t="s">
        <v>5941</v>
      </c>
      <c r="V10" t="s">
        <v>56</v>
      </c>
      <c r="W10" t="s">
        <v>5928</v>
      </c>
      <c r="X10" t="s">
        <v>56</v>
      </c>
      <c r="Y10" t="s">
        <v>5928</v>
      </c>
      <c r="Z10">
        <v>1504</v>
      </c>
      <c r="AA10" t="s">
        <v>5929</v>
      </c>
      <c r="AB10">
        <v>150415</v>
      </c>
      <c r="AC10" t="s">
        <v>5953</v>
      </c>
      <c r="AD10">
        <v>5</v>
      </c>
      <c r="AE10" t="s">
        <v>5931</v>
      </c>
      <c r="AF10">
        <v>1</v>
      </c>
      <c r="AG10" t="s">
        <v>5932</v>
      </c>
      <c r="AH10" t="s">
        <v>5954</v>
      </c>
      <c r="AI10">
        <v>1</v>
      </c>
      <c r="AJ10">
        <v>9000</v>
      </c>
      <c r="AK10" t="s">
        <v>3956</v>
      </c>
      <c r="AL10" t="s">
        <v>3956</v>
      </c>
      <c r="AM10">
        <v>12</v>
      </c>
      <c r="AN10">
        <v>2</v>
      </c>
      <c r="AO10" t="s">
        <v>3897</v>
      </c>
      <c r="AP10">
        <v>10</v>
      </c>
      <c r="AQ10">
        <v>3</v>
      </c>
      <c r="AR10">
        <v>5</v>
      </c>
      <c r="AS10" t="s">
        <v>3899</v>
      </c>
      <c r="AT10">
        <v>12</v>
      </c>
      <c r="AU10">
        <v>5</v>
      </c>
      <c r="AV10" t="s">
        <v>5931</v>
      </c>
      <c r="AW10" t="s">
        <v>5955</v>
      </c>
      <c r="AX10" t="s">
        <v>56</v>
      </c>
      <c r="AY10">
        <v>1</v>
      </c>
      <c r="AZ10" t="s">
        <v>3902</v>
      </c>
    </row>
    <row r="11" spans="1:52" x14ac:dyDescent="0.25">
      <c r="A11" t="str">
        <f>"20200124142017007884"</f>
        <v>20200124142017007884</v>
      </c>
      <c r="B11">
        <v>1</v>
      </c>
      <c r="C11">
        <v>2</v>
      </c>
      <c r="D11" t="s">
        <v>5776</v>
      </c>
      <c r="E11" t="s">
        <v>56</v>
      </c>
      <c r="F11" t="s">
        <v>1627</v>
      </c>
      <c r="G11" t="s">
        <v>56</v>
      </c>
      <c r="H11" t="s">
        <v>56</v>
      </c>
      <c r="I11" t="s">
        <v>56</v>
      </c>
      <c r="J11" t="s">
        <v>56</v>
      </c>
      <c r="K11" t="s">
        <v>56</v>
      </c>
      <c r="L11" t="s">
        <v>56</v>
      </c>
      <c r="M11" t="s">
        <v>56</v>
      </c>
      <c r="N11" t="s">
        <v>56</v>
      </c>
      <c r="O11" t="s">
        <v>56</v>
      </c>
      <c r="P11" t="s">
        <v>56</v>
      </c>
      <c r="Q11" t="s">
        <v>5928</v>
      </c>
      <c r="R11" t="s">
        <v>56</v>
      </c>
      <c r="S11" t="s">
        <v>5928</v>
      </c>
      <c r="T11" t="s">
        <v>56</v>
      </c>
      <c r="U11" t="s">
        <v>5928</v>
      </c>
      <c r="V11" t="s">
        <v>56</v>
      </c>
      <c r="W11" t="s">
        <v>5928</v>
      </c>
      <c r="X11" t="s">
        <v>56</v>
      </c>
      <c r="Y11" t="s">
        <v>5928</v>
      </c>
      <c r="Z11">
        <v>1401</v>
      </c>
      <c r="AA11" t="s">
        <v>5956</v>
      </c>
      <c r="AB11">
        <v>140103</v>
      </c>
      <c r="AC11" t="s">
        <v>5957</v>
      </c>
      <c r="AD11">
        <v>10</v>
      </c>
      <c r="AE11" t="s">
        <v>5958</v>
      </c>
      <c r="AF11">
        <v>1</v>
      </c>
      <c r="AG11" t="s">
        <v>5932</v>
      </c>
      <c r="AH11" t="s">
        <v>5959</v>
      </c>
      <c r="AI11">
        <v>250</v>
      </c>
      <c r="AJ11" t="s">
        <v>4213</v>
      </c>
      <c r="AK11" t="s">
        <v>4214</v>
      </c>
      <c r="AL11" t="s">
        <v>4215</v>
      </c>
      <c r="AM11">
        <v>12</v>
      </c>
      <c r="AN11">
        <v>2</v>
      </c>
      <c r="AO11" t="s">
        <v>3897</v>
      </c>
      <c r="AP11">
        <v>10</v>
      </c>
      <c r="AQ11">
        <v>90</v>
      </c>
      <c r="AR11">
        <v>3</v>
      </c>
      <c r="AS11" t="s">
        <v>3911</v>
      </c>
      <c r="AT11">
        <v>180</v>
      </c>
      <c r="AU11">
        <v>10</v>
      </c>
      <c r="AV11" t="s">
        <v>5958</v>
      </c>
      <c r="AW11" t="s">
        <v>5960</v>
      </c>
      <c r="AX11" t="s">
        <v>56</v>
      </c>
      <c r="AY11">
        <v>2</v>
      </c>
      <c r="AZ11" t="s">
        <v>4776</v>
      </c>
    </row>
    <row r="12" spans="1:52" x14ac:dyDescent="0.25">
      <c r="A12" t="str">
        <f>"20200124183017008445"</f>
        <v>20200124183017008445</v>
      </c>
      <c r="B12">
        <v>1</v>
      </c>
      <c r="C12">
        <v>2</v>
      </c>
      <c r="D12" t="s">
        <v>5776</v>
      </c>
      <c r="E12" t="s">
        <v>56</v>
      </c>
      <c r="F12" t="s">
        <v>1627</v>
      </c>
      <c r="G12" t="s">
        <v>56</v>
      </c>
      <c r="H12" t="s">
        <v>56</v>
      </c>
      <c r="I12" t="s">
        <v>56</v>
      </c>
      <c r="J12" t="s">
        <v>56</v>
      </c>
      <c r="K12" t="s">
        <v>56</v>
      </c>
      <c r="L12" t="s">
        <v>56</v>
      </c>
      <c r="M12" t="s">
        <v>56</v>
      </c>
      <c r="N12" t="s">
        <v>56</v>
      </c>
      <c r="O12" t="s">
        <v>56</v>
      </c>
      <c r="P12" t="s">
        <v>56</v>
      </c>
      <c r="Q12" t="s">
        <v>5928</v>
      </c>
      <c r="R12" t="s">
        <v>56</v>
      </c>
      <c r="S12" t="s">
        <v>5928</v>
      </c>
      <c r="T12" t="s">
        <v>56</v>
      </c>
      <c r="U12" t="s">
        <v>5928</v>
      </c>
      <c r="V12" t="s">
        <v>56</v>
      </c>
      <c r="W12" t="s">
        <v>5928</v>
      </c>
      <c r="X12" t="s">
        <v>56</v>
      </c>
      <c r="Y12" t="s">
        <v>5928</v>
      </c>
      <c r="Z12">
        <v>1410</v>
      </c>
      <c r="AA12" t="s">
        <v>5961</v>
      </c>
      <c r="AB12">
        <v>141001</v>
      </c>
      <c r="AC12" t="s">
        <v>5962</v>
      </c>
      <c r="AD12">
        <v>5</v>
      </c>
      <c r="AE12" t="s">
        <v>5931</v>
      </c>
      <c r="AF12">
        <v>2</v>
      </c>
      <c r="AG12" t="s">
        <v>5963</v>
      </c>
      <c r="AH12" t="s">
        <v>5964</v>
      </c>
      <c r="AI12">
        <v>1</v>
      </c>
      <c r="AJ12" t="s">
        <v>4026</v>
      </c>
      <c r="AK12" t="s">
        <v>4027</v>
      </c>
      <c r="AL12" t="s">
        <v>4028</v>
      </c>
      <c r="AM12">
        <v>6</v>
      </c>
      <c r="AN12">
        <v>2</v>
      </c>
      <c r="AO12" t="s">
        <v>3897</v>
      </c>
      <c r="AP12">
        <v>10</v>
      </c>
      <c r="AQ12">
        <v>30</v>
      </c>
      <c r="AR12">
        <v>3</v>
      </c>
      <c r="AS12" t="s">
        <v>3911</v>
      </c>
      <c r="AT12">
        <v>120</v>
      </c>
      <c r="AU12">
        <v>5</v>
      </c>
      <c r="AV12" t="s">
        <v>5931</v>
      </c>
      <c r="AW12" t="s">
        <v>5965</v>
      </c>
      <c r="AX12" t="s">
        <v>56</v>
      </c>
      <c r="AY12">
        <v>1</v>
      </c>
      <c r="AZ12" t="s">
        <v>3902</v>
      </c>
    </row>
    <row r="13" spans="1:52" x14ac:dyDescent="0.25">
      <c r="A13" t="str">
        <f>"20200124111017009131"</f>
        <v>20200124111017009131</v>
      </c>
      <c r="B13">
        <v>1</v>
      </c>
      <c r="C13">
        <v>2</v>
      </c>
      <c r="D13" t="s">
        <v>5776</v>
      </c>
      <c r="E13" t="s">
        <v>56</v>
      </c>
      <c r="F13" t="s">
        <v>1627</v>
      </c>
      <c r="G13" t="s">
        <v>56</v>
      </c>
      <c r="H13" t="s">
        <v>56</v>
      </c>
      <c r="I13" t="s">
        <v>56</v>
      </c>
      <c r="J13" t="s">
        <v>56</v>
      </c>
      <c r="K13" t="s">
        <v>56</v>
      </c>
      <c r="L13" t="s">
        <v>56</v>
      </c>
      <c r="M13" t="s">
        <v>56</v>
      </c>
      <c r="N13" t="s">
        <v>56</v>
      </c>
      <c r="O13" t="s">
        <v>56</v>
      </c>
      <c r="P13" t="s">
        <v>56</v>
      </c>
      <c r="Q13" t="s">
        <v>5928</v>
      </c>
      <c r="R13" t="s">
        <v>56</v>
      </c>
      <c r="S13" t="s">
        <v>5928</v>
      </c>
      <c r="T13" t="s">
        <v>56</v>
      </c>
      <c r="U13" t="s">
        <v>5928</v>
      </c>
      <c r="V13" t="s">
        <v>56</v>
      </c>
      <c r="W13" t="s">
        <v>5928</v>
      </c>
      <c r="X13" t="s">
        <v>56</v>
      </c>
      <c r="Y13" t="s">
        <v>5928</v>
      </c>
      <c r="Z13">
        <v>1701</v>
      </c>
      <c r="AA13" t="s">
        <v>5966</v>
      </c>
      <c r="AB13">
        <v>170141</v>
      </c>
      <c r="AC13" t="s">
        <v>5967</v>
      </c>
      <c r="AD13">
        <v>5</v>
      </c>
      <c r="AE13" t="s">
        <v>5931</v>
      </c>
      <c r="AF13">
        <v>1</v>
      </c>
      <c r="AG13" t="s">
        <v>5932</v>
      </c>
      <c r="AH13" t="s">
        <v>5968</v>
      </c>
      <c r="AI13">
        <v>46</v>
      </c>
      <c r="AJ13" t="s">
        <v>3929</v>
      </c>
      <c r="AK13" t="s">
        <v>3930</v>
      </c>
      <c r="AL13" t="s">
        <v>3931</v>
      </c>
      <c r="AM13">
        <v>24</v>
      </c>
      <c r="AN13">
        <v>2</v>
      </c>
      <c r="AO13" t="s">
        <v>3897</v>
      </c>
      <c r="AP13">
        <v>10</v>
      </c>
      <c r="AQ13">
        <v>60</v>
      </c>
      <c r="AR13">
        <v>3</v>
      </c>
      <c r="AS13" t="s">
        <v>3911</v>
      </c>
      <c r="AT13">
        <v>4</v>
      </c>
      <c r="AU13">
        <v>5</v>
      </c>
      <c r="AV13" t="s">
        <v>5931</v>
      </c>
      <c r="AW13" t="s">
        <v>5969</v>
      </c>
      <c r="AX13" t="s">
        <v>56</v>
      </c>
      <c r="AY13">
        <v>2</v>
      </c>
      <c r="AZ13" t="s">
        <v>4776</v>
      </c>
    </row>
    <row r="14" spans="1:52" x14ac:dyDescent="0.25">
      <c r="A14" t="str">
        <f>"20200124110017009713"</f>
        <v>20200124110017009713</v>
      </c>
      <c r="B14">
        <v>1</v>
      </c>
      <c r="C14">
        <v>1</v>
      </c>
      <c r="D14" t="s">
        <v>5751</v>
      </c>
      <c r="E14" t="s">
        <v>56</v>
      </c>
      <c r="F14" t="s">
        <v>1627</v>
      </c>
      <c r="G14" t="s">
        <v>56</v>
      </c>
      <c r="H14" t="s">
        <v>56</v>
      </c>
      <c r="I14" t="s">
        <v>56</v>
      </c>
      <c r="J14" t="s">
        <v>56</v>
      </c>
      <c r="K14" t="s">
        <v>56</v>
      </c>
      <c r="L14" t="s">
        <v>56</v>
      </c>
      <c r="M14" t="s">
        <v>56</v>
      </c>
      <c r="N14" t="s">
        <v>56</v>
      </c>
      <c r="O14" t="s">
        <v>56</v>
      </c>
      <c r="P14" t="s">
        <v>56</v>
      </c>
      <c r="Q14" t="s">
        <v>5928</v>
      </c>
      <c r="R14" t="s">
        <v>56</v>
      </c>
      <c r="S14" t="s">
        <v>5928</v>
      </c>
      <c r="T14" t="s">
        <v>56</v>
      </c>
      <c r="U14" t="s">
        <v>5928</v>
      </c>
      <c r="V14" t="s">
        <v>56</v>
      </c>
      <c r="W14" t="s">
        <v>5928</v>
      </c>
      <c r="X14" t="s">
        <v>56</v>
      </c>
      <c r="Y14" t="s">
        <v>5928</v>
      </c>
      <c r="Z14">
        <v>1102</v>
      </c>
      <c r="AA14" t="s">
        <v>5936</v>
      </c>
      <c r="AB14">
        <v>110202</v>
      </c>
      <c r="AC14" t="s">
        <v>5937</v>
      </c>
      <c r="AD14">
        <v>3</v>
      </c>
      <c r="AE14" t="s">
        <v>5934</v>
      </c>
      <c r="AF14">
        <v>1</v>
      </c>
      <c r="AG14" t="s">
        <v>5932</v>
      </c>
      <c r="AH14" t="s">
        <v>5970</v>
      </c>
      <c r="AI14">
        <v>1</v>
      </c>
      <c r="AJ14" t="s">
        <v>4026</v>
      </c>
      <c r="AK14" t="s">
        <v>4027</v>
      </c>
      <c r="AL14" t="s">
        <v>4028</v>
      </c>
      <c r="AM14">
        <v>12</v>
      </c>
      <c r="AN14">
        <v>2</v>
      </c>
      <c r="AO14" t="s">
        <v>3897</v>
      </c>
      <c r="AP14">
        <v>1</v>
      </c>
      <c r="AQ14">
        <v>3</v>
      </c>
      <c r="AR14">
        <v>5</v>
      </c>
      <c r="AS14" t="s">
        <v>3899</v>
      </c>
      <c r="AT14">
        <v>180</v>
      </c>
      <c r="AU14">
        <v>3</v>
      </c>
      <c r="AV14" t="s">
        <v>5934</v>
      </c>
      <c r="AW14" t="s">
        <v>5940</v>
      </c>
      <c r="AX14" t="s">
        <v>56</v>
      </c>
      <c r="AY14">
        <v>2</v>
      </c>
      <c r="AZ14" t="s">
        <v>4776</v>
      </c>
    </row>
    <row r="15" spans="1:52" x14ac:dyDescent="0.25">
      <c r="A15" t="str">
        <f>"20200124174017009997"</f>
        <v>20200124174017009997</v>
      </c>
      <c r="B15">
        <v>1</v>
      </c>
      <c r="C15">
        <v>1</v>
      </c>
      <c r="D15" t="s">
        <v>5751</v>
      </c>
      <c r="E15" t="s">
        <v>56</v>
      </c>
      <c r="F15" t="s">
        <v>1627</v>
      </c>
      <c r="G15" t="s">
        <v>56</v>
      </c>
      <c r="H15" t="s">
        <v>56</v>
      </c>
      <c r="I15" t="s">
        <v>56</v>
      </c>
      <c r="J15" t="s">
        <v>56</v>
      </c>
      <c r="K15" t="s">
        <v>56</v>
      </c>
      <c r="L15" t="s">
        <v>56</v>
      </c>
      <c r="M15" t="s">
        <v>56</v>
      </c>
      <c r="N15" t="s">
        <v>56</v>
      </c>
      <c r="O15" t="s">
        <v>56</v>
      </c>
      <c r="P15" t="s">
        <v>56</v>
      </c>
      <c r="Q15" t="s">
        <v>5928</v>
      </c>
      <c r="R15" t="s">
        <v>56</v>
      </c>
      <c r="S15" t="s">
        <v>5928</v>
      </c>
      <c r="T15" t="s">
        <v>56</v>
      </c>
      <c r="U15" t="s">
        <v>5928</v>
      </c>
      <c r="V15" t="s">
        <v>56</v>
      </c>
      <c r="W15" t="s">
        <v>5928</v>
      </c>
      <c r="X15" t="s">
        <v>56</v>
      </c>
      <c r="Y15" t="s">
        <v>5928</v>
      </c>
      <c r="Z15">
        <v>1102</v>
      </c>
      <c r="AA15" t="s">
        <v>5936</v>
      </c>
      <c r="AB15">
        <v>110202</v>
      </c>
      <c r="AC15" t="s">
        <v>5937</v>
      </c>
      <c r="AD15">
        <v>3</v>
      </c>
      <c r="AE15" t="s">
        <v>5934</v>
      </c>
      <c r="AF15">
        <v>1</v>
      </c>
      <c r="AG15" t="s">
        <v>5932</v>
      </c>
      <c r="AH15" t="s">
        <v>5971</v>
      </c>
      <c r="AI15">
        <v>1</v>
      </c>
      <c r="AJ15" t="s">
        <v>4026</v>
      </c>
      <c r="AK15" t="s">
        <v>4027</v>
      </c>
      <c r="AL15" t="s">
        <v>4028</v>
      </c>
      <c r="AM15">
        <v>8</v>
      </c>
      <c r="AN15">
        <v>2</v>
      </c>
      <c r="AO15" t="s">
        <v>3897</v>
      </c>
      <c r="AP15">
        <v>1</v>
      </c>
      <c r="AQ15">
        <v>3</v>
      </c>
      <c r="AR15">
        <v>5</v>
      </c>
      <c r="AS15" t="s">
        <v>3899</v>
      </c>
      <c r="AT15">
        <v>270</v>
      </c>
      <c r="AU15">
        <v>3</v>
      </c>
      <c r="AV15" t="s">
        <v>5934</v>
      </c>
      <c r="AW15" t="s">
        <v>5972</v>
      </c>
      <c r="AX15" t="s">
        <v>56</v>
      </c>
      <c r="AY15">
        <v>2</v>
      </c>
      <c r="AZ15" t="s">
        <v>4776</v>
      </c>
    </row>
    <row r="16" spans="1:52" x14ac:dyDescent="0.25">
      <c r="A16" t="str">
        <f>"20200124157017010211"</f>
        <v>20200124157017010211</v>
      </c>
      <c r="B16">
        <v>1</v>
      </c>
      <c r="C16">
        <v>2</v>
      </c>
      <c r="D16" t="s">
        <v>5776</v>
      </c>
      <c r="E16" t="s">
        <v>56</v>
      </c>
      <c r="F16" t="s">
        <v>1627</v>
      </c>
      <c r="G16" t="s">
        <v>56</v>
      </c>
      <c r="H16" t="s">
        <v>56</v>
      </c>
      <c r="I16" t="s">
        <v>56</v>
      </c>
      <c r="J16" t="s">
        <v>56</v>
      </c>
      <c r="K16" t="s">
        <v>56</v>
      </c>
      <c r="L16" t="s">
        <v>56</v>
      </c>
      <c r="M16" t="s">
        <v>56</v>
      </c>
      <c r="N16" t="s">
        <v>56</v>
      </c>
      <c r="O16" t="s">
        <v>56</v>
      </c>
      <c r="P16" t="s">
        <v>56</v>
      </c>
      <c r="Q16" t="s">
        <v>5928</v>
      </c>
      <c r="R16" t="s">
        <v>56</v>
      </c>
      <c r="S16" t="s">
        <v>5928</v>
      </c>
      <c r="T16" t="s">
        <v>56</v>
      </c>
      <c r="U16" t="s">
        <v>5928</v>
      </c>
      <c r="V16" t="s">
        <v>56</v>
      </c>
      <c r="W16" t="s">
        <v>5928</v>
      </c>
      <c r="X16" t="s">
        <v>56</v>
      </c>
      <c r="Y16" t="s">
        <v>5928</v>
      </c>
      <c r="Z16">
        <v>1409</v>
      </c>
      <c r="AA16" t="s">
        <v>5973</v>
      </c>
      <c r="AB16">
        <v>140902</v>
      </c>
      <c r="AC16" t="s">
        <v>5974</v>
      </c>
      <c r="AD16">
        <v>5</v>
      </c>
      <c r="AE16" t="s">
        <v>5931</v>
      </c>
      <c r="AF16">
        <v>2</v>
      </c>
      <c r="AG16" t="s">
        <v>5963</v>
      </c>
      <c r="AH16" t="s">
        <v>5975</v>
      </c>
      <c r="AI16">
        <v>1</v>
      </c>
      <c r="AJ16" t="s">
        <v>4026</v>
      </c>
      <c r="AK16" t="s">
        <v>4027</v>
      </c>
      <c r="AL16" t="s">
        <v>4028</v>
      </c>
      <c r="AM16">
        <v>6</v>
      </c>
      <c r="AN16">
        <v>2</v>
      </c>
      <c r="AO16" t="s">
        <v>3897</v>
      </c>
      <c r="AP16">
        <v>10</v>
      </c>
      <c r="AQ16">
        <v>30</v>
      </c>
      <c r="AR16">
        <v>3</v>
      </c>
      <c r="AS16" t="s">
        <v>3911</v>
      </c>
      <c r="AT16">
        <v>120</v>
      </c>
      <c r="AU16">
        <v>5</v>
      </c>
      <c r="AV16" t="s">
        <v>5931</v>
      </c>
      <c r="AW16" t="s">
        <v>5976</v>
      </c>
      <c r="AX16" t="s">
        <v>56</v>
      </c>
      <c r="AY16">
        <v>1</v>
      </c>
      <c r="AZ16" t="s">
        <v>3902</v>
      </c>
    </row>
    <row r="17" spans="1:52" x14ac:dyDescent="0.25">
      <c r="A17" t="str">
        <f>"20200124153017010343"</f>
        <v>20200124153017010343</v>
      </c>
      <c r="B17">
        <v>1</v>
      </c>
      <c r="C17">
        <v>1</v>
      </c>
      <c r="D17" t="s">
        <v>5751</v>
      </c>
      <c r="E17" t="s">
        <v>56</v>
      </c>
      <c r="F17" t="s">
        <v>1627</v>
      </c>
      <c r="G17" t="s">
        <v>56</v>
      </c>
      <c r="H17" t="s">
        <v>56</v>
      </c>
      <c r="I17" t="s">
        <v>56</v>
      </c>
      <c r="J17" t="s">
        <v>56</v>
      </c>
      <c r="K17" t="s">
        <v>56</v>
      </c>
      <c r="L17" t="s">
        <v>56</v>
      </c>
      <c r="M17" t="s">
        <v>56</v>
      </c>
      <c r="N17" t="s">
        <v>56</v>
      </c>
      <c r="O17" t="s">
        <v>56</v>
      </c>
      <c r="P17" t="s">
        <v>56</v>
      </c>
      <c r="Q17" t="s">
        <v>5928</v>
      </c>
      <c r="R17" t="s">
        <v>56</v>
      </c>
      <c r="S17" t="s">
        <v>5928</v>
      </c>
      <c r="T17" t="s">
        <v>56</v>
      </c>
      <c r="U17" t="s">
        <v>5928</v>
      </c>
      <c r="V17" t="s">
        <v>56</v>
      </c>
      <c r="W17" t="s">
        <v>5928</v>
      </c>
      <c r="X17" t="s">
        <v>56</v>
      </c>
      <c r="Y17" t="s">
        <v>5928</v>
      </c>
      <c r="Z17">
        <v>1102</v>
      </c>
      <c r="AA17" t="s">
        <v>5936</v>
      </c>
      <c r="AB17">
        <v>110202</v>
      </c>
      <c r="AC17" t="s">
        <v>5937</v>
      </c>
      <c r="AD17">
        <v>3</v>
      </c>
      <c r="AE17" t="s">
        <v>5934</v>
      </c>
      <c r="AF17">
        <v>1</v>
      </c>
      <c r="AG17" t="s">
        <v>5932</v>
      </c>
      <c r="AH17" t="s">
        <v>5977</v>
      </c>
      <c r="AI17">
        <v>1</v>
      </c>
      <c r="AJ17" t="s">
        <v>4026</v>
      </c>
      <c r="AK17" t="s">
        <v>4027</v>
      </c>
      <c r="AL17" t="s">
        <v>4028</v>
      </c>
      <c r="AM17">
        <v>12</v>
      </c>
      <c r="AN17">
        <v>2</v>
      </c>
      <c r="AO17" t="s">
        <v>3897</v>
      </c>
      <c r="AP17">
        <v>1</v>
      </c>
      <c r="AQ17">
        <v>3</v>
      </c>
      <c r="AR17">
        <v>5</v>
      </c>
      <c r="AS17" t="s">
        <v>3899</v>
      </c>
      <c r="AT17">
        <v>180</v>
      </c>
      <c r="AU17">
        <v>3</v>
      </c>
      <c r="AV17" t="s">
        <v>5934</v>
      </c>
      <c r="AW17" t="s">
        <v>5978</v>
      </c>
      <c r="AX17" t="s">
        <v>56</v>
      </c>
      <c r="AY17">
        <v>2</v>
      </c>
      <c r="AZ17" t="s">
        <v>4776</v>
      </c>
    </row>
    <row r="18" spans="1:52" x14ac:dyDescent="0.25">
      <c r="A18" t="str">
        <f>"20200124197017014547"</f>
        <v>20200124197017014547</v>
      </c>
      <c r="B18">
        <v>1</v>
      </c>
      <c r="C18">
        <v>2</v>
      </c>
      <c r="D18" t="s">
        <v>5776</v>
      </c>
      <c r="E18" t="s">
        <v>56</v>
      </c>
      <c r="F18" t="s">
        <v>1627</v>
      </c>
      <c r="G18" t="s">
        <v>56</v>
      </c>
      <c r="H18" t="s">
        <v>56</v>
      </c>
      <c r="I18" t="s">
        <v>56</v>
      </c>
      <c r="J18" t="s">
        <v>56</v>
      </c>
      <c r="K18" t="s">
        <v>56</v>
      </c>
      <c r="L18" t="s">
        <v>56</v>
      </c>
      <c r="M18" t="s">
        <v>56</v>
      </c>
      <c r="N18" t="s">
        <v>56</v>
      </c>
      <c r="O18" t="s">
        <v>56</v>
      </c>
      <c r="P18" t="s">
        <v>56</v>
      </c>
      <c r="Q18" t="s">
        <v>5928</v>
      </c>
      <c r="R18" t="s">
        <v>56</v>
      </c>
      <c r="S18" t="s">
        <v>5928</v>
      </c>
      <c r="T18" t="s">
        <v>56</v>
      </c>
      <c r="U18" t="s">
        <v>5928</v>
      </c>
      <c r="V18" t="s">
        <v>56</v>
      </c>
      <c r="W18" t="s">
        <v>5928</v>
      </c>
      <c r="X18" t="s">
        <v>56</v>
      </c>
      <c r="Y18" t="s">
        <v>5928</v>
      </c>
      <c r="Z18">
        <v>1701</v>
      </c>
      <c r="AA18" t="s">
        <v>5966</v>
      </c>
      <c r="AB18">
        <v>170141</v>
      </c>
      <c r="AC18" t="s">
        <v>5967</v>
      </c>
      <c r="AD18">
        <v>5</v>
      </c>
      <c r="AE18" t="s">
        <v>5931</v>
      </c>
      <c r="AF18">
        <v>1</v>
      </c>
      <c r="AG18" t="s">
        <v>5932</v>
      </c>
      <c r="AH18" t="s">
        <v>5979</v>
      </c>
      <c r="AI18">
        <v>1</v>
      </c>
      <c r="AJ18">
        <v>9000</v>
      </c>
      <c r="AK18" t="s">
        <v>3956</v>
      </c>
      <c r="AL18" t="s">
        <v>3956</v>
      </c>
      <c r="AM18">
        <v>24</v>
      </c>
      <c r="AN18">
        <v>2</v>
      </c>
      <c r="AO18" t="s">
        <v>3897</v>
      </c>
      <c r="AP18">
        <v>10</v>
      </c>
      <c r="AQ18">
        <v>6</v>
      </c>
      <c r="AR18">
        <v>5</v>
      </c>
      <c r="AS18" t="s">
        <v>3899</v>
      </c>
      <c r="AT18">
        <v>6</v>
      </c>
      <c r="AU18">
        <v>5</v>
      </c>
      <c r="AV18" t="s">
        <v>5931</v>
      </c>
      <c r="AW18" t="s">
        <v>5980</v>
      </c>
      <c r="AX18" t="s">
        <v>56</v>
      </c>
      <c r="AY18">
        <v>2</v>
      </c>
      <c r="AZ18" t="s">
        <v>4776</v>
      </c>
    </row>
    <row r="19" spans="1:52" x14ac:dyDescent="0.25">
      <c r="A19" t="str">
        <f>"20200124130017017440"</f>
        <v>20200124130017017440</v>
      </c>
      <c r="B19">
        <v>1</v>
      </c>
      <c r="C19">
        <v>2</v>
      </c>
      <c r="D19" t="s">
        <v>5776</v>
      </c>
      <c r="E19" t="s">
        <v>56</v>
      </c>
      <c r="F19" t="s">
        <v>1627</v>
      </c>
      <c r="G19" t="s">
        <v>56</v>
      </c>
      <c r="H19" t="s">
        <v>56</v>
      </c>
      <c r="I19" t="s">
        <v>56</v>
      </c>
      <c r="J19" t="s">
        <v>56</v>
      </c>
      <c r="K19" t="s">
        <v>56</v>
      </c>
      <c r="L19" t="s">
        <v>56</v>
      </c>
      <c r="M19" t="s">
        <v>56</v>
      </c>
      <c r="N19" t="s">
        <v>56</v>
      </c>
      <c r="O19" t="s">
        <v>56</v>
      </c>
      <c r="P19" t="s">
        <v>56</v>
      </c>
      <c r="Q19" t="s">
        <v>5928</v>
      </c>
      <c r="R19" t="s">
        <v>56</v>
      </c>
      <c r="S19" t="s">
        <v>5928</v>
      </c>
      <c r="T19" t="s">
        <v>56</v>
      </c>
      <c r="U19" t="s">
        <v>5928</v>
      </c>
      <c r="V19" t="s">
        <v>56</v>
      </c>
      <c r="W19" t="s">
        <v>5928</v>
      </c>
      <c r="X19" t="s">
        <v>56</v>
      </c>
      <c r="Y19" t="s">
        <v>5928</v>
      </c>
      <c r="Z19">
        <v>1410</v>
      </c>
      <c r="AA19" t="s">
        <v>5961</v>
      </c>
      <c r="AB19">
        <v>141001</v>
      </c>
      <c r="AC19" t="s">
        <v>5962</v>
      </c>
      <c r="AD19">
        <v>5</v>
      </c>
      <c r="AE19" t="s">
        <v>5931</v>
      </c>
      <c r="AF19">
        <v>2</v>
      </c>
      <c r="AG19" t="s">
        <v>5963</v>
      </c>
      <c r="AH19" t="s">
        <v>5981</v>
      </c>
      <c r="AI19">
        <v>5</v>
      </c>
      <c r="AJ19" t="s">
        <v>4026</v>
      </c>
      <c r="AK19" t="s">
        <v>4027</v>
      </c>
      <c r="AL19" t="s">
        <v>4028</v>
      </c>
      <c r="AM19">
        <v>24</v>
      </c>
      <c r="AN19">
        <v>2</v>
      </c>
      <c r="AO19" t="s">
        <v>3897</v>
      </c>
      <c r="AP19">
        <v>3</v>
      </c>
      <c r="AQ19">
        <v>5</v>
      </c>
      <c r="AR19">
        <v>3</v>
      </c>
      <c r="AS19" t="s">
        <v>3911</v>
      </c>
      <c r="AT19">
        <v>25</v>
      </c>
      <c r="AU19">
        <v>5</v>
      </c>
      <c r="AV19" t="s">
        <v>5931</v>
      </c>
      <c r="AW19" t="s">
        <v>5982</v>
      </c>
      <c r="AX19" t="s">
        <v>56</v>
      </c>
      <c r="AY19">
        <v>1</v>
      </c>
      <c r="AZ19" t="s">
        <v>3902</v>
      </c>
    </row>
    <row r="20" spans="1:52" x14ac:dyDescent="0.25">
      <c r="A20" t="str">
        <f>"20200124114017017877"</f>
        <v>20200124114017017877</v>
      </c>
      <c r="B20">
        <v>1</v>
      </c>
      <c r="C20">
        <v>2</v>
      </c>
      <c r="D20" t="s">
        <v>5776</v>
      </c>
      <c r="E20" t="s">
        <v>56</v>
      </c>
      <c r="F20" t="s">
        <v>1627</v>
      </c>
      <c r="G20" t="s">
        <v>56</v>
      </c>
      <c r="H20" t="s">
        <v>56</v>
      </c>
      <c r="I20" t="s">
        <v>56</v>
      </c>
      <c r="J20" t="s">
        <v>56</v>
      </c>
      <c r="K20" t="s">
        <v>56</v>
      </c>
      <c r="L20" t="s">
        <v>56</v>
      </c>
      <c r="M20" t="s">
        <v>56</v>
      </c>
      <c r="N20" t="s">
        <v>56</v>
      </c>
      <c r="O20" t="s">
        <v>56</v>
      </c>
      <c r="P20" t="s">
        <v>56</v>
      </c>
      <c r="Q20" t="s">
        <v>5928</v>
      </c>
      <c r="R20" t="s">
        <v>56</v>
      </c>
      <c r="S20" t="s">
        <v>5928</v>
      </c>
      <c r="T20" t="s">
        <v>56</v>
      </c>
      <c r="U20" t="s">
        <v>5928</v>
      </c>
      <c r="V20" t="s">
        <v>56</v>
      </c>
      <c r="W20" t="s">
        <v>5928</v>
      </c>
      <c r="X20" t="s">
        <v>56</v>
      </c>
      <c r="Y20" t="s">
        <v>5928</v>
      </c>
      <c r="Z20">
        <v>1401</v>
      </c>
      <c r="AA20" t="s">
        <v>5956</v>
      </c>
      <c r="AB20">
        <v>140103</v>
      </c>
      <c r="AC20" t="s">
        <v>5957</v>
      </c>
      <c r="AD20">
        <v>10</v>
      </c>
      <c r="AE20" t="s">
        <v>5958</v>
      </c>
      <c r="AF20">
        <v>2</v>
      </c>
      <c r="AG20" t="s">
        <v>5963</v>
      </c>
      <c r="AH20" t="s">
        <v>5983</v>
      </c>
      <c r="AI20">
        <v>1800</v>
      </c>
      <c r="AJ20" t="s">
        <v>4213</v>
      </c>
      <c r="AK20" t="s">
        <v>4214</v>
      </c>
      <c r="AL20" t="s">
        <v>4215</v>
      </c>
      <c r="AM20">
        <v>24</v>
      </c>
      <c r="AN20">
        <v>2</v>
      </c>
      <c r="AO20" t="s">
        <v>3897</v>
      </c>
      <c r="AP20">
        <v>5</v>
      </c>
      <c r="AQ20">
        <v>1</v>
      </c>
      <c r="AR20">
        <v>5</v>
      </c>
      <c r="AS20" t="s">
        <v>3899</v>
      </c>
      <c r="AT20">
        <v>216</v>
      </c>
      <c r="AU20">
        <v>10</v>
      </c>
      <c r="AV20" t="s">
        <v>5958</v>
      </c>
      <c r="AW20" t="s">
        <v>5984</v>
      </c>
      <c r="AX20" t="s">
        <v>56</v>
      </c>
      <c r="AY20">
        <v>1</v>
      </c>
      <c r="AZ20" t="s">
        <v>3902</v>
      </c>
    </row>
    <row r="21" spans="1:52" x14ac:dyDescent="0.25">
      <c r="A21" t="str">
        <f>"20200125158017025604"</f>
        <v>20200125158017025604</v>
      </c>
      <c r="B21">
        <v>1</v>
      </c>
      <c r="C21">
        <v>2</v>
      </c>
      <c r="D21" t="s">
        <v>5776</v>
      </c>
      <c r="E21" t="s">
        <v>56</v>
      </c>
      <c r="F21" t="s">
        <v>1627</v>
      </c>
      <c r="G21" t="s">
        <v>56</v>
      </c>
      <c r="H21" t="s">
        <v>56</v>
      </c>
      <c r="I21" t="s">
        <v>56</v>
      </c>
      <c r="J21" t="s">
        <v>56</v>
      </c>
      <c r="K21" t="s">
        <v>56</v>
      </c>
      <c r="L21" t="s">
        <v>56</v>
      </c>
      <c r="M21" t="s">
        <v>56</v>
      </c>
      <c r="N21" t="s">
        <v>56</v>
      </c>
      <c r="O21" t="s">
        <v>56</v>
      </c>
      <c r="P21" t="s">
        <v>56</v>
      </c>
      <c r="Q21" t="s">
        <v>5928</v>
      </c>
      <c r="R21" t="s">
        <v>56</v>
      </c>
      <c r="S21" t="s">
        <v>5928</v>
      </c>
      <c r="T21" t="s">
        <v>56</v>
      </c>
      <c r="U21" t="s">
        <v>5928</v>
      </c>
      <c r="V21" t="s">
        <v>56</v>
      </c>
      <c r="W21" t="s">
        <v>5928</v>
      </c>
      <c r="X21" t="s">
        <v>56</v>
      </c>
      <c r="Y21" t="s">
        <v>5928</v>
      </c>
      <c r="Z21">
        <v>1504</v>
      </c>
      <c r="AA21" t="s">
        <v>5929</v>
      </c>
      <c r="AB21">
        <v>150414</v>
      </c>
      <c r="AC21" t="s">
        <v>5930</v>
      </c>
      <c r="AD21">
        <v>5</v>
      </c>
      <c r="AE21" t="s">
        <v>5931</v>
      </c>
      <c r="AF21">
        <v>1</v>
      </c>
      <c r="AG21" t="s">
        <v>5932</v>
      </c>
      <c r="AH21" t="s">
        <v>5985</v>
      </c>
      <c r="AI21">
        <v>237</v>
      </c>
      <c r="AJ21" t="s">
        <v>4213</v>
      </c>
      <c r="AK21" t="s">
        <v>4214</v>
      </c>
      <c r="AL21" t="s">
        <v>4215</v>
      </c>
      <c r="AM21">
        <v>12</v>
      </c>
      <c r="AN21">
        <v>2</v>
      </c>
      <c r="AO21" t="s">
        <v>3897</v>
      </c>
      <c r="AP21">
        <v>10</v>
      </c>
      <c r="AQ21">
        <v>90</v>
      </c>
      <c r="AR21">
        <v>3</v>
      </c>
      <c r="AS21" t="s">
        <v>3911</v>
      </c>
      <c r="AT21">
        <v>180</v>
      </c>
      <c r="AU21">
        <v>5</v>
      </c>
      <c r="AV21" t="s">
        <v>5931</v>
      </c>
      <c r="AW21" t="s">
        <v>5986</v>
      </c>
      <c r="AX21" t="s">
        <v>56</v>
      </c>
      <c r="AY21">
        <v>2</v>
      </c>
      <c r="AZ21" t="s">
        <v>4776</v>
      </c>
    </row>
    <row r="22" spans="1:52" x14ac:dyDescent="0.25">
      <c r="A22" t="str">
        <f>"20200125161017027891"</f>
        <v>20200125161017027891</v>
      </c>
      <c r="B22">
        <v>1</v>
      </c>
      <c r="C22">
        <v>2</v>
      </c>
      <c r="D22" t="s">
        <v>5776</v>
      </c>
      <c r="E22" t="s">
        <v>56</v>
      </c>
      <c r="F22" t="s">
        <v>1627</v>
      </c>
      <c r="G22" t="s">
        <v>56</v>
      </c>
      <c r="H22" t="s">
        <v>56</v>
      </c>
      <c r="I22" t="s">
        <v>56</v>
      </c>
      <c r="J22" t="s">
        <v>56</v>
      </c>
      <c r="K22" t="s">
        <v>56</v>
      </c>
      <c r="L22" t="s">
        <v>56</v>
      </c>
      <c r="M22" t="s">
        <v>56</v>
      </c>
      <c r="N22" t="s">
        <v>56</v>
      </c>
      <c r="O22" t="s">
        <v>56</v>
      </c>
      <c r="P22" t="s">
        <v>56</v>
      </c>
      <c r="Q22" t="s">
        <v>5928</v>
      </c>
      <c r="R22" t="s">
        <v>56</v>
      </c>
      <c r="S22" t="s">
        <v>5928</v>
      </c>
      <c r="T22" t="s">
        <v>56</v>
      </c>
      <c r="U22" t="s">
        <v>5928</v>
      </c>
      <c r="V22" t="s">
        <v>56</v>
      </c>
      <c r="W22" t="s">
        <v>5928</v>
      </c>
      <c r="X22" t="s">
        <v>56</v>
      </c>
      <c r="Y22" t="s">
        <v>5928</v>
      </c>
      <c r="Z22">
        <v>1504</v>
      </c>
      <c r="AA22" t="s">
        <v>5929</v>
      </c>
      <c r="AB22">
        <v>150413</v>
      </c>
      <c r="AC22" t="s">
        <v>5930</v>
      </c>
      <c r="AD22">
        <v>3</v>
      </c>
      <c r="AE22" t="s">
        <v>5934</v>
      </c>
      <c r="AF22">
        <v>2</v>
      </c>
      <c r="AG22" t="s">
        <v>5963</v>
      </c>
      <c r="AH22" t="s">
        <v>5987</v>
      </c>
      <c r="AI22">
        <v>3</v>
      </c>
      <c r="AJ22" t="s">
        <v>4026</v>
      </c>
      <c r="AK22" t="s">
        <v>4027</v>
      </c>
      <c r="AL22" t="s">
        <v>4028</v>
      </c>
      <c r="AM22">
        <v>24</v>
      </c>
      <c r="AN22">
        <v>2</v>
      </c>
      <c r="AO22" t="s">
        <v>3897</v>
      </c>
      <c r="AP22">
        <v>3</v>
      </c>
      <c r="AQ22">
        <v>3</v>
      </c>
      <c r="AR22">
        <v>3</v>
      </c>
      <c r="AS22" t="s">
        <v>3911</v>
      </c>
      <c r="AT22">
        <v>9</v>
      </c>
      <c r="AU22">
        <v>3</v>
      </c>
      <c r="AV22" t="s">
        <v>5934</v>
      </c>
      <c r="AW22" t="s">
        <v>5988</v>
      </c>
      <c r="AX22" t="s">
        <v>56</v>
      </c>
      <c r="AY22">
        <v>1</v>
      </c>
      <c r="AZ22" t="s">
        <v>3902</v>
      </c>
    </row>
    <row r="23" spans="1:52" x14ac:dyDescent="0.25">
      <c r="A23" t="str">
        <f>"20200125171017029512"</f>
        <v>20200125171017029512</v>
      </c>
      <c r="B23">
        <v>1</v>
      </c>
      <c r="C23">
        <v>2</v>
      </c>
      <c r="D23" t="s">
        <v>5776</v>
      </c>
      <c r="E23" t="s">
        <v>56</v>
      </c>
      <c r="F23" t="s">
        <v>1627</v>
      </c>
      <c r="G23" t="s">
        <v>56</v>
      </c>
      <c r="H23" t="s">
        <v>56</v>
      </c>
      <c r="I23" t="s">
        <v>56</v>
      </c>
      <c r="J23" t="s">
        <v>56</v>
      </c>
      <c r="K23" t="s">
        <v>56</v>
      </c>
      <c r="L23" t="s">
        <v>56</v>
      </c>
      <c r="M23" t="s">
        <v>56</v>
      </c>
      <c r="N23" t="s">
        <v>56</v>
      </c>
      <c r="O23" t="s">
        <v>56</v>
      </c>
      <c r="P23">
        <v>0</v>
      </c>
      <c r="Q23" t="s">
        <v>5989</v>
      </c>
      <c r="R23">
        <v>0</v>
      </c>
      <c r="S23" t="s">
        <v>5989</v>
      </c>
      <c r="T23">
        <v>0</v>
      </c>
      <c r="U23" t="s">
        <v>5989</v>
      </c>
      <c r="V23">
        <v>0</v>
      </c>
      <c r="W23" t="s">
        <v>5989</v>
      </c>
      <c r="X23" t="s">
        <v>56</v>
      </c>
      <c r="Y23" t="s">
        <v>5928</v>
      </c>
      <c r="Z23">
        <v>1504</v>
      </c>
      <c r="AA23" t="s">
        <v>5929</v>
      </c>
      <c r="AB23">
        <v>150411</v>
      </c>
      <c r="AC23" t="s">
        <v>5990</v>
      </c>
      <c r="AD23">
        <v>5</v>
      </c>
      <c r="AE23" t="s">
        <v>5931</v>
      </c>
      <c r="AF23">
        <v>1</v>
      </c>
      <c r="AG23" t="s">
        <v>5932</v>
      </c>
      <c r="AH23" t="s">
        <v>5991</v>
      </c>
      <c r="AI23">
        <v>109</v>
      </c>
      <c r="AJ23" t="s">
        <v>3929</v>
      </c>
      <c r="AK23" t="s">
        <v>3930</v>
      </c>
      <c r="AL23" t="s">
        <v>3931</v>
      </c>
      <c r="AM23">
        <v>12</v>
      </c>
      <c r="AN23">
        <v>2</v>
      </c>
      <c r="AO23" t="s">
        <v>3897</v>
      </c>
      <c r="AP23">
        <v>10</v>
      </c>
      <c r="AQ23">
        <v>3</v>
      </c>
      <c r="AR23">
        <v>5</v>
      </c>
      <c r="AS23" t="s">
        <v>3899</v>
      </c>
      <c r="AT23">
        <v>30</v>
      </c>
      <c r="AU23">
        <v>5</v>
      </c>
      <c r="AV23" t="s">
        <v>5931</v>
      </c>
      <c r="AW23" t="s">
        <v>5992</v>
      </c>
      <c r="AX23" t="s">
        <v>56</v>
      </c>
      <c r="AY23">
        <v>3</v>
      </c>
      <c r="AZ23" t="s">
        <v>5993</v>
      </c>
    </row>
    <row r="24" spans="1:52" x14ac:dyDescent="0.25">
      <c r="A24" t="str">
        <f>"20200125113017029546"</f>
        <v>20200125113017029546</v>
      </c>
      <c r="B24">
        <v>1</v>
      </c>
      <c r="C24">
        <v>2</v>
      </c>
      <c r="D24" t="s">
        <v>5776</v>
      </c>
      <c r="E24" t="s">
        <v>56</v>
      </c>
      <c r="F24" t="s">
        <v>1627</v>
      </c>
      <c r="G24" t="s">
        <v>56</v>
      </c>
      <c r="H24" t="s">
        <v>56</v>
      </c>
      <c r="I24" t="s">
        <v>56</v>
      </c>
      <c r="J24" t="s">
        <v>56</v>
      </c>
      <c r="K24" t="s">
        <v>56</v>
      </c>
      <c r="L24" t="s">
        <v>56</v>
      </c>
      <c r="M24" t="s">
        <v>56</v>
      </c>
      <c r="N24" t="s">
        <v>56</v>
      </c>
      <c r="O24" t="s">
        <v>56</v>
      </c>
      <c r="P24" t="s">
        <v>56</v>
      </c>
      <c r="Q24" t="s">
        <v>5928</v>
      </c>
      <c r="R24" t="s">
        <v>56</v>
      </c>
      <c r="S24" t="s">
        <v>5928</v>
      </c>
      <c r="T24" t="s">
        <v>56</v>
      </c>
      <c r="U24" t="s">
        <v>5928</v>
      </c>
      <c r="V24" t="s">
        <v>56</v>
      </c>
      <c r="W24" t="s">
        <v>5928</v>
      </c>
      <c r="X24" t="s">
        <v>56</v>
      </c>
      <c r="Y24" t="s">
        <v>5928</v>
      </c>
      <c r="Z24">
        <v>1503</v>
      </c>
      <c r="AA24" t="s">
        <v>5994</v>
      </c>
      <c r="AB24">
        <v>150301</v>
      </c>
      <c r="AC24" t="s">
        <v>5995</v>
      </c>
      <c r="AD24">
        <v>3</v>
      </c>
      <c r="AE24" t="s">
        <v>5934</v>
      </c>
      <c r="AF24">
        <v>1</v>
      </c>
      <c r="AG24" t="s">
        <v>5932</v>
      </c>
      <c r="AH24" t="s">
        <v>5996</v>
      </c>
      <c r="AI24">
        <v>1</v>
      </c>
      <c r="AJ24" t="s">
        <v>4026</v>
      </c>
      <c r="AK24" t="s">
        <v>4027</v>
      </c>
      <c r="AL24" t="s">
        <v>4028</v>
      </c>
      <c r="AM24">
        <v>12</v>
      </c>
      <c r="AN24">
        <v>2</v>
      </c>
      <c r="AO24" t="s">
        <v>3897</v>
      </c>
      <c r="AP24">
        <v>10</v>
      </c>
      <c r="AQ24">
        <v>30</v>
      </c>
      <c r="AR24">
        <v>3</v>
      </c>
      <c r="AS24" t="s">
        <v>3911</v>
      </c>
      <c r="AT24">
        <v>60</v>
      </c>
      <c r="AU24">
        <v>3</v>
      </c>
      <c r="AV24" t="s">
        <v>5934</v>
      </c>
      <c r="AW24" t="s">
        <v>5997</v>
      </c>
      <c r="AX24" t="s">
        <v>56</v>
      </c>
      <c r="AY24">
        <v>1</v>
      </c>
      <c r="AZ24" t="s">
        <v>3902</v>
      </c>
    </row>
    <row r="25" spans="1:52" x14ac:dyDescent="0.25">
      <c r="A25" t="str">
        <f>"20200125192017031390"</f>
        <v>20200125192017031390</v>
      </c>
      <c r="B25">
        <v>1</v>
      </c>
      <c r="C25">
        <v>1</v>
      </c>
      <c r="D25" t="s">
        <v>5751</v>
      </c>
      <c r="E25" t="s">
        <v>56</v>
      </c>
      <c r="F25" t="s">
        <v>1627</v>
      </c>
      <c r="G25" t="s">
        <v>56</v>
      </c>
      <c r="H25" t="s">
        <v>56</v>
      </c>
      <c r="I25" t="s">
        <v>56</v>
      </c>
      <c r="J25" t="s">
        <v>56</v>
      </c>
      <c r="K25" t="s">
        <v>56</v>
      </c>
      <c r="L25" t="s">
        <v>56</v>
      </c>
      <c r="M25" t="s">
        <v>56</v>
      </c>
      <c r="N25" t="s">
        <v>56</v>
      </c>
      <c r="O25" t="s">
        <v>56</v>
      </c>
      <c r="P25" t="s">
        <v>56</v>
      </c>
      <c r="Q25" t="s">
        <v>5928</v>
      </c>
      <c r="R25" t="s">
        <v>56</v>
      </c>
      <c r="S25" t="s">
        <v>5928</v>
      </c>
      <c r="T25" t="s">
        <v>56</v>
      </c>
      <c r="U25" t="s">
        <v>5928</v>
      </c>
      <c r="V25" t="s">
        <v>56</v>
      </c>
      <c r="W25" t="s">
        <v>5928</v>
      </c>
      <c r="X25" t="s">
        <v>56</v>
      </c>
      <c r="Y25" t="s">
        <v>5928</v>
      </c>
      <c r="Z25">
        <v>1410</v>
      </c>
      <c r="AA25" t="s">
        <v>5961</v>
      </c>
      <c r="AB25">
        <v>141001</v>
      </c>
      <c r="AC25" t="s">
        <v>5962</v>
      </c>
      <c r="AD25">
        <v>5</v>
      </c>
      <c r="AE25" t="s">
        <v>5931</v>
      </c>
      <c r="AF25">
        <v>1</v>
      </c>
      <c r="AG25" t="s">
        <v>5932</v>
      </c>
      <c r="AH25" t="s">
        <v>5998</v>
      </c>
      <c r="AI25">
        <v>237</v>
      </c>
      <c r="AJ25" t="s">
        <v>4213</v>
      </c>
      <c r="AK25" t="s">
        <v>4214</v>
      </c>
      <c r="AL25" t="s">
        <v>4215</v>
      </c>
      <c r="AM25">
        <v>8</v>
      </c>
      <c r="AN25">
        <v>2</v>
      </c>
      <c r="AO25" t="s">
        <v>3897</v>
      </c>
      <c r="AP25">
        <v>10</v>
      </c>
      <c r="AQ25">
        <v>10</v>
      </c>
      <c r="AR25">
        <v>3</v>
      </c>
      <c r="AS25" t="s">
        <v>3911</v>
      </c>
      <c r="AT25">
        <v>30</v>
      </c>
      <c r="AU25">
        <v>5</v>
      </c>
      <c r="AV25" t="s">
        <v>5931</v>
      </c>
      <c r="AW25" t="s">
        <v>5999</v>
      </c>
      <c r="AX25" t="s">
        <v>56</v>
      </c>
      <c r="AY25">
        <v>1</v>
      </c>
      <c r="AZ25" t="s">
        <v>3902</v>
      </c>
    </row>
    <row r="26" spans="1:52" x14ac:dyDescent="0.25">
      <c r="A26" t="str">
        <f>"20200125186017031569"</f>
        <v>20200125186017031569</v>
      </c>
      <c r="B26">
        <v>1</v>
      </c>
      <c r="C26">
        <v>2</v>
      </c>
      <c r="D26" t="s">
        <v>5776</v>
      </c>
      <c r="E26" t="s">
        <v>56</v>
      </c>
      <c r="F26" t="s">
        <v>1627</v>
      </c>
      <c r="G26" t="s">
        <v>56</v>
      </c>
      <c r="H26" t="s">
        <v>56</v>
      </c>
      <c r="I26" t="s">
        <v>56</v>
      </c>
      <c r="J26" t="s">
        <v>56</v>
      </c>
      <c r="K26" t="s">
        <v>56</v>
      </c>
      <c r="L26" t="s">
        <v>56</v>
      </c>
      <c r="M26" t="s">
        <v>56</v>
      </c>
      <c r="N26" t="s">
        <v>56</v>
      </c>
      <c r="O26" t="s">
        <v>56</v>
      </c>
      <c r="P26" t="s">
        <v>56</v>
      </c>
      <c r="Q26" t="s">
        <v>5928</v>
      </c>
      <c r="R26" t="s">
        <v>56</v>
      </c>
      <c r="S26" t="s">
        <v>5928</v>
      </c>
      <c r="T26" t="s">
        <v>56</v>
      </c>
      <c r="U26" t="s">
        <v>5928</v>
      </c>
      <c r="V26" t="s">
        <v>56</v>
      </c>
      <c r="W26" t="s">
        <v>5928</v>
      </c>
      <c r="X26" t="s">
        <v>56</v>
      </c>
      <c r="Y26" t="s">
        <v>5928</v>
      </c>
      <c r="Z26">
        <v>1501</v>
      </c>
      <c r="AA26" t="s">
        <v>5949</v>
      </c>
      <c r="AB26">
        <v>150101</v>
      </c>
      <c r="AC26" t="s">
        <v>5950</v>
      </c>
      <c r="AD26">
        <v>3</v>
      </c>
      <c r="AE26" t="s">
        <v>5934</v>
      </c>
      <c r="AF26">
        <v>2</v>
      </c>
      <c r="AG26" t="s">
        <v>5963</v>
      </c>
      <c r="AH26" t="s">
        <v>6000</v>
      </c>
      <c r="AI26">
        <v>5</v>
      </c>
      <c r="AJ26" t="s">
        <v>4026</v>
      </c>
      <c r="AK26" t="s">
        <v>4027</v>
      </c>
      <c r="AL26" t="s">
        <v>4028</v>
      </c>
      <c r="AM26">
        <v>24</v>
      </c>
      <c r="AN26">
        <v>2</v>
      </c>
      <c r="AO26" t="s">
        <v>3897</v>
      </c>
      <c r="AP26">
        <v>3</v>
      </c>
      <c r="AQ26">
        <v>30</v>
      </c>
      <c r="AR26">
        <v>3</v>
      </c>
      <c r="AS26" t="s">
        <v>3911</v>
      </c>
      <c r="AT26">
        <v>150</v>
      </c>
      <c r="AU26">
        <v>3</v>
      </c>
      <c r="AV26" t="s">
        <v>5934</v>
      </c>
      <c r="AW26" t="s">
        <v>6001</v>
      </c>
      <c r="AX26" t="s">
        <v>56</v>
      </c>
      <c r="AY26">
        <v>1</v>
      </c>
      <c r="AZ26" t="s">
        <v>3902</v>
      </c>
    </row>
    <row r="27" spans="1:52" x14ac:dyDescent="0.25">
      <c r="A27" t="str">
        <f>"20200125190017032513"</f>
        <v>20200125190017032513</v>
      </c>
      <c r="B27">
        <v>1</v>
      </c>
      <c r="C27">
        <v>2</v>
      </c>
      <c r="D27" t="s">
        <v>5776</v>
      </c>
      <c r="E27" t="s">
        <v>56</v>
      </c>
      <c r="F27" t="s">
        <v>1627</v>
      </c>
      <c r="G27" t="s">
        <v>56</v>
      </c>
      <c r="H27" t="s">
        <v>56</v>
      </c>
      <c r="I27" t="s">
        <v>56</v>
      </c>
      <c r="J27" t="s">
        <v>56</v>
      </c>
      <c r="K27" t="s">
        <v>56</v>
      </c>
      <c r="L27" t="s">
        <v>56</v>
      </c>
      <c r="M27" t="s">
        <v>56</v>
      </c>
      <c r="N27" t="s">
        <v>56</v>
      </c>
      <c r="O27" t="s">
        <v>56</v>
      </c>
      <c r="P27" t="s">
        <v>56</v>
      </c>
      <c r="Q27" t="s">
        <v>5928</v>
      </c>
      <c r="R27" t="s">
        <v>56</v>
      </c>
      <c r="S27" t="s">
        <v>5928</v>
      </c>
      <c r="T27" t="s">
        <v>56</v>
      </c>
      <c r="U27" t="s">
        <v>5928</v>
      </c>
      <c r="V27" t="s">
        <v>56</v>
      </c>
      <c r="W27" t="s">
        <v>5928</v>
      </c>
      <c r="X27" t="s">
        <v>56</v>
      </c>
      <c r="Y27" t="s">
        <v>5928</v>
      </c>
      <c r="Z27">
        <v>1503</v>
      </c>
      <c r="AA27" t="s">
        <v>5994</v>
      </c>
      <c r="AB27">
        <v>150301</v>
      </c>
      <c r="AC27" t="s">
        <v>5995</v>
      </c>
      <c r="AD27">
        <v>3</v>
      </c>
      <c r="AE27" t="s">
        <v>5934</v>
      </c>
      <c r="AF27">
        <v>2</v>
      </c>
      <c r="AG27" t="s">
        <v>5963</v>
      </c>
      <c r="AH27" t="s">
        <v>6002</v>
      </c>
      <c r="AI27">
        <v>1</v>
      </c>
      <c r="AJ27" t="s">
        <v>4026</v>
      </c>
      <c r="AK27" t="s">
        <v>4027</v>
      </c>
      <c r="AL27" t="s">
        <v>4028</v>
      </c>
      <c r="AM27">
        <v>6</v>
      </c>
      <c r="AN27">
        <v>2</v>
      </c>
      <c r="AO27" t="s">
        <v>3897</v>
      </c>
      <c r="AP27">
        <v>10</v>
      </c>
      <c r="AQ27">
        <v>30</v>
      </c>
      <c r="AR27">
        <v>3</v>
      </c>
      <c r="AS27" t="s">
        <v>3911</v>
      </c>
      <c r="AT27">
        <v>120</v>
      </c>
      <c r="AU27">
        <v>3</v>
      </c>
      <c r="AV27" t="s">
        <v>5934</v>
      </c>
      <c r="AW27" t="s">
        <v>6003</v>
      </c>
      <c r="AX27" t="s">
        <v>56</v>
      </c>
      <c r="AY27">
        <v>1</v>
      </c>
      <c r="AZ27" t="s">
        <v>3902</v>
      </c>
    </row>
    <row r="28" spans="1:52" x14ac:dyDescent="0.25">
      <c r="A28" t="str">
        <f>"20200125117017032997"</f>
        <v>20200125117017032997</v>
      </c>
      <c r="B28">
        <v>1</v>
      </c>
      <c r="C28">
        <v>2</v>
      </c>
      <c r="D28" t="s">
        <v>5776</v>
      </c>
      <c r="E28" t="s">
        <v>56</v>
      </c>
      <c r="F28" t="s">
        <v>1627</v>
      </c>
      <c r="G28" t="s">
        <v>56</v>
      </c>
      <c r="H28" t="s">
        <v>56</v>
      </c>
      <c r="I28" t="s">
        <v>56</v>
      </c>
      <c r="J28" t="s">
        <v>56</v>
      </c>
      <c r="K28" t="s">
        <v>56</v>
      </c>
      <c r="L28" t="s">
        <v>56</v>
      </c>
      <c r="M28" t="s">
        <v>56</v>
      </c>
      <c r="N28" t="s">
        <v>56</v>
      </c>
      <c r="O28" t="s">
        <v>56</v>
      </c>
      <c r="P28" t="s">
        <v>56</v>
      </c>
      <c r="Q28" t="s">
        <v>5928</v>
      </c>
      <c r="R28" t="s">
        <v>56</v>
      </c>
      <c r="S28" t="s">
        <v>5928</v>
      </c>
      <c r="T28" t="s">
        <v>56</v>
      </c>
      <c r="U28" t="s">
        <v>5928</v>
      </c>
      <c r="V28" t="s">
        <v>56</v>
      </c>
      <c r="W28" t="s">
        <v>5928</v>
      </c>
      <c r="X28" t="s">
        <v>56</v>
      </c>
      <c r="Y28" t="s">
        <v>5928</v>
      </c>
      <c r="Z28">
        <v>1201</v>
      </c>
      <c r="AA28" t="s">
        <v>6004</v>
      </c>
      <c r="AB28">
        <v>120101</v>
      </c>
      <c r="AC28" t="s">
        <v>6005</v>
      </c>
      <c r="AD28">
        <v>9</v>
      </c>
      <c r="AE28" t="s">
        <v>5946</v>
      </c>
      <c r="AF28">
        <v>1</v>
      </c>
      <c r="AG28" t="s">
        <v>5932</v>
      </c>
      <c r="AH28" t="s">
        <v>6006</v>
      </c>
      <c r="AI28">
        <v>1</v>
      </c>
      <c r="AJ28" t="s">
        <v>4026</v>
      </c>
      <c r="AK28" t="s">
        <v>4027</v>
      </c>
      <c r="AL28" t="s">
        <v>4028</v>
      </c>
      <c r="AM28">
        <v>12</v>
      </c>
      <c r="AN28">
        <v>2</v>
      </c>
      <c r="AO28" t="s">
        <v>3897</v>
      </c>
      <c r="AP28">
        <v>3</v>
      </c>
      <c r="AQ28">
        <v>30</v>
      </c>
      <c r="AR28">
        <v>3</v>
      </c>
      <c r="AS28" t="s">
        <v>3911</v>
      </c>
      <c r="AT28">
        <v>60</v>
      </c>
      <c r="AU28">
        <v>9</v>
      </c>
      <c r="AV28" t="s">
        <v>5946</v>
      </c>
      <c r="AW28" t="s">
        <v>6007</v>
      </c>
      <c r="AX28" t="s">
        <v>56</v>
      </c>
      <c r="AY28">
        <v>1</v>
      </c>
      <c r="AZ28" t="s">
        <v>3902</v>
      </c>
    </row>
    <row r="29" spans="1:52" x14ac:dyDescent="0.25">
      <c r="A29" t="str">
        <f>"20200125131017033065"</f>
        <v>20200125131017033065</v>
      </c>
      <c r="B29">
        <v>1</v>
      </c>
      <c r="C29">
        <v>2</v>
      </c>
      <c r="D29" t="s">
        <v>5776</v>
      </c>
      <c r="E29" t="s">
        <v>56</v>
      </c>
      <c r="F29" t="s">
        <v>1627</v>
      </c>
      <c r="G29" t="s">
        <v>56</v>
      </c>
      <c r="H29" t="s">
        <v>56</v>
      </c>
      <c r="I29" t="s">
        <v>56</v>
      </c>
      <c r="J29" t="s">
        <v>56</v>
      </c>
      <c r="K29" t="s">
        <v>56</v>
      </c>
      <c r="L29" t="s">
        <v>56</v>
      </c>
      <c r="M29" t="s">
        <v>56</v>
      </c>
      <c r="N29" t="s">
        <v>56</v>
      </c>
      <c r="O29" t="s">
        <v>56</v>
      </c>
      <c r="P29" t="s">
        <v>56</v>
      </c>
      <c r="Q29" t="s">
        <v>5928</v>
      </c>
      <c r="R29" t="s">
        <v>56</v>
      </c>
      <c r="S29" t="s">
        <v>5928</v>
      </c>
      <c r="T29" t="s">
        <v>56</v>
      </c>
      <c r="U29" t="s">
        <v>5928</v>
      </c>
      <c r="V29" t="s">
        <v>56</v>
      </c>
      <c r="W29" t="s">
        <v>5928</v>
      </c>
      <c r="X29" t="s">
        <v>56</v>
      </c>
      <c r="Y29" t="s">
        <v>5928</v>
      </c>
      <c r="Z29">
        <v>1503</v>
      </c>
      <c r="AA29" t="s">
        <v>5994</v>
      </c>
      <c r="AB29">
        <v>150316</v>
      </c>
      <c r="AC29" t="s">
        <v>6008</v>
      </c>
      <c r="AD29">
        <v>5</v>
      </c>
      <c r="AE29" t="s">
        <v>5931</v>
      </c>
      <c r="AF29">
        <v>1</v>
      </c>
      <c r="AG29" t="s">
        <v>5932</v>
      </c>
      <c r="AH29" t="s">
        <v>6009</v>
      </c>
      <c r="AI29">
        <v>150</v>
      </c>
      <c r="AJ29" t="s">
        <v>3929</v>
      </c>
      <c r="AK29" t="s">
        <v>3930</v>
      </c>
      <c r="AL29" t="s">
        <v>3931</v>
      </c>
      <c r="AM29">
        <v>24</v>
      </c>
      <c r="AN29">
        <v>2</v>
      </c>
      <c r="AO29" t="s">
        <v>3897</v>
      </c>
      <c r="AP29">
        <v>10</v>
      </c>
      <c r="AQ29">
        <v>3</v>
      </c>
      <c r="AR29">
        <v>5</v>
      </c>
      <c r="AS29" t="s">
        <v>3899</v>
      </c>
      <c r="AT29">
        <v>45</v>
      </c>
      <c r="AU29">
        <v>5</v>
      </c>
      <c r="AV29" t="s">
        <v>5931</v>
      </c>
      <c r="AW29" t="s">
        <v>6010</v>
      </c>
      <c r="AX29" t="s">
        <v>56</v>
      </c>
      <c r="AY29">
        <v>3</v>
      </c>
      <c r="AZ29" t="s">
        <v>5993</v>
      </c>
    </row>
    <row r="30" spans="1:52" x14ac:dyDescent="0.25">
      <c r="A30" t="str">
        <f>"20200125124017033162"</f>
        <v>20200125124017033162</v>
      </c>
      <c r="B30">
        <v>1</v>
      </c>
      <c r="C30">
        <v>1</v>
      </c>
      <c r="D30" t="s">
        <v>5751</v>
      </c>
      <c r="E30" t="s">
        <v>56</v>
      </c>
      <c r="F30" t="s">
        <v>1627</v>
      </c>
      <c r="G30" t="s">
        <v>56</v>
      </c>
      <c r="H30" t="s">
        <v>56</v>
      </c>
      <c r="I30" t="s">
        <v>56</v>
      </c>
      <c r="J30" t="s">
        <v>56</v>
      </c>
      <c r="K30" t="s">
        <v>56</v>
      </c>
      <c r="L30" t="s">
        <v>56</v>
      </c>
      <c r="M30" t="s">
        <v>56</v>
      </c>
      <c r="N30" t="s">
        <v>56</v>
      </c>
      <c r="O30" t="s">
        <v>56</v>
      </c>
      <c r="P30" t="s">
        <v>56</v>
      </c>
      <c r="Q30" t="s">
        <v>5928</v>
      </c>
      <c r="R30" t="s">
        <v>56</v>
      </c>
      <c r="S30" t="s">
        <v>5928</v>
      </c>
      <c r="T30" t="s">
        <v>56</v>
      </c>
      <c r="U30" t="s">
        <v>5928</v>
      </c>
      <c r="V30" t="s">
        <v>56</v>
      </c>
      <c r="W30" t="s">
        <v>5928</v>
      </c>
      <c r="X30" t="s">
        <v>56</v>
      </c>
      <c r="Y30" t="s">
        <v>5928</v>
      </c>
      <c r="Z30">
        <v>1410</v>
      </c>
      <c r="AA30" t="s">
        <v>5961</v>
      </c>
      <c r="AB30">
        <v>141001</v>
      </c>
      <c r="AC30" t="s">
        <v>5962</v>
      </c>
      <c r="AD30">
        <v>5</v>
      </c>
      <c r="AE30" t="s">
        <v>5931</v>
      </c>
      <c r="AF30">
        <v>1</v>
      </c>
      <c r="AG30" t="s">
        <v>5932</v>
      </c>
      <c r="AH30" t="s">
        <v>6011</v>
      </c>
      <c r="AI30">
        <v>1</v>
      </c>
      <c r="AJ30" t="s">
        <v>4026</v>
      </c>
      <c r="AK30" t="s">
        <v>4027</v>
      </c>
      <c r="AL30" t="s">
        <v>4028</v>
      </c>
      <c r="AM30">
        <v>8</v>
      </c>
      <c r="AN30">
        <v>2</v>
      </c>
      <c r="AO30" t="s">
        <v>3897</v>
      </c>
      <c r="AP30">
        <v>10</v>
      </c>
      <c r="AQ30">
        <v>10</v>
      </c>
      <c r="AR30">
        <v>3</v>
      </c>
      <c r="AS30" t="s">
        <v>3911</v>
      </c>
      <c r="AT30">
        <v>30</v>
      </c>
      <c r="AU30">
        <v>5</v>
      </c>
      <c r="AV30" t="s">
        <v>5931</v>
      </c>
      <c r="AW30" t="s">
        <v>6012</v>
      </c>
      <c r="AX30" t="s">
        <v>56</v>
      </c>
      <c r="AY30">
        <v>1</v>
      </c>
      <c r="AZ30" t="s">
        <v>3902</v>
      </c>
    </row>
    <row r="31" spans="1:52" x14ac:dyDescent="0.25">
      <c r="A31" t="str">
        <f>"20200125192017033378"</f>
        <v>20200125192017033378</v>
      </c>
      <c r="B31">
        <v>1</v>
      </c>
      <c r="C31">
        <v>2</v>
      </c>
      <c r="D31" t="s">
        <v>5776</v>
      </c>
      <c r="E31" t="s">
        <v>56</v>
      </c>
      <c r="F31" t="s">
        <v>1627</v>
      </c>
      <c r="G31" t="s">
        <v>56</v>
      </c>
      <c r="H31" t="s">
        <v>56</v>
      </c>
      <c r="I31" t="s">
        <v>56</v>
      </c>
      <c r="J31" t="s">
        <v>56</v>
      </c>
      <c r="K31" t="s">
        <v>56</v>
      </c>
      <c r="L31" t="s">
        <v>56</v>
      </c>
      <c r="M31" t="s">
        <v>56</v>
      </c>
      <c r="N31" t="s">
        <v>56</v>
      </c>
      <c r="O31" t="s">
        <v>56</v>
      </c>
      <c r="P31" t="s">
        <v>56</v>
      </c>
      <c r="Q31" t="s">
        <v>5928</v>
      </c>
      <c r="R31" t="s">
        <v>56</v>
      </c>
      <c r="S31" t="s">
        <v>5928</v>
      </c>
      <c r="T31" t="s">
        <v>56</v>
      </c>
      <c r="U31" t="s">
        <v>5928</v>
      </c>
      <c r="V31" t="s">
        <v>56</v>
      </c>
      <c r="W31" t="s">
        <v>5928</v>
      </c>
      <c r="X31">
        <v>1</v>
      </c>
      <c r="Y31" t="s">
        <v>5941</v>
      </c>
      <c r="Z31">
        <v>1404</v>
      </c>
      <c r="AA31" t="s">
        <v>5944</v>
      </c>
      <c r="AB31">
        <v>140402</v>
      </c>
      <c r="AC31" t="s">
        <v>5945</v>
      </c>
      <c r="AD31">
        <v>9</v>
      </c>
      <c r="AE31" t="s">
        <v>5946</v>
      </c>
      <c r="AF31">
        <v>1</v>
      </c>
      <c r="AG31" t="s">
        <v>5932</v>
      </c>
      <c r="AH31" t="s">
        <v>6013</v>
      </c>
      <c r="AI31">
        <v>92</v>
      </c>
      <c r="AJ31" t="s">
        <v>3929</v>
      </c>
      <c r="AK31" t="s">
        <v>3930</v>
      </c>
      <c r="AL31" t="s">
        <v>3931</v>
      </c>
      <c r="AM31">
        <v>24</v>
      </c>
      <c r="AN31">
        <v>2</v>
      </c>
      <c r="AO31" t="s">
        <v>3897</v>
      </c>
      <c r="AP31">
        <v>10</v>
      </c>
      <c r="AQ31">
        <v>3</v>
      </c>
      <c r="AR31">
        <v>5</v>
      </c>
      <c r="AS31" t="s">
        <v>3899</v>
      </c>
      <c r="AT31">
        <v>90</v>
      </c>
      <c r="AU31">
        <v>9</v>
      </c>
      <c r="AV31" t="s">
        <v>5946</v>
      </c>
      <c r="AW31" t="s">
        <v>6014</v>
      </c>
      <c r="AX31" t="s">
        <v>56</v>
      </c>
      <c r="AY31">
        <v>1</v>
      </c>
      <c r="AZ31" t="s">
        <v>3902</v>
      </c>
    </row>
    <row r="32" spans="1:52" x14ac:dyDescent="0.25">
      <c r="A32" t="str">
        <f>"20200125119017034461"</f>
        <v>20200125119017034461</v>
      </c>
      <c r="B32">
        <v>1</v>
      </c>
      <c r="C32">
        <v>2</v>
      </c>
      <c r="D32" t="s">
        <v>5776</v>
      </c>
      <c r="E32" t="s">
        <v>56</v>
      </c>
      <c r="F32" t="s">
        <v>1627</v>
      </c>
      <c r="G32" t="s">
        <v>56</v>
      </c>
      <c r="H32" t="s">
        <v>56</v>
      </c>
      <c r="I32" t="s">
        <v>56</v>
      </c>
      <c r="J32" t="s">
        <v>56</v>
      </c>
      <c r="K32" t="s">
        <v>56</v>
      </c>
      <c r="L32" t="s">
        <v>56</v>
      </c>
      <c r="M32" t="s">
        <v>56</v>
      </c>
      <c r="N32" t="s">
        <v>56</v>
      </c>
      <c r="O32" t="s">
        <v>56</v>
      </c>
      <c r="P32" t="s">
        <v>56</v>
      </c>
      <c r="Q32" t="s">
        <v>5928</v>
      </c>
      <c r="R32" t="s">
        <v>56</v>
      </c>
      <c r="S32" t="s">
        <v>5928</v>
      </c>
      <c r="T32" t="s">
        <v>56</v>
      </c>
      <c r="U32" t="s">
        <v>5928</v>
      </c>
      <c r="V32" t="s">
        <v>56</v>
      </c>
      <c r="W32" t="s">
        <v>5928</v>
      </c>
      <c r="X32">
        <v>1</v>
      </c>
      <c r="Y32" t="s">
        <v>5941</v>
      </c>
      <c r="Z32">
        <v>1404</v>
      </c>
      <c r="AA32" t="s">
        <v>5944</v>
      </c>
      <c r="AB32">
        <v>140402</v>
      </c>
      <c r="AC32" t="s">
        <v>5945</v>
      </c>
      <c r="AD32">
        <v>9</v>
      </c>
      <c r="AE32" t="s">
        <v>5946</v>
      </c>
      <c r="AF32">
        <v>1</v>
      </c>
      <c r="AG32" t="s">
        <v>5932</v>
      </c>
      <c r="AH32" t="s">
        <v>6015</v>
      </c>
      <c r="AI32">
        <v>92</v>
      </c>
      <c r="AJ32" t="s">
        <v>3929</v>
      </c>
      <c r="AK32" t="s">
        <v>3930</v>
      </c>
      <c r="AL32" t="s">
        <v>3931</v>
      </c>
      <c r="AM32">
        <v>24</v>
      </c>
      <c r="AN32">
        <v>2</v>
      </c>
      <c r="AO32" t="s">
        <v>3897</v>
      </c>
      <c r="AP32">
        <v>10</v>
      </c>
      <c r="AQ32">
        <v>3</v>
      </c>
      <c r="AR32">
        <v>5</v>
      </c>
      <c r="AS32" t="s">
        <v>3899</v>
      </c>
      <c r="AT32">
        <v>90</v>
      </c>
      <c r="AU32">
        <v>9</v>
      </c>
      <c r="AV32" t="s">
        <v>5946</v>
      </c>
      <c r="AW32" t="s">
        <v>6016</v>
      </c>
      <c r="AX32" t="s">
        <v>56</v>
      </c>
      <c r="AY32">
        <v>1</v>
      </c>
      <c r="AZ32" t="s">
        <v>3902</v>
      </c>
    </row>
    <row r="33" spans="1:52" x14ac:dyDescent="0.25">
      <c r="A33" t="str">
        <f>"20200126157017035220"</f>
        <v>20200126157017035220</v>
      </c>
      <c r="B33">
        <v>1</v>
      </c>
      <c r="C33">
        <v>2</v>
      </c>
      <c r="D33" t="s">
        <v>5776</v>
      </c>
      <c r="E33" t="s">
        <v>56</v>
      </c>
      <c r="F33" t="s">
        <v>1627</v>
      </c>
      <c r="G33" t="s">
        <v>56</v>
      </c>
      <c r="H33" t="s">
        <v>56</v>
      </c>
      <c r="I33" t="s">
        <v>56</v>
      </c>
      <c r="J33" t="s">
        <v>56</v>
      </c>
      <c r="K33" t="s">
        <v>56</v>
      </c>
      <c r="L33" t="s">
        <v>56</v>
      </c>
      <c r="M33" t="s">
        <v>56</v>
      </c>
      <c r="N33" t="s">
        <v>56</v>
      </c>
      <c r="O33" t="s">
        <v>56</v>
      </c>
      <c r="P33" t="s">
        <v>56</v>
      </c>
      <c r="Q33" t="s">
        <v>5928</v>
      </c>
      <c r="R33" t="s">
        <v>56</v>
      </c>
      <c r="S33" t="s">
        <v>5928</v>
      </c>
      <c r="T33" t="s">
        <v>56</v>
      </c>
      <c r="U33" t="s">
        <v>5928</v>
      </c>
      <c r="V33" t="s">
        <v>56</v>
      </c>
      <c r="W33" t="s">
        <v>5928</v>
      </c>
      <c r="X33" t="s">
        <v>56</v>
      </c>
      <c r="Y33" t="s">
        <v>5928</v>
      </c>
      <c r="Z33">
        <v>1701</v>
      </c>
      <c r="AA33" t="s">
        <v>5966</v>
      </c>
      <c r="AB33">
        <v>170147</v>
      </c>
      <c r="AC33" t="s">
        <v>6017</v>
      </c>
      <c r="AD33">
        <v>3</v>
      </c>
      <c r="AE33" t="s">
        <v>5934</v>
      </c>
      <c r="AF33">
        <v>1</v>
      </c>
      <c r="AG33" t="s">
        <v>5932</v>
      </c>
      <c r="AH33" t="s">
        <v>6018</v>
      </c>
      <c r="AI33">
        <v>237</v>
      </c>
      <c r="AJ33" t="s">
        <v>4213</v>
      </c>
      <c r="AK33" t="s">
        <v>4214</v>
      </c>
      <c r="AL33" t="s">
        <v>4215</v>
      </c>
      <c r="AM33">
        <v>8</v>
      </c>
      <c r="AN33">
        <v>2</v>
      </c>
      <c r="AO33" t="s">
        <v>3897</v>
      </c>
      <c r="AP33">
        <v>10</v>
      </c>
      <c r="AQ33">
        <v>14</v>
      </c>
      <c r="AR33">
        <v>3</v>
      </c>
      <c r="AS33" t="s">
        <v>3911</v>
      </c>
      <c r="AT33">
        <v>42</v>
      </c>
      <c r="AU33">
        <v>3</v>
      </c>
      <c r="AV33" t="s">
        <v>5934</v>
      </c>
      <c r="AW33" t="s">
        <v>6019</v>
      </c>
      <c r="AX33" t="s">
        <v>56</v>
      </c>
      <c r="AY33">
        <v>1</v>
      </c>
      <c r="AZ33" t="s">
        <v>3902</v>
      </c>
    </row>
    <row r="34" spans="1:52" x14ac:dyDescent="0.25">
      <c r="A34" t="str">
        <f>"20200126189017035761"</f>
        <v>20200126189017035761</v>
      </c>
      <c r="B34">
        <v>1</v>
      </c>
      <c r="C34">
        <v>2</v>
      </c>
      <c r="D34" t="s">
        <v>5776</v>
      </c>
      <c r="E34" t="s">
        <v>56</v>
      </c>
      <c r="F34" t="s">
        <v>1627</v>
      </c>
      <c r="G34" t="s">
        <v>56</v>
      </c>
      <c r="H34" t="s">
        <v>56</v>
      </c>
      <c r="I34" t="s">
        <v>56</v>
      </c>
      <c r="J34" t="s">
        <v>56</v>
      </c>
      <c r="K34" t="s">
        <v>56</v>
      </c>
      <c r="L34" t="s">
        <v>56</v>
      </c>
      <c r="M34" t="s">
        <v>56</v>
      </c>
      <c r="N34" t="s">
        <v>56</v>
      </c>
      <c r="O34" t="s">
        <v>56</v>
      </c>
      <c r="P34" t="s">
        <v>56</v>
      </c>
      <c r="Q34" t="s">
        <v>5928</v>
      </c>
      <c r="R34" t="s">
        <v>56</v>
      </c>
      <c r="S34" t="s">
        <v>5928</v>
      </c>
      <c r="T34" t="s">
        <v>56</v>
      </c>
      <c r="U34" t="s">
        <v>5928</v>
      </c>
      <c r="V34" t="s">
        <v>56</v>
      </c>
      <c r="W34" t="s">
        <v>5928</v>
      </c>
      <c r="X34" t="s">
        <v>56</v>
      </c>
      <c r="Y34" t="s">
        <v>5928</v>
      </c>
      <c r="Z34">
        <v>1102</v>
      </c>
      <c r="AA34" t="s">
        <v>5936</v>
      </c>
      <c r="AB34">
        <v>110202</v>
      </c>
      <c r="AC34" t="s">
        <v>5937</v>
      </c>
      <c r="AD34">
        <v>3</v>
      </c>
      <c r="AE34" t="s">
        <v>5934</v>
      </c>
      <c r="AF34">
        <v>1</v>
      </c>
      <c r="AG34" t="s">
        <v>5932</v>
      </c>
      <c r="AH34" t="s">
        <v>6020</v>
      </c>
      <c r="AI34">
        <v>1</v>
      </c>
      <c r="AJ34">
        <v>9000</v>
      </c>
      <c r="AK34" t="s">
        <v>3956</v>
      </c>
      <c r="AL34" t="s">
        <v>3956</v>
      </c>
      <c r="AM34">
        <v>8</v>
      </c>
      <c r="AN34">
        <v>2</v>
      </c>
      <c r="AO34" t="s">
        <v>3897</v>
      </c>
      <c r="AP34">
        <v>10</v>
      </c>
      <c r="AQ34">
        <v>3</v>
      </c>
      <c r="AR34">
        <v>5</v>
      </c>
      <c r="AS34" t="s">
        <v>3899</v>
      </c>
      <c r="AT34">
        <v>270</v>
      </c>
      <c r="AU34">
        <v>3</v>
      </c>
      <c r="AV34" t="s">
        <v>5934</v>
      </c>
      <c r="AW34" t="s">
        <v>6021</v>
      </c>
      <c r="AX34" t="s">
        <v>56</v>
      </c>
      <c r="AY34">
        <v>2</v>
      </c>
      <c r="AZ34" t="s">
        <v>4776</v>
      </c>
    </row>
    <row r="35" spans="1:52" x14ac:dyDescent="0.25">
      <c r="A35" t="str">
        <f>"20200126149017037427"</f>
        <v>20200126149017037427</v>
      </c>
      <c r="B35">
        <v>1</v>
      </c>
      <c r="C35">
        <v>2</v>
      </c>
      <c r="D35" t="s">
        <v>5776</v>
      </c>
      <c r="E35" t="s">
        <v>56</v>
      </c>
      <c r="F35" t="s">
        <v>1627</v>
      </c>
      <c r="G35" t="s">
        <v>56</v>
      </c>
      <c r="H35" t="s">
        <v>56</v>
      </c>
      <c r="I35" t="s">
        <v>56</v>
      </c>
      <c r="J35" t="s">
        <v>56</v>
      </c>
      <c r="K35" t="s">
        <v>56</v>
      </c>
      <c r="L35" t="s">
        <v>56</v>
      </c>
      <c r="M35" t="s">
        <v>56</v>
      </c>
      <c r="N35" t="s">
        <v>56</v>
      </c>
      <c r="O35" t="s">
        <v>56</v>
      </c>
      <c r="P35" t="s">
        <v>56</v>
      </c>
      <c r="Q35" t="s">
        <v>5928</v>
      </c>
      <c r="R35" t="s">
        <v>56</v>
      </c>
      <c r="S35" t="s">
        <v>5928</v>
      </c>
      <c r="T35" t="s">
        <v>56</v>
      </c>
      <c r="U35" t="s">
        <v>5928</v>
      </c>
      <c r="V35" t="s">
        <v>56</v>
      </c>
      <c r="W35" t="s">
        <v>5928</v>
      </c>
      <c r="X35" t="s">
        <v>56</v>
      </c>
      <c r="Y35" t="s">
        <v>5928</v>
      </c>
      <c r="Z35">
        <v>1504</v>
      </c>
      <c r="AA35" t="s">
        <v>5929</v>
      </c>
      <c r="AB35">
        <v>150413</v>
      </c>
      <c r="AC35" t="s">
        <v>5930</v>
      </c>
      <c r="AD35">
        <v>3</v>
      </c>
      <c r="AE35" t="s">
        <v>5934</v>
      </c>
      <c r="AF35">
        <v>1</v>
      </c>
      <c r="AG35" t="s">
        <v>5932</v>
      </c>
      <c r="AH35" t="s">
        <v>5933</v>
      </c>
      <c r="AI35">
        <v>237</v>
      </c>
      <c r="AJ35" t="s">
        <v>4213</v>
      </c>
      <c r="AK35" t="s">
        <v>4214</v>
      </c>
      <c r="AL35" t="s">
        <v>4215</v>
      </c>
      <c r="AM35">
        <v>12</v>
      </c>
      <c r="AN35">
        <v>2</v>
      </c>
      <c r="AO35" t="s">
        <v>3897</v>
      </c>
      <c r="AP35">
        <v>10</v>
      </c>
      <c r="AQ35">
        <v>3</v>
      </c>
      <c r="AR35">
        <v>5</v>
      </c>
      <c r="AS35" t="s">
        <v>3899</v>
      </c>
      <c r="AT35">
        <v>180</v>
      </c>
      <c r="AU35">
        <v>3</v>
      </c>
      <c r="AV35" t="s">
        <v>5934</v>
      </c>
      <c r="AW35" t="s">
        <v>6022</v>
      </c>
      <c r="AX35" t="s">
        <v>56</v>
      </c>
      <c r="AY35">
        <v>2</v>
      </c>
      <c r="AZ35" t="s">
        <v>4776</v>
      </c>
    </row>
    <row r="36" spans="1:52" x14ac:dyDescent="0.25">
      <c r="A36" t="str">
        <f>"20200126130017037532"</f>
        <v>20200126130017037532</v>
      </c>
      <c r="B36">
        <v>1</v>
      </c>
      <c r="C36">
        <v>1</v>
      </c>
      <c r="D36" t="s">
        <v>5751</v>
      </c>
      <c r="E36" t="s">
        <v>56</v>
      </c>
      <c r="F36" t="s">
        <v>1627</v>
      </c>
      <c r="G36" t="s">
        <v>56</v>
      </c>
      <c r="H36" t="s">
        <v>56</v>
      </c>
      <c r="I36" t="s">
        <v>56</v>
      </c>
      <c r="J36" t="s">
        <v>56</v>
      </c>
      <c r="K36" t="s">
        <v>56</v>
      </c>
      <c r="L36" t="s">
        <v>56</v>
      </c>
      <c r="M36" t="s">
        <v>56</v>
      </c>
      <c r="N36" t="s">
        <v>56</v>
      </c>
      <c r="O36" t="s">
        <v>56</v>
      </c>
      <c r="P36" t="s">
        <v>56</v>
      </c>
      <c r="Q36" t="s">
        <v>5928</v>
      </c>
      <c r="R36" t="s">
        <v>56</v>
      </c>
      <c r="S36" t="s">
        <v>5928</v>
      </c>
      <c r="T36" t="s">
        <v>56</v>
      </c>
      <c r="U36" t="s">
        <v>5928</v>
      </c>
      <c r="V36" t="s">
        <v>56</v>
      </c>
      <c r="W36" t="s">
        <v>5928</v>
      </c>
      <c r="X36" t="s">
        <v>56</v>
      </c>
      <c r="Y36" t="s">
        <v>5928</v>
      </c>
      <c r="Z36">
        <v>1501</v>
      </c>
      <c r="AA36" t="s">
        <v>5949</v>
      </c>
      <c r="AB36">
        <v>150101</v>
      </c>
      <c r="AC36" t="s">
        <v>5950</v>
      </c>
      <c r="AD36">
        <v>3</v>
      </c>
      <c r="AE36" t="s">
        <v>5934</v>
      </c>
      <c r="AF36">
        <v>1</v>
      </c>
      <c r="AG36" t="s">
        <v>5932</v>
      </c>
      <c r="AH36" t="s">
        <v>6023</v>
      </c>
      <c r="AI36">
        <v>1</v>
      </c>
      <c r="AJ36" t="s">
        <v>4026</v>
      </c>
      <c r="AK36" t="s">
        <v>4027</v>
      </c>
      <c r="AL36" t="s">
        <v>4028</v>
      </c>
      <c r="AM36">
        <v>8</v>
      </c>
      <c r="AN36">
        <v>2</v>
      </c>
      <c r="AO36" t="s">
        <v>3897</v>
      </c>
      <c r="AP36">
        <v>10</v>
      </c>
      <c r="AQ36">
        <v>10</v>
      </c>
      <c r="AR36">
        <v>3</v>
      </c>
      <c r="AS36" t="s">
        <v>3911</v>
      </c>
      <c r="AT36">
        <v>30</v>
      </c>
      <c r="AU36">
        <v>3</v>
      </c>
      <c r="AV36" t="s">
        <v>5934</v>
      </c>
      <c r="AW36" t="s">
        <v>6024</v>
      </c>
      <c r="AX36" t="s">
        <v>56</v>
      </c>
      <c r="AY36">
        <v>1</v>
      </c>
      <c r="AZ36" t="s">
        <v>3902</v>
      </c>
    </row>
    <row r="37" spans="1:52" x14ac:dyDescent="0.25">
      <c r="A37" t="str">
        <f>"20200126146017037534"</f>
        <v>20200126146017037534</v>
      </c>
      <c r="B37">
        <v>1</v>
      </c>
      <c r="C37">
        <v>2</v>
      </c>
      <c r="D37" t="s">
        <v>5776</v>
      </c>
      <c r="E37" t="s">
        <v>56</v>
      </c>
      <c r="F37" t="s">
        <v>1627</v>
      </c>
      <c r="G37" t="s">
        <v>56</v>
      </c>
      <c r="H37" t="s">
        <v>56</v>
      </c>
      <c r="I37" t="s">
        <v>56</v>
      </c>
      <c r="J37" t="s">
        <v>56</v>
      </c>
      <c r="K37" t="s">
        <v>56</v>
      </c>
      <c r="L37" t="s">
        <v>56</v>
      </c>
      <c r="M37" t="s">
        <v>56</v>
      </c>
      <c r="N37" t="s">
        <v>56</v>
      </c>
      <c r="O37" t="s">
        <v>56</v>
      </c>
      <c r="P37" t="s">
        <v>56</v>
      </c>
      <c r="Q37" t="s">
        <v>5928</v>
      </c>
      <c r="R37" t="s">
        <v>56</v>
      </c>
      <c r="S37" t="s">
        <v>5928</v>
      </c>
      <c r="T37" t="s">
        <v>56</v>
      </c>
      <c r="U37" t="s">
        <v>5928</v>
      </c>
      <c r="V37" t="s">
        <v>56</v>
      </c>
      <c r="W37" t="s">
        <v>5928</v>
      </c>
      <c r="X37" t="s">
        <v>56</v>
      </c>
      <c r="Y37" t="s">
        <v>5928</v>
      </c>
      <c r="Z37">
        <v>1102</v>
      </c>
      <c r="AA37" t="s">
        <v>5936</v>
      </c>
      <c r="AB37">
        <v>110202</v>
      </c>
      <c r="AC37" t="s">
        <v>5937</v>
      </c>
      <c r="AD37">
        <v>3</v>
      </c>
      <c r="AE37" t="s">
        <v>5934</v>
      </c>
      <c r="AF37">
        <v>1</v>
      </c>
      <c r="AG37" t="s">
        <v>5932</v>
      </c>
      <c r="AH37" t="s">
        <v>5933</v>
      </c>
      <c r="AI37">
        <v>237</v>
      </c>
      <c r="AJ37" t="s">
        <v>4213</v>
      </c>
      <c r="AK37" t="s">
        <v>4214</v>
      </c>
      <c r="AL37" t="s">
        <v>4215</v>
      </c>
      <c r="AM37">
        <v>12</v>
      </c>
      <c r="AN37">
        <v>2</v>
      </c>
      <c r="AO37" t="s">
        <v>3897</v>
      </c>
      <c r="AP37">
        <v>10</v>
      </c>
      <c r="AQ37">
        <v>3</v>
      </c>
      <c r="AR37">
        <v>5</v>
      </c>
      <c r="AS37" t="s">
        <v>3899</v>
      </c>
      <c r="AT37">
        <v>180</v>
      </c>
      <c r="AU37">
        <v>3</v>
      </c>
      <c r="AV37" t="s">
        <v>5934</v>
      </c>
      <c r="AW37" t="s">
        <v>6025</v>
      </c>
      <c r="AX37" t="s">
        <v>56</v>
      </c>
      <c r="AY37">
        <v>2</v>
      </c>
      <c r="AZ37" t="s">
        <v>4776</v>
      </c>
    </row>
    <row r="38" spans="1:52" x14ac:dyDescent="0.25">
      <c r="A38" t="str">
        <f>"20200126138017037735"</f>
        <v>20200126138017037735</v>
      </c>
      <c r="B38">
        <v>1</v>
      </c>
      <c r="C38">
        <v>2</v>
      </c>
      <c r="D38" t="s">
        <v>5776</v>
      </c>
      <c r="E38" t="s">
        <v>56</v>
      </c>
      <c r="F38" t="s">
        <v>1627</v>
      </c>
      <c r="G38" t="s">
        <v>56</v>
      </c>
      <c r="H38" t="s">
        <v>56</v>
      </c>
      <c r="I38" t="s">
        <v>56</v>
      </c>
      <c r="J38" t="s">
        <v>56</v>
      </c>
      <c r="K38" t="s">
        <v>56</v>
      </c>
      <c r="L38" t="s">
        <v>56</v>
      </c>
      <c r="M38" t="s">
        <v>56</v>
      </c>
      <c r="N38" t="s">
        <v>56</v>
      </c>
      <c r="O38" t="s">
        <v>56</v>
      </c>
      <c r="P38" t="s">
        <v>56</v>
      </c>
      <c r="Q38" t="s">
        <v>5928</v>
      </c>
      <c r="R38" t="s">
        <v>56</v>
      </c>
      <c r="S38" t="s">
        <v>5928</v>
      </c>
      <c r="T38" t="s">
        <v>56</v>
      </c>
      <c r="U38" t="s">
        <v>5928</v>
      </c>
      <c r="V38" t="s">
        <v>56</v>
      </c>
      <c r="W38" t="s">
        <v>5928</v>
      </c>
      <c r="X38" t="s">
        <v>56</v>
      </c>
      <c r="Y38" t="s">
        <v>5928</v>
      </c>
      <c r="Z38">
        <v>1201</v>
      </c>
      <c r="AA38" t="s">
        <v>6004</v>
      </c>
      <c r="AB38">
        <v>120107</v>
      </c>
      <c r="AC38" t="s">
        <v>6026</v>
      </c>
      <c r="AD38">
        <v>12</v>
      </c>
      <c r="AE38" t="s">
        <v>6027</v>
      </c>
      <c r="AF38">
        <v>1</v>
      </c>
      <c r="AG38" t="s">
        <v>5932</v>
      </c>
      <c r="AH38" t="s">
        <v>6028</v>
      </c>
      <c r="AI38">
        <v>70</v>
      </c>
      <c r="AJ38" t="s">
        <v>4213</v>
      </c>
      <c r="AK38" t="s">
        <v>4214</v>
      </c>
      <c r="AL38" t="s">
        <v>4215</v>
      </c>
      <c r="AM38">
        <v>3</v>
      </c>
      <c r="AN38">
        <v>2</v>
      </c>
      <c r="AO38" t="s">
        <v>3897</v>
      </c>
      <c r="AP38">
        <v>10</v>
      </c>
      <c r="AQ38">
        <v>1</v>
      </c>
      <c r="AR38">
        <v>5</v>
      </c>
      <c r="AS38" t="s">
        <v>3899</v>
      </c>
      <c r="AT38">
        <v>2</v>
      </c>
      <c r="AU38">
        <v>12</v>
      </c>
      <c r="AV38" t="s">
        <v>6027</v>
      </c>
      <c r="AW38" t="s">
        <v>6029</v>
      </c>
      <c r="AX38" t="s">
        <v>56</v>
      </c>
      <c r="AY38">
        <v>1</v>
      </c>
      <c r="AZ38" t="s">
        <v>3902</v>
      </c>
    </row>
    <row r="39" spans="1:52" x14ac:dyDescent="0.25">
      <c r="A39" t="str">
        <f>"20200131173017173013"</f>
        <v>20200131173017173013</v>
      </c>
      <c r="B39">
        <v>1</v>
      </c>
      <c r="C39">
        <v>2</v>
      </c>
      <c r="D39" t="s">
        <v>5776</v>
      </c>
      <c r="E39" t="s">
        <v>56</v>
      </c>
      <c r="F39" t="s">
        <v>1627</v>
      </c>
      <c r="G39" t="s">
        <v>56</v>
      </c>
      <c r="H39" t="s">
        <v>56</v>
      </c>
      <c r="I39" t="s">
        <v>56</v>
      </c>
      <c r="J39" t="s">
        <v>56</v>
      </c>
      <c r="K39" t="s">
        <v>56</v>
      </c>
      <c r="L39" t="s">
        <v>56</v>
      </c>
      <c r="M39" t="s">
        <v>56</v>
      </c>
      <c r="N39" t="s">
        <v>56</v>
      </c>
      <c r="O39" t="s">
        <v>56</v>
      </c>
      <c r="P39" t="s">
        <v>56</v>
      </c>
      <c r="Q39" t="s">
        <v>5928</v>
      </c>
      <c r="R39" t="s">
        <v>56</v>
      </c>
      <c r="S39" t="s">
        <v>5928</v>
      </c>
      <c r="T39" t="s">
        <v>56</v>
      </c>
      <c r="U39" t="s">
        <v>5928</v>
      </c>
      <c r="V39" t="s">
        <v>56</v>
      </c>
      <c r="W39" t="s">
        <v>5928</v>
      </c>
      <c r="X39" t="s">
        <v>56</v>
      </c>
      <c r="Y39" t="s">
        <v>5928</v>
      </c>
      <c r="Z39">
        <v>1401</v>
      </c>
      <c r="AA39" t="s">
        <v>5956</v>
      </c>
      <c r="AB39">
        <v>140118</v>
      </c>
      <c r="AC39" t="s">
        <v>6030</v>
      </c>
      <c r="AD39">
        <v>5</v>
      </c>
      <c r="AE39" t="s">
        <v>5931</v>
      </c>
      <c r="AF39">
        <v>1</v>
      </c>
      <c r="AG39" t="s">
        <v>5932</v>
      </c>
      <c r="AH39" t="s">
        <v>6031</v>
      </c>
      <c r="AI39">
        <v>1</v>
      </c>
      <c r="AJ39">
        <v>9000</v>
      </c>
      <c r="AK39" t="s">
        <v>3956</v>
      </c>
      <c r="AL39" t="s">
        <v>3956</v>
      </c>
      <c r="AM39">
        <v>12</v>
      </c>
      <c r="AN39">
        <v>2</v>
      </c>
      <c r="AO39" t="s">
        <v>3897</v>
      </c>
      <c r="AP39">
        <v>10</v>
      </c>
      <c r="AQ39">
        <v>60</v>
      </c>
      <c r="AR39">
        <v>3</v>
      </c>
      <c r="AS39" t="s">
        <v>3911</v>
      </c>
      <c r="AT39">
        <v>120</v>
      </c>
      <c r="AU39">
        <v>5</v>
      </c>
      <c r="AV39" t="s">
        <v>5931</v>
      </c>
      <c r="AW39" t="s">
        <v>6032</v>
      </c>
      <c r="AX39" t="s">
        <v>56</v>
      </c>
      <c r="AY39">
        <v>2</v>
      </c>
      <c r="AZ39" t="s">
        <v>4776</v>
      </c>
    </row>
    <row r="40" spans="1:52" x14ac:dyDescent="0.25">
      <c r="A40" t="str">
        <f>"20200131144017173741"</f>
        <v>20200131144017173741</v>
      </c>
      <c r="B40">
        <v>1</v>
      </c>
      <c r="C40">
        <v>2</v>
      </c>
      <c r="D40" t="s">
        <v>5776</v>
      </c>
      <c r="E40" t="s">
        <v>56</v>
      </c>
      <c r="F40" t="s">
        <v>1627</v>
      </c>
      <c r="G40" t="s">
        <v>56</v>
      </c>
      <c r="H40" t="s">
        <v>56</v>
      </c>
      <c r="I40" t="s">
        <v>56</v>
      </c>
      <c r="J40" t="s">
        <v>56</v>
      </c>
      <c r="K40" t="s">
        <v>56</v>
      </c>
      <c r="L40" t="s">
        <v>56</v>
      </c>
      <c r="M40" t="s">
        <v>56</v>
      </c>
      <c r="N40" t="s">
        <v>56</v>
      </c>
      <c r="O40" t="s">
        <v>56</v>
      </c>
      <c r="P40" t="s">
        <v>56</v>
      </c>
      <c r="Q40" t="s">
        <v>5928</v>
      </c>
      <c r="R40" t="s">
        <v>56</v>
      </c>
      <c r="S40" t="s">
        <v>5928</v>
      </c>
      <c r="T40" t="s">
        <v>56</v>
      </c>
      <c r="U40" t="s">
        <v>5928</v>
      </c>
      <c r="V40" t="s">
        <v>56</v>
      </c>
      <c r="W40" t="s">
        <v>5928</v>
      </c>
      <c r="X40" t="s">
        <v>56</v>
      </c>
      <c r="Y40" t="s">
        <v>5928</v>
      </c>
      <c r="Z40">
        <v>1701</v>
      </c>
      <c r="AA40" t="s">
        <v>5966</v>
      </c>
      <c r="AB40">
        <v>170147</v>
      </c>
      <c r="AC40" t="s">
        <v>6017</v>
      </c>
      <c r="AD40">
        <v>3</v>
      </c>
      <c r="AE40" t="s">
        <v>5934</v>
      </c>
      <c r="AF40">
        <v>1</v>
      </c>
      <c r="AG40" t="s">
        <v>5932</v>
      </c>
      <c r="AH40" t="s">
        <v>6033</v>
      </c>
      <c r="AI40">
        <v>237</v>
      </c>
      <c r="AJ40" t="s">
        <v>4213</v>
      </c>
      <c r="AK40" t="s">
        <v>4214</v>
      </c>
      <c r="AL40" t="s">
        <v>4215</v>
      </c>
      <c r="AM40">
        <v>12</v>
      </c>
      <c r="AN40">
        <v>2</v>
      </c>
      <c r="AO40" t="s">
        <v>3897</v>
      </c>
      <c r="AP40">
        <v>10</v>
      </c>
      <c r="AQ40">
        <v>60</v>
      </c>
      <c r="AR40">
        <v>3</v>
      </c>
      <c r="AS40" t="s">
        <v>3911</v>
      </c>
      <c r="AT40">
        <v>120</v>
      </c>
      <c r="AU40">
        <v>3</v>
      </c>
      <c r="AV40" t="s">
        <v>5934</v>
      </c>
      <c r="AW40" t="s">
        <v>6034</v>
      </c>
      <c r="AX40" t="s">
        <v>56</v>
      </c>
      <c r="AY40">
        <v>2</v>
      </c>
      <c r="AZ40" t="s">
        <v>4776</v>
      </c>
    </row>
    <row r="41" spans="1:52" x14ac:dyDescent="0.25">
      <c r="A41" t="str">
        <f>"20200131166017174523"</f>
        <v>20200131166017174523</v>
      </c>
      <c r="B41">
        <v>1</v>
      </c>
      <c r="C41">
        <v>2</v>
      </c>
      <c r="D41" t="s">
        <v>5776</v>
      </c>
      <c r="E41" t="s">
        <v>56</v>
      </c>
      <c r="F41" t="s">
        <v>1627</v>
      </c>
      <c r="G41" t="s">
        <v>56</v>
      </c>
      <c r="H41" t="s">
        <v>56</v>
      </c>
      <c r="I41" t="s">
        <v>56</v>
      </c>
      <c r="J41" t="s">
        <v>56</v>
      </c>
      <c r="K41" t="s">
        <v>56</v>
      </c>
      <c r="L41" t="s">
        <v>56</v>
      </c>
      <c r="M41" t="s">
        <v>56</v>
      </c>
      <c r="N41" t="s">
        <v>56</v>
      </c>
      <c r="O41" t="s">
        <v>56</v>
      </c>
      <c r="P41" t="s">
        <v>56</v>
      </c>
      <c r="Q41" t="s">
        <v>5928</v>
      </c>
      <c r="R41" t="s">
        <v>56</v>
      </c>
      <c r="S41" t="s">
        <v>5928</v>
      </c>
      <c r="T41" t="s">
        <v>56</v>
      </c>
      <c r="U41" t="s">
        <v>5928</v>
      </c>
      <c r="V41">
        <v>1</v>
      </c>
      <c r="W41" t="s">
        <v>5941</v>
      </c>
      <c r="X41" t="s">
        <v>56</v>
      </c>
      <c r="Y41" t="s">
        <v>5928</v>
      </c>
      <c r="Z41">
        <v>1410</v>
      </c>
      <c r="AA41" t="s">
        <v>5961</v>
      </c>
      <c r="AB41">
        <v>141004</v>
      </c>
      <c r="AC41" t="s">
        <v>6035</v>
      </c>
      <c r="AD41">
        <v>9</v>
      </c>
      <c r="AE41" t="s">
        <v>5946</v>
      </c>
      <c r="AF41">
        <v>1</v>
      </c>
      <c r="AG41" t="s">
        <v>5932</v>
      </c>
      <c r="AH41" t="s">
        <v>6036</v>
      </c>
      <c r="AI41">
        <v>1</v>
      </c>
      <c r="AJ41">
        <v>9000</v>
      </c>
      <c r="AK41" t="s">
        <v>3956</v>
      </c>
      <c r="AL41" t="s">
        <v>3956</v>
      </c>
      <c r="AM41">
        <v>24</v>
      </c>
      <c r="AN41">
        <v>2</v>
      </c>
      <c r="AO41" t="s">
        <v>3897</v>
      </c>
      <c r="AP41">
        <v>10</v>
      </c>
      <c r="AQ41">
        <v>90</v>
      </c>
      <c r="AR41">
        <v>3</v>
      </c>
      <c r="AS41" t="s">
        <v>3911</v>
      </c>
      <c r="AT41">
        <v>90</v>
      </c>
      <c r="AU41">
        <v>9</v>
      </c>
      <c r="AV41" t="s">
        <v>5946</v>
      </c>
      <c r="AW41" t="s">
        <v>6037</v>
      </c>
      <c r="AX41" t="s">
        <v>56</v>
      </c>
      <c r="AY41">
        <v>1</v>
      </c>
      <c r="AZ41" t="s">
        <v>3902</v>
      </c>
    </row>
    <row r="42" spans="1:52" x14ac:dyDescent="0.25">
      <c r="A42" t="str">
        <f>"20200131131017174765"</f>
        <v>20200131131017174765</v>
      </c>
      <c r="B42">
        <v>1</v>
      </c>
      <c r="C42">
        <v>1</v>
      </c>
      <c r="D42" t="s">
        <v>5751</v>
      </c>
      <c r="E42" t="s">
        <v>56</v>
      </c>
      <c r="F42" t="s">
        <v>1627</v>
      </c>
      <c r="G42" t="s">
        <v>56</v>
      </c>
      <c r="H42" t="s">
        <v>56</v>
      </c>
      <c r="I42" t="s">
        <v>56</v>
      </c>
      <c r="J42" t="s">
        <v>56</v>
      </c>
      <c r="K42" t="s">
        <v>56</v>
      </c>
      <c r="L42" t="s">
        <v>56</v>
      </c>
      <c r="M42" t="s">
        <v>56</v>
      </c>
      <c r="N42" t="s">
        <v>56</v>
      </c>
      <c r="O42" t="s">
        <v>56</v>
      </c>
      <c r="P42" t="s">
        <v>56</v>
      </c>
      <c r="Q42" t="s">
        <v>5928</v>
      </c>
      <c r="R42" t="s">
        <v>56</v>
      </c>
      <c r="S42" t="s">
        <v>5928</v>
      </c>
      <c r="T42" t="s">
        <v>56</v>
      </c>
      <c r="U42" t="s">
        <v>5928</v>
      </c>
      <c r="V42" t="s">
        <v>56</v>
      </c>
      <c r="W42" t="s">
        <v>5928</v>
      </c>
      <c r="X42" t="s">
        <v>56</v>
      </c>
      <c r="Y42" t="s">
        <v>5928</v>
      </c>
      <c r="Z42">
        <v>1102</v>
      </c>
      <c r="AA42" t="s">
        <v>5936</v>
      </c>
      <c r="AB42">
        <v>110202</v>
      </c>
      <c r="AC42" t="s">
        <v>5937</v>
      </c>
      <c r="AD42">
        <v>3</v>
      </c>
      <c r="AE42" t="s">
        <v>5934</v>
      </c>
      <c r="AF42">
        <v>1</v>
      </c>
      <c r="AG42" t="s">
        <v>5932</v>
      </c>
      <c r="AH42" t="s">
        <v>6038</v>
      </c>
      <c r="AI42">
        <v>1</v>
      </c>
      <c r="AJ42" t="s">
        <v>4026</v>
      </c>
      <c r="AK42" t="s">
        <v>4027</v>
      </c>
      <c r="AL42" t="s">
        <v>4028</v>
      </c>
      <c r="AM42">
        <v>12</v>
      </c>
      <c r="AN42">
        <v>2</v>
      </c>
      <c r="AO42" t="s">
        <v>3897</v>
      </c>
      <c r="AP42">
        <v>1</v>
      </c>
      <c r="AQ42">
        <v>3</v>
      </c>
      <c r="AR42">
        <v>5</v>
      </c>
      <c r="AS42" t="s">
        <v>3899</v>
      </c>
      <c r="AT42">
        <v>180</v>
      </c>
      <c r="AU42">
        <v>3</v>
      </c>
      <c r="AV42" t="s">
        <v>5934</v>
      </c>
      <c r="AW42" t="s">
        <v>5940</v>
      </c>
      <c r="AX42" t="s">
        <v>56</v>
      </c>
      <c r="AY42">
        <v>2</v>
      </c>
      <c r="AZ42" t="s">
        <v>4776</v>
      </c>
    </row>
    <row r="43" spans="1:52" x14ac:dyDescent="0.25">
      <c r="A43" t="str">
        <f>"20200131175017175130"</f>
        <v>20200131175017175130</v>
      </c>
      <c r="B43">
        <v>1</v>
      </c>
      <c r="C43">
        <v>1</v>
      </c>
      <c r="D43" t="s">
        <v>5751</v>
      </c>
      <c r="E43" t="s">
        <v>56</v>
      </c>
      <c r="F43" t="s">
        <v>1627</v>
      </c>
      <c r="G43" t="s">
        <v>56</v>
      </c>
      <c r="H43" t="s">
        <v>56</v>
      </c>
      <c r="I43" t="s">
        <v>56</v>
      </c>
      <c r="J43" t="s">
        <v>56</v>
      </c>
      <c r="K43" t="s">
        <v>56</v>
      </c>
      <c r="L43" t="s">
        <v>56</v>
      </c>
      <c r="M43" t="s">
        <v>56</v>
      </c>
      <c r="N43" t="s">
        <v>56</v>
      </c>
      <c r="O43" t="s">
        <v>56</v>
      </c>
      <c r="P43" t="s">
        <v>56</v>
      </c>
      <c r="Q43" t="s">
        <v>5928</v>
      </c>
      <c r="R43" t="s">
        <v>56</v>
      </c>
      <c r="S43" t="s">
        <v>5928</v>
      </c>
      <c r="T43" t="s">
        <v>56</v>
      </c>
      <c r="U43" t="s">
        <v>5928</v>
      </c>
      <c r="V43" t="s">
        <v>56</v>
      </c>
      <c r="W43" t="s">
        <v>5928</v>
      </c>
      <c r="X43" t="s">
        <v>56</v>
      </c>
      <c r="Y43" t="s">
        <v>5928</v>
      </c>
      <c r="Z43">
        <v>1102</v>
      </c>
      <c r="AA43" t="s">
        <v>5936</v>
      </c>
      <c r="AB43">
        <v>110202</v>
      </c>
      <c r="AC43" t="s">
        <v>5937</v>
      </c>
      <c r="AD43">
        <v>3</v>
      </c>
      <c r="AE43" t="s">
        <v>5934</v>
      </c>
      <c r="AF43">
        <v>1</v>
      </c>
      <c r="AG43" t="s">
        <v>5932</v>
      </c>
      <c r="AH43" t="s">
        <v>6039</v>
      </c>
      <c r="AI43">
        <v>1</v>
      </c>
      <c r="AJ43" t="s">
        <v>4026</v>
      </c>
      <c r="AK43" t="s">
        <v>4027</v>
      </c>
      <c r="AL43" t="s">
        <v>4028</v>
      </c>
      <c r="AM43">
        <v>8</v>
      </c>
      <c r="AN43">
        <v>2</v>
      </c>
      <c r="AO43" t="s">
        <v>3897</v>
      </c>
      <c r="AP43">
        <v>1</v>
      </c>
      <c r="AQ43">
        <v>3</v>
      </c>
      <c r="AR43">
        <v>5</v>
      </c>
      <c r="AS43" t="s">
        <v>3899</v>
      </c>
      <c r="AT43">
        <v>270</v>
      </c>
      <c r="AU43">
        <v>3</v>
      </c>
      <c r="AV43" t="s">
        <v>5934</v>
      </c>
      <c r="AW43" t="s">
        <v>6040</v>
      </c>
      <c r="AX43" t="s">
        <v>56</v>
      </c>
      <c r="AY43">
        <v>2</v>
      </c>
      <c r="AZ43" t="s">
        <v>4776</v>
      </c>
    </row>
    <row r="44" spans="1:52" x14ac:dyDescent="0.25">
      <c r="A44" t="str">
        <f>"20200131153017175853"</f>
        <v>20200131153017175853</v>
      </c>
      <c r="B44">
        <v>1</v>
      </c>
      <c r="C44">
        <v>1</v>
      </c>
      <c r="D44" t="s">
        <v>5751</v>
      </c>
      <c r="E44" t="s">
        <v>56</v>
      </c>
      <c r="F44" t="s">
        <v>1627</v>
      </c>
      <c r="G44" t="s">
        <v>56</v>
      </c>
      <c r="H44" t="s">
        <v>56</v>
      </c>
      <c r="I44" t="s">
        <v>56</v>
      </c>
      <c r="J44" t="s">
        <v>56</v>
      </c>
      <c r="K44" t="s">
        <v>56</v>
      </c>
      <c r="L44" t="s">
        <v>56</v>
      </c>
      <c r="M44" t="s">
        <v>56</v>
      </c>
      <c r="N44" t="s">
        <v>56</v>
      </c>
      <c r="O44" t="s">
        <v>56</v>
      </c>
      <c r="P44" t="s">
        <v>56</v>
      </c>
      <c r="Q44" t="s">
        <v>5928</v>
      </c>
      <c r="R44" t="s">
        <v>56</v>
      </c>
      <c r="S44" t="s">
        <v>5928</v>
      </c>
      <c r="T44" t="s">
        <v>56</v>
      </c>
      <c r="U44" t="s">
        <v>5928</v>
      </c>
      <c r="V44" t="s">
        <v>56</v>
      </c>
      <c r="W44" t="s">
        <v>5928</v>
      </c>
      <c r="X44" t="s">
        <v>56</v>
      </c>
      <c r="Y44" t="s">
        <v>5928</v>
      </c>
      <c r="Z44">
        <v>1503</v>
      </c>
      <c r="AA44" t="s">
        <v>5994</v>
      </c>
      <c r="AB44">
        <v>150310</v>
      </c>
      <c r="AC44" t="s">
        <v>6041</v>
      </c>
      <c r="AD44">
        <v>10</v>
      </c>
      <c r="AE44" t="s">
        <v>5958</v>
      </c>
      <c r="AF44">
        <v>1</v>
      </c>
      <c r="AG44" t="s">
        <v>5932</v>
      </c>
      <c r="AH44" t="s">
        <v>6042</v>
      </c>
      <c r="AI44">
        <v>1</v>
      </c>
      <c r="AJ44" t="s">
        <v>4026</v>
      </c>
      <c r="AK44" t="s">
        <v>4027</v>
      </c>
      <c r="AL44" t="s">
        <v>4028</v>
      </c>
      <c r="AM44">
        <v>8</v>
      </c>
      <c r="AN44">
        <v>2</v>
      </c>
      <c r="AO44" t="s">
        <v>3897</v>
      </c>
      <c r="AP44">
        <v>3</v>
      </c>
      <c r="AQ44">
        <v>10</v>
      </c>
      <c r="AR44">
        <v>3</v>
      </c>
      <c r="AS44" t="s">
        <v>3911</v>
      </c>
      <c r="AT44">
        <v>30</v>
      </c>
      <c r="AU44">
        <v>10</v>
      </c>
      <c r="AV44" t="s">
        <v>5958</v>
      </c>
      <c r="AW44" t="s">
        <v>6043</v>
      </c>
      <c r="AX44" t="s">
        <v>56</v>
      </c>
      <c r="AY44">
        <v>1</v>
      </c>
      <c r="AZ44" t="s">
        <v>3902</v>
      </c>
    </row>
    <row r="45" spans="1:52" x14ac:dyDescent="0.25">
      <c r="A45" t="str">
        <f>"20200131133017177519"</f>
        <v>20200131133017177519</v>
      </c>
      <c r="B45">
        <v>1</v>
      </c>
      <c r="C45">
        <v>2</v>
      </c>
      <c r="D45" t="s">
        <v>5776</v>
      </c>
      <c r="E45" t="s">
        <v>56</v>
      </c>
      <c r="F45" t="s">
        <v>1627</v>
      </c>
      <c r="G45" t="s">
        <v>56</v>
      </c>
      <c r="H45" t="s">
        <v>56</v>
      </c>
      <c r="I45" t="s">
        <v>56</v>
      </c>
      <c r="J45" t="s">
        <v>56</v>
      </c>
      <c r="K45" t="s">
        <v>56</v>
      </c>
      <c r="L45" t="s">
        <v>56</v>
      </c>
      <c r="M45" t="s">
        <v>56</v>
      </c>
      <c r="N45" t="s">
        <v>56</v>
      </c>
      <c r="O45" t="s">
        <v>56</v>
      </c>
      <c r="P45" t="s">
        <v>56</v>
      </c>
      <c r="Q45" t="s">
        <v>5928</v>
      </c>
      <c r="R45" t="s">
        <v>56</v>
      </c>
      <c r="S45" t="s">
        <v>5928</v>
      </c>
      <c r="T45" t="s">
        <v>56</v>
      </c>
      <c r="U45" t="s">
        <v>5928</v>
      </c>
      <c r="V45" t="s">
        <v>56</v>
      </c>
      <c r="W45" t="s">
        <v>5928</v>
      </c>
      <c r="X45" t="s">
        <v>56</v>
      </c>
      <c r="Y45" t="s">
        <v>5928</v>
      </c>
      <c r="Z45">
        <v>1102</v>
      </c>
      <c r="AA45" t="s">
        <v>5936</v>
      </c>
      <c r="AB45">
        <v>110202</v>
      </c>
      <c r="AC45" t="s">
        <v>5937</v>
      </c>
      <c r="AD45">
        <v>3</v>
      </c>
      <c r="AE45" t="s">
        <v>5934</v>
      </c>
      <c r="AF45">
        <v>1</v>
      </c>
      <c r="AG45" t="s">
        <v>5932</v>
      </c>
      <c r="AH45" t="s">
        <v>6044</v>
      </c>
      <c r="AI45">
        <v>237</v>
      </c>
      <c r="AJ45" t="s">
        <v>4213</v>
      </c>
      <c r="AK45" t="s">
        <v>4214</v>
      </c>
      <c r="AL45" t="s">
        <v>4215</v>
      </c>
      <c r="AM45">
        <v>24</v>
      </c>
      <c r="AN45">
        <v>2</v>
      </c>
      <c r="AO45" t="s">
        <v>3897</v>
      </c>
      <c r="AP45">
        <v>10</v>
      </c>
      <c r="AQ45">
        <v>3</v>
      </c>
      <c r="AR45">
        <v>5</v>
      </c>
      <c r="AS45" t="s">
        <v>3899</v>
      </c>
      <c r="AT45">
        <v>90</v>
      </c>
      <c r="AU45">
        <v>3</v>
      </c>
      <c r="AV45" t="s">
        <v>5934</v>
      </c>
      <c r="AW45" t="s">
        <v>6045</v>
      </c>
      <c r="AX45" t="s">
        <v>56</v>
      </c>
      <c r="AY45">
        <v>2</v>
      </c>
      <c r="AZ45" t="s">
        <v>4776</v>
      </c>
    </row>
    <row r="46" spans="1:52" x14ac:dyDescent="0.25">
      <c r="A46" t="str">
        <f>"20200131140017178889"</f>
        <v>20200131140017178889</v>
      </c>
      <c r="B46">
        <v>1</v>
      </c>
      <c r="C46">
        <v>2</v>
      </c>
      <c r="D46" t="s">
        <v>5776</v>
      </c>
      <c r="E46" t="s">
        <v>56</v>
      </c>
      <c r="F46" t="s">
        <v>1627</v>
      </c>
      <c r="G46" t="s">
        <v>56</v>
      </c>
      <c r="H46" t="s">
        <v>56</v>
      </c>
      <c r="I46" t="s">
        <v>56</v>
      </c>
      <c r="J46" t="s">
        <v>56</v>
      </c>
      <c r="K46" t="s">
        <v>56</v>
      </c>
      <c r="L46" t="s">
        <v>56</v>
      </c>
      <c r="M46" t="s">
        <v>56</v>
      </c>
      <c r="N46" t="s">
        <v>56</v>
      </c>
      <c r="O46" t="s">
        <v>56</v>
      </c>
      <c r="P46" t="s">
        <v>56</v>
      </c>
      <c r="Q46" t="s">
        <v>5928</v>
      </c>
      <c r="R46" t="s">
        <v>56</v>
      </c>
      <c r="S46" t="s">
        <v>5928</v>
      </c>
      <c r="T46" t="s">
        <v>56</v>
      </c>
      <c r="U46" t="s">
        <v>5928</v>
      </c>
      <c r="V46" t="s">
        <v>56</v>
      </c>
      <c r="W46" t="s">
        <v>5928</v>
      </c>
      <c r="X46" t="s">
        <v>56</v>
      </c>
      <c r="Y46" t="s">
        <v>5928</v>
      </c>
      <c r="Z46">
        <v>1102</v>
      </c>
      <c r="AA46" t="s">
        <v>5936</v>
      </c>
      <c r="AB46">
        <v>110204</v>
      </c>
      <c r="AC46" t="s">
        <v>6046</v>
      </c>
      <c r="AD46">
        <v>5</v>
      </c>
      <c r="AE46" t="s">
        <v>5931</v>
      </c>
      <c r="AF46">
        <v>1</v>
      </c>
      <c r="AG46" t="s">
        <v>5932</v>
      </c>
      <c r="AH46" t="s">
        <v>6047</v>
      </c>
      <c r="AI46">
        <v>1</v>
      </c>
      <c r="AJ46">
        <v>9000</v>
      </c>
      <c r="AK46" t="s">
        <v>3956</v>
      </c>
      <c r="AL46" t="s">
        <v>3956</v>
      </c>
      <c r="AM46">
        <v>12</v>
      </c>
      <c r="AN46">
        <v>2</v>
      </c>
      <c r="AO46" t="s">
        <v>3897</v>
      </c>
      <c r="AP46">
        <v>10</v>
      </c>
      <c r="AQ46">
        <v>90</v>
      </c>
      <c r="AR46">
        <v>3</v>
      </c>
      <c r="AS46" t="s">
        <v>3911</v>
      </c>
      <c r="AT46">
        <v>180</v>
      </c>
      <c r="AU46">
        <v>5</v>
      </c>
      <c r="AV46" t="s">
        <v>5931</v>
      </c>
      <c r="AW46" t="s">
        <v>6048</v>
      </c>
      <c r="AX46" t="s">
        <v>56</v>
      </c>
      <c r="AY46">
        <v>2</v>
      </c>
      <c r="AZ46" t="s">
        <v>4776</v>
      </c>
    </row>
    <row r="47" spans="1:52" x14ac:dyDescent="0.25">
      <c r="A47" t="str">
        <f>"20200131145017165172"</f>
        <v>20200131145017165172</v>
      </c>
      <c r="B47">
        <v>1</v>
      </c>
      <c r="C47">
        <v>2</v>
      </c>
      <c r="D47" t="s">
        <v>5776</v>
      </c>
      <c r="E47" t="s">
        <v>56</v>
      </c>
      <c r="F47" t="s">
        <v>1627</v>
      </c>
      <c r="G47" t="s">
        <v>56</v>
      </c>
      <c r="H47" t="s">
        <v>56</v>
      </c>
      <c r="I47" t="s">
        <v>56</v>
      </c>
      <c r="J47" t="s">
        <v>56</v>
      </c>
      <c r="K47" t="s">
        <v>56</v>
      </c>
      <c r="L47" t="s">
        <v>56</v>
      </c>
      <c r="M47" t="s">
        <v>56</v>
      </c>
      <c r="N47" t="s">
        <v>56</v>
      </c>
      <c r="O47" t="s">
        <v>56</v>
      </c>
      <c r="P47" t="s">
        <v>56</v>
      </c>
      <c r="Q47" t="s">
        <v>5928</v>
      </c>
      <c r="R47" t="s">
        <v>56</v>
      </c>
      <c r="S47" t="s">
        <v>5928</v>
      </c>
      <c r="T47" t="s">
        <v>56</v>
      </c>
      <c r="U47" t="s">
        <v>5928</v>
      </c>
      <c r="V47" t="s">
        <v>56</v>
      </c>
      <c r="W47" t="s">
        <v>5928</v>
      </c>
      <c r="X47" t="s">
        <v>56</v>
      </c>
      <c r="Y47" t="s">
        <v>5928</v>
      </c>
      <c r="Z47">
        <v>1504</v>
      </c>
      <c r="AA47" t="s">
        <v>5929</v>
      </c>
      <c r="AB47">
        <v>150413</v>
      </c>
      <c r="AC47" t="s">
        <v>5930</v>
      </c>
      <c r="AD47">
        <v>3</v>
      </c>
      <c r="AE47" t="s">
        <v>5934</v>
      </c>
      <c r="AF47">
        <v>1</v>
      </c>
      <c r="AG47" t="s">
        <v>5932</v>
      </c>
      <c r="AH47" t="s">
        <v>6049</v>
      </c>
      <c r="AI47">
        <v>237</v>
      </c>
      <c r="AJ47" t="s">
        <v>4213</v>
      </c>
      <c r="AK47" t="s">
        <v>4214</v>
      </c>
      <c r="AL47" t="s">
        <v>4215</v>
      </c>
      <c r="AM47">
        <v>12</v>
      </c>
      <c r="AN47">
        <v>2</v>
      </c>
      <c r="AO47" t="s">
        <v>3897</v>
      </c>
      <c r="AP47">
        <v>10</v>
      </c>
      <c r="AQ47">
        <v>90</v>
      </c>
      <c r="AR47">
        <v>3</v>
      </c>
      <c r="AS47" t="s">
        <v>3911</v>
      </c>
      <c r="AT47">
        <v>180</v>
      </c>
      <c r="AU47">
        <v>3</v>
      </c>
      <c r="AV47" t="s">
        <v>5934</v>
      </c>
      <c r="AW47" t="s">
        <v>6050</v>
      </c>
      <c r="AX47" t="s">
        <v>56</v>
      </c>
      <c r="AY47">
        <v>2</v>
      </c>
      <c r="AZ47" t="s">
        <v>4776</v>
      </c>
    </row>
    <row r="48" spans="1:52" x14ac:dyDescent="0.25">
      <c r="A48" t="str">
        <f>"20200131115017171933"</f>
        <v>20200131115017171933</v>
      </c>
      <c r="B48">
        <v>1</v>
      </c>
      <c r="C48">
        <v>2</v>
      </c>
      <c r="D48" t="s">
        <v>5776</v>
      </c>
      <c r="E48" t="s">
        <v>56</v>
      </c>
      <c r="F48" t="s">
        <v>1627</v>
      </c>
      <c r="G48" t="s">
        <v>56</v>
      </c>
      <c r="H48" t="s">
        <v>56</v>
      </c>
      <c r="I48" t="s">
        <v>56</v>
      </c>
      <c r="J48" t="s">
        <v>56</v>
      </c>
      <c r="K48" t="s">
        <v>56</v>
      </c>
      <c r="L48" t="s">
        <v>56</v>
      </c>
      <c r="M48" t="s">
        <v>56</v>
      </c>
      <c r="N48" t="s">
        <v>56</v>
      </c>
      <c r="O48" t="s">
        <v>56</v>
      </c>
      <c r="P48" t="s">
        <v>56</v>
      </c>
      <c r="Q48" t="s">
        <v>5928</v>
      </c>
      <c r="R48" t="s">
        <v>56</v>
      </c>
      <c r="S48" t="s">
        <v>5928</v>
      </c>
      <c r="T48" t="s">
        <v>56</v>
      </c>
      <c r="U48" t="s">
        <v>5928</v>
      </c>
      <c r="V48">
        <v>1</v>
      </c>
      <c r="W48" t="s">
        <v>5941</v>
      </c>
      <c r="X48" t="s">
        <v>56</v>
      </c>
      <c r="Y48" t="s">
        <v>5928</v>
      </c>
      <c r="Z48">
        <v>1410</v>
      </c>
      <c r="AA48" t="s">
        <v>5961</v>
      </c>
      <c r="AB48">
        <v>141004</v>
      </c>
      <c r="AC48" t="s">
        <v>6035</v>
      </c>
      <c r="AD48">
        <v>9</v>
      </c>
      <c r="AE48" t="s">
        <v>5946</v>
      </c>
      <c r="AF48">
        <v>1</v>
      </c>
      <c r="AG48" t="s">
        <v>5932</v>
      </c>
      <c r="AH48" t="s">
        <v>6051</v>
      </c>
      <c r="AI48">
        <v>1</v>
      </c>
      <c r="AJ48">
        <v>9000</v>
      </c>
      <c r="AK48" t="s">
        <v>3956</v>
      </c>
      <c r="AL48" t="s">
        <v>3956</v>
      </c>
      <c r="AM48">
        <v>24</v>
      </c>
      <c r="AN48">
        <v>2</v>
      </c>
      <c r="AO48" t="s">
        <v>3897</v>
      </c>
      <c r="AP48">
        <v>10</v>
      </c>
      <c r="AQ48">
        <v>90</v>
      </c>
      <c r="AR48">
        <v>3</v>
      </c>
      <c r="AS48" t="s">
        <v>3911</v>
      </c>
      <c r="AT48">
        <v>90</v>
      </c>
      <c r="AU48">
        <v>9</v>
      </c>
      <c r="AV48" t="s">
        <v>5946</v>
      </c>
      <c r="AW48" t="s">
        <v>6052</v>
      </c>
      <c r="AX48" t="s">
        <v>56</v>
      </c>
      <c r="AY48">
        <v>1</v>
      </c>
      <c r="AZ48" t="s">
        <v>3902</v>
      </c>
    </row>
    <row r="49" spans="1:52" x14ac:dyDescent="0.25">
      <c r="A49" t="str">
        <f>"20200129183017102235"</f>
        <v>20200129183017102235</v>
      </c>
      <c r="B49">
        <v>1</v>
      </c>
      <c r="C49">
        <v>2</v>
      </c>
      <c r="D49" t="s">
        <v>5776</v>
      </c>
      <c r="E49" t="s">
        <v>56</v>
      </c>
      <c r="F49" t="s">
        <v>1627</v>
      </c>
      <c r="G49" t="s">
        <v>56</v>
      </c>
      <c r="H49" t="s">
        <v>56</v>
      </c>
      <c r="I49" t="s">
        <v>56</v>
      </c>
      <c r="J49" t="s">
        <v>56</v>
      </c>
      <c r="K49" t="s">
        <v>56</v>
      </c>
      <c r="L49" t="s">
        <v>56</v>
      </c>
      <c r="M49" t="s">
        <v>56</v>
      </c>
      <c r="N49" t="s">
        <v>56</v>
      </c>
      <c r="O49" t="s">
        <v>56</v>
      </c>
      <c r="P49" t="s">
        <v>56</v>
      </c>
      <c r="Q49" t="s">
        <v>5928</v>
      </c>
      <c r="R49" t="s">
        <v>56</v>
      </c>
      <c r="S49" t="s">
        <v>5928</v>
      </c>
      <c r="T49" t="s">
        <v>56</v>
      </c>
      <c r="U49" t="s">
        <v>5928</v>
      </c>
      <c r="V49" t="s">
        <v>56</v>
      </c>
      <c r="W49" t="s">
        <v>5928</v>
      </c>
      <c r="X49" t="s">
        <v>56</v>
      </c>
      <c r="Y49" t="s">
        <v>5928</v>
      </c>
      <c r="Z49">
        <v>1401</v>
      </c>
      <c r="AA49" t="s">
        <v>5956</v>
      </c>
      <c r="AB49">
        <v>140118</v>
      </c>
      <c r="AC49" t="s">
        <v>6030</v>
      </c>
      <c r="AD49">
        <v>5</v>
      </c>
      <c r="AE49" t="s">
        <v>5931</v>
      </c>
      <c r="AF49">
        <v>2</v>
      </c>
      <c r="AG49" t="s">
        <v>5963</v>
      </c>
      <c r="AH49" t="s">
        <v>6053</v>
      </c>
      <c r="AI49">
        <v>1</v>
      </c>
      <c r="AJ49" t="s">
        <v>4026</v>
      </c>
      <c r="AK49" t="s">
        <v>4027</v>
      </c>
      <c r="AL49" t="s">
        <v>4028</v>
      </c>
      <c r="AM49">
        <v>6</v>
      </c>
      <c r="AN49">
        <v>2</v>
      </c>
      <c r="AO49" t="s">
        <v>3897</v>
      </c>
      <c r="AP49">
        <v>10</v>
      </c>
      <c r="AQ49">
        <v>90</v>
      </c>
      <c r="AR49">
        <v>3</v>
      </c>
      <c r="AS49" t="s">
        <v>3911</v>
      </c>
      <c r="AT49">
        <v>360</v>
      </c>
      <c r="AU49">
        <v>5</v>
      </c>
      <c r="AV49" t="s">
        <v>5931</v>
      </c>
      <c r="AW49" t="s">
        <v>6054</v>
      </c>
      <c r="AX49" t="s">
        <v>56</v>
      </c>
      <c r="AY49">
        <v>1</v>
      </c>
      <c r="AZ49" t="s">
        <v>3902</v>
      </c>
    </row>
    <row r="50" spans="1:52" x14ac:dyDescent="0.25">
      <c r="A50" t="str">
        <f>"20200129137017104973"</f>
        <v>20200129137017104973</v>
      </c>
      <c r="B50">
        <v>1</v>
      </c>
      <c r="C50">
        <v>2</v>
      </c>
      <c r="D50" t="s">
        <v>5776</v>
      </c>
      <c r="E50" t="s">
        <v>56</v>
      </c>
      <c r="F50" t="s">
        <v>1627</v>
      </c>
      <c r="G50" t="s">
        <v>56</v>
      </c>
      <c r="H50" t="s">
        <v>56</v>
      </c>
      <c r="I50" t="s">
        <v>56</v>
      </c>
      <c r="J50" t="s">
        <v>56</v>
      </c>
      <c r="K50" t="s">
        <v>56</v>
      </c>
      <c r="L50" t="s">
        <v>56</v>
      </c>
      <c r="M50" t="s">
        <v>56</v>
      </c>
      <c r="N50" t="s">
        <v>56</v>
      </c>
      <c r="O50" t="s">
        <v>56</v>
      </c>
      <c r="P50" t="s">
        <v>56</v>
      </c>
      <c r="Q50" t="s">
        <v>5928</v>
      </c>
      <c r="R50" t="s">
        <v>56</v>
      </c>
      <c r="S50" t="s">
        <v>5928</v>
      </c>
      <c r="T50" t="s">
        <v>56</v>
      </c>
      <c r="U50" t="s">
        <v>5928</v>
      </c>
      <c r="V50" t="s">
        <v>56</v>
      </c>
      <c r="W50" t="s">
        <v>5928</v>
      </c>
      <c r="X50" t="s">
        <v>56</v>
      </c>
      <c r="Y50" t="s">
        <v>5928</v>
      </c>
      <c r="Z50">
        <v>1504</v>
      </c>
      <c r="AA50" t="s">
        <v>5929</v>
      </c>
      <c r="AB50">
        <v>150408</v>
      </c>
      <c r="AC50" t="s">
        <v>6055</v>
      </c>
      <c r="AD50">
        <v>5</v>
      </c>
      <c r="AE50" t="s">
        <v>5931</v>
      </c>
      <c r="AF50">
        <v>2</v>
      </c>
      <c r="AG50" t="s">
        <v>5963</v>
      </c>
      <c r="AH50" t="s">
        <v>6056</v>
      </c>
      <c r="AI50">
        <v>237</v>
      </c>
      <c r="AJ50" t="s">
        <v>4213</v>
      </c>
      <c r="AK50" t="s">
        <v>4214</v>
      </c>
      <c r="AL50" t="s">
        <v>4215</v>
      </c>
      <c r="AM50">
        <v>3</v>
      </c>
      <c r="AN50">
        <v>2</v>
      </c>
      <c r="AO50" t="s">
        <v>3897</v>
      </c>
      <c r="AP50">
        <v>3</v>
      </c>
      <c r="AQ50">
        <v>30</v>
      </c>
      <c r="AR50">
        <v>3</v>
      </c>
      <c r="AS50" t="s">
        <v>3911</v>
      </c>
      <c r="AT50">
        <v>240</v>
      </c>
      <c r="AU50">
        <v>5</v>
      </c>
      <c r="AV50" t="s">
        <v>5931</v>
      </c>
      <c r="AW50" t="s">
        <v>6057</v>
      </c>
      <c r="AX50" t="s">
        <v>56</v>
      </c>
      <c r="AY50">
        <v>1</v>
      </c>
      <c r="AZ50" t="s">
        <v>3902</v>
      </c>
    </row>
    <row r="51" spans="1:52" x14ac:dyDescent="0.25">
      <c r="A51" t="str">
        <f>"20200129195017105178"</f>
        <v>20200129195017105178</v>
      </c>
      <c r="B51">
        <v>1</v>
      </c>
      <c r="C51">
        <v>2</v>
      </c>
      <c r="D51" t="s">
        <v>5776</v>
      </c>
      <c r="E51" t="s">
        <v>56</v>
      </c>
      <c r="F51" t="s">
        <v>1627</v>
      </c>
      <c r="G51" t="s">
        <v>56</v>
      </c>
      <c r="H51" t="s">
        <v>56</v>
      </c>
      <c r="I51" t="s">
        <v>56</v>
      </c>
      <c r="J51" t="s">
        <v>56</v>
      </c>
      <c r="K51" t="s">
        <v>56</v>
      </c>
      <c r="L51" t="s">
        <v>56</v>
      </c>
      <c r="M51" t="s">
        <v>56</v>
      </c>
      <c r="N51" t="s">
        <v>56</v>
      </c>
      <c r="O51" t="s">
        <v>56</v>
      </c>
      <c r="P51" t="s">
        <v>56</v>
      </c>
      <c r="Q51" t="s">
        <v>5928</v>
      </c>
      <c r="R51" t="s">
        <v>56</v>
      </c>
      <c r="S51" t="s">
        <v>5928</v>
      </c>
      <c r="T51" t="s">
        <v>56</v>
      </c>
      <c r="U51" t="s">
        <v>5928</v>
      </c>
      <c r="V51" t="s">
        <v>56</v>
      </c>
      <c r="W51" t="s">
        <v>5928</v>
      </c>
      <c r="X51" t="s">
        <v>56</v>
      </c>
      <c r="Y51" t="s">
        <v>5928</v>
      </c>
      <c r="Z51">
        <v>1701</v>
      </c>
      <c r="AA51" t="s">
        <v>5966</v>
      </c>
      <c r="AB51">
        <v>170108</v>
      </c>
      <c r="AC51" t="s">
        <v>6058</v>
      </c>
      <c r="AD51">
        <v>5</v>
      </c>
      <c r="AE51" t="s">
        <v>5931</v>
      </c>
      <c r="AF51">
        <v>1</v>
      </c>
      <c r="AG51" t="s">
        <v>5932</v>
      </c>
      <c r="AH51" t="s">
        <v>6059</v>
      </c>
      <c r="AI51">
        <v>1</v>
      </c>
      <c r="AJ51" t="s">
        <v>4026</v>
      </c>
      <c r="AK51" t="s">
        <v>4027</v>
      </c>
      <c r="AL51" t="s">
        <v>4028</v>
      </c>
      <c r="AM51">
        <v>8</v>
      </c>
      <c r="AN51">
        <v>2</v>
      </c>
      <c r="AO51" t="s">
        <v>3897</v>
      </c>
      <c r="AP51">
        <v>1</v>
      </c>
      <c r="AQ51">
        <v>2</v>
      </c>
      <c r="AR51">
        <v>5</v>
      </c>
      <c r="AS51" t="s">
        <v>3899</v>
      </c>
      <c r="AT51">
        <v>6</v>
      </c>
      <c r="AU51">
        <v>5</v>
      </c>
      <c r="AV51" t="s">
        <v>5931</v>
      </c>
      <c r="AW51" t="s">
        <v>6060</v>
      </c>
      <c r="AX51" t="s">
        <v>56</v>
      </c>
      <c r="AY51">
        <v>2</v>
      </c>
      <c r="AZ51" t="s">
        <v>4776</v>
      </c>
    </row>
    <row r="52" spans="1:52" x14ac:dyDescent="0.25">
      <c r="A52" t="str">
        <f>"20200129174017098611"</f>
        <v>20200129174017098611</v>
      </c>
      <c r="B52">
        <v>1</v>
      </c>
      <c r="C52">
        <v>2</v>
      </c>
      <c r="D52" t="s">
        <v>5776</v>
      </c>
      <c r="E52" t="s">
        <v>56</v>
      </c>
      <c r="F52" t="s">
        <v>1627</v>
      </c>
      <c r="G52" t="s">
        <v>56</v>
      </c>
      <c r="H52" t="s">
        <v>56</v>
      </c>
      <c r="I52" t="s">
        <v>56</v>
      </c>
      <c r="J52" t="s">
        <v>56</v>
      </c>
      <c r="K52" t="s">
        <v>56</v>
      </c>
      <c r="L52" t="s">
        <v>56</v>
      </c>
      <c r="M52" t="s">
        <v>56</v>
      </c>
      <c r="N52" t="s">
        <v>56</v>
      </c>
      <c r="O52" t="s">
        <v>56</v>
      </c>
      <c r="P52" t="s">
        <v>56</v>
      </c>
      <c r="Q52" t="s">
        <v>5928</v>
      </c>
      <c r="R52" t="s">
        <v>56</v>
      </c>
      <c r="S52" t="s">
        <v>5928</v>
      </c>
      <c r="T52" t="s">
        <v>56</v>
      </c>
      <c r="U52" t="s">
        <v>5928</v>
      </c>
      <c r="V52" t="s">
        <v>56</v>
      </c>
      <c r="W52" t="s">
        <v>5928</v>
      </c>
      <c r="X52" t="s">
        <v>56</v>
      </c>
      <c r="Y52" t="s">
        <v>5928</v>
      </c>
      <c r="Z52">
        <v>1102</v>
      </c>
      <c r="AA52" t="s">
        <v>5936</v>
      </c>
      <c r="AB52">
        <v>110204</v>
      </c>
      <c r="AC52" t="s">
        <v>6046</v>
      </c>
      <c r="AD52">
        <v>5</v>
      </c>
      <c r="AE52" t="s">
        <v>5931</v>
      </c>
      <c r="AF52">
        <v>1</v>
      </c>
      <c r="AG52" t="s">
        <v>5932</v>
      </c>
      <c r="AH52" t="s">
        <v>5933</v>
      </c>
      <c r="AI52">
        <v>237</v>
      </c>
      <c r="AJ52" t="s">
        <v>4213</v>
      </c>
      <c r="AK52" t="s">
        <v>4214</v>
      </c>
      <c r="AL52" t="s">
        <v>4215</v>
      </c>
      <c r="AM52">
        <v>8</v>
      </c>
      <c r="AN52">
        <v>2</v>
      </c>
      <c r="AO52" t="s">
        <v>3897</v>
      </c>
      <c r="AP52">
        <v>10</v>
      </c>
      <c r="AQ52">
        <v>3</v>
      </c>
      <c r="AR52">
        <v>5</v>
      </c>
      <c r="AS52" t="s">
        <v>3899</v>
      </c>
      <c r="AT52">
        <v>270</v>
      </c>
      <c r="AU52">
        <v>5</v>
      </c>
      <c r="AV52" t="s">
        <v>5931</v>
      </c>
      <c r="AW52" t="s">
        <v>6061</v>
      </c>
      <c r="AX52" t="s">
        <v>56</v>
      </c>
      <c r="AY52">
        <v>2</v>
      </c>
      <c r="AZ52" t="s">
        <v>4776</v>
      </c>
    </row>
    <row r="53" spans="1:52" x14ac:dyDescent="0.25">
      <c r="A53" t="str">
        <f>"20200129131017099119"</f>
        <v>20200129131017099119</v>
      </c>
      <c r="B53">
        <v>1</v>
      </c>
      <c r="C53">
        <v>2</v>
      </c>
      <c r="D53" t="s">
        <v>5776</v>
      </c>
      <c r="E53" t="s">
        <v>56</v>
      </c>
      <c r="F53" t="s">
        <v>1627</v>
      </c>
      <c r="G53" t="s">
        <v>56</v>
      </c>
      <c r="H53" t="s">
        <v>56</v>
      </c>
      <c r="I53" t="s">
        <v>56</v>
      </c>
      <c r="J53" t="s">
        <v>56</v>
      </c>
      <c r="K53" t="s">
        <v>56</v>
      </c>
      <c r="L53" t="s">
        <v>56</v>
      </c>
      <c r="M53" t="s">
        <v>56</v>
      </c>
      <c r="N53" t="s">
        <v>56</v>
      </c>
      <c r="O53" t="s">
        <v>56</v>
      </c>
      <c r="P53" t="s">
        <v>56</v>
      </c>
      <c r="Q53" t="s">
        <v>5928</v>
      </c>
      <c r="R53" t="s">
        <v>56</v>
      </c>
      <c r="S53" t="s">
        <v>5928</v>
      </c>
      <c r="T53" t="s">
        <v>56</v>
      </c>
      <c r="U53" t="s">
        <v>5928</v>
      </c>
      <c r="V53" t="s">
        <v>56</v>
      </c>
      <c r="W53" t="s">
        <v>5928</v>
      </c>
      <c r="X53" t="s">
        <v>56</v>
      </c>
      <c r="Y53" t="s">
        <v>5928</v>
      </c>
      <c r="Z53">
        <v>1503</v>
      </c>
      <c r="AA53" t="s">
        <v>5994</v>
      </c>
      <c r="AB53">
        <v>150301</v>
      </c>
      <c r="AC53" t="s">
        <v>5995</v>
      </c>
      <c r="AD53">
        <v>3</v>
      </c>
      <c r="AE53" t="s">
        <v>5934</v>
      </c>
      <c r="AF53">
        <v>2</v>
      </c>
      <c r="AG53" t="s">
        <v>5963</v>
      </c>
      <c r="AH53" t="s">
        <v>6062</v>
      </c>
      <c r="AI53">
        <v>4</v>
      </c>
      <c r="AJ53" t="s">
        <v>4026</v>
      </c>
      <c r="AK53" t="s">
        <v>4027</v>
      </c>
      <c r="AL53" t="s">
        <v>4028</v>
      </c>
      <c r="AM53">
        <v>24</v>
      </c>
      <c r="AN53">
        <v>2</v>
      </c>
      <c r="AO53" t="s">
        <v>3897</v>
      </c>
      <c r="AP53">
        <v>10</v>
      </c>
      <c r="AQ53">
        <v>90</v>
      </c>
      <c r="AR53">
        <v>3</v>
      </c>
      <c r="AS53" t="s">
        <v>3911</v>
      </c>
      <c r="AT53">
        <v>360</v>
      </c>
      <c r="AU53">
        <v>3</v>
      </c>
      <c r="AV53" t="s">
        <v>5934</v>
      </c>
      <c r="AW53" t="s">
        <v>6063</v>
      </c>
      <c r="AX53" t="s">
        <v>56</v>
      </c>
      <c r="AY53">
        <v>1</v>
      </c>
      <c r="AZ53" t="s">
        <v>3902</v>
      </c>
    </row>
    <row r="54" spans="1:52" x14ac:dyDescent="0.25">
      <c r="A54" t="str">
        <f>"20200129178017106214"</f>
        <v>20200129178017106214</v>
      </c>
      <c r="B54">
        <v>1</v>
      </c>
      <c r="C54">
        <v>2</v>
      </c>
      <c r="D54" t="s">
        <v>5776</v>
      </c>
      <c r="E54" t="s">
        <v>56</v>
      </c>
      <c r="F54" t="s">
        <v>1627</v>
      </c>
      <c r="G54" t="s">
        <v>56</v>
      </c>
      <c r="H54" t="s">
        <v>56</v>
      </c>
      <c r="I54" t="s">
        <v>56</v>
      </c>
      <c r="J54" t="s">
        <v>56</v>
      </c>
      <c r="K54" t="s">
        <v>56</v>
      </c>
      <c r="L54" t="s">
        <v>56</v>
      </c>
      <c r="M54" t="s">
        <v>56</v>
      </c>
      <c r="N54" t="s">
        <v>56</v>
      </c>
      <c r="O54" t="s">
        <v>56</v>
      </c>
      <c r="P54" t="s">
        <v>56</v>
      </c>
      <c r="Q54" t="s">
        <v>5928</v>
      </c>
      <c r="R54" t="s">
        <v>56</v>
      </c>
      <c r="S54" t="s">
        <v>5928</v>
      </c>
      <c r="T54" t="s">
        <v>56</v>
      </c>
      <c r="U54" t="s">
        <v>5928</v>
      </c>
      <c r="V54" t="s">
        <v>56</v>
      </c>
      <c r="W54" t="s">
        <v>5928</v>
      </c>
      <c r="X54" t="s">
        <v>56</v>
      </c>
      <c r="Y54" t="s">
        <v>5928</v>
      </c>
      <c r="Z54">
        <v>1504</v>
      </c>
      <c r="AA54" t="s">
        <v>5929</v>
      </c>
      <c r="AB54">
        <v>150413</v>
      </c>
      <c r="AC54" t="s">
        <v>5930</v>
      </c>
      <c r="AD54">
        <v>3</v>
      </c>
      <c r="AE54" t="s">
        <v>5934</v>
      </c>
      <c r="AF54">
        <v>1</v>
      </c>
      <c r="AG54" t="s">
        <v>5932</v>
      </c>
      <c r="AH54" t="s">
        <v>6064</v>
      </c>
      <c r="AI54">
        <v>237</v>
      </c>
      <c r="AJ54" t="s">
        <v>4213</v>
      </c>
      <c r="AK54" t="s">
        <v>4214</v>
      </c>
      <c r="AL54" t="s">
        <v>4215</v>
      </c>
      <c r="AM54">
        <v>12</v>
      </c>
      <c r="AN54">
        <v>2</v>
      </c>
      <c r="AO54" t="s">
        <v>3897</v>
      </c>
      <c r="AP54">
        <v>10</v>
      </c>
      <c r="AQ54">
        <v>90</v>
      </c>
      <c r="AR54">
        <v>3</v>
      </c>
      <c r="AS54" t="s">
        <v>3911</v>
      </c>
      <c r="AT54">
        <v>180</v>
      </c>
      <c r="AU54">
        <v>3</v>
      </c>
      <c r="AV54" t="s">
        <v>5934</v>
      </c>
      <c r="AW54" t="s">
        <v>6065</v>
      </c>
      <c r="AX54" t="s">
        <v>56</v>
      </c>
      <c r="AY54">
        <v>2</v>
      </c>
      <c r="AZ54" t="s">
        <v>4776</v>
      </c>
    </row>
    <row r="55" spans="1:52" x14ac:dyDescent="0.25">
      <c r="A55" t="str">
        <f>"20200129184017106470"</f>
        <v>20200129184017106470</v>
      </c>
      <c r="B55">
        <v>1</v>
      </c>
      <c r="C55">
        <v>2</v>
      </c>
      <c r="D55" t="s">
        <v>5776</v>
      </c>
      <c r="E55" t="s">
        <v>56</v>
      </c>
      <c r="F55" t="s">
        <v>1627</v>
      </c>
      <c r="G55" t="s">
        <v>56</v>
      </c>
      <c r="H55" t="s">
        <v>56</v>
      </c>
      <c r="I55" t="s">
        <v>56</v>
      </c>
      <c r="J55" t="s">
        <v>56</v>
      </c>
      <c r="K55" t="s">
        <v>56</v>
      </c>
      <c r="L55" t="s">
        <v>56</v>
      </c>
      <c r="M55" t="s">
        <v>56</v>
      </c>
      <c r="N55" t="s">
        <v>56</v>
      </c>
      <c r="O55" t="s">
        <v>56</v>
      </c>
      <c r="P55" t="s">
        <v>56</v>
      </c>
      <c r="Q55" t="s">
        <v>5928</v>
      </c>
      <c r="R55" t="s">
        <v>56</v>
      </c>
      <c r="S55" t="s">
        <v>5928</v>
      </c>
      <c r="T55" t="s">
        <v>56</v>
      </c>
      <c r="U55" t="s">
        <v>5928</v>
      </c>
      <c r="V55" t="s">
        <v>56</v>
      </c>
      <c r="W55" t="s">
        <v>5928</v>
      </c>
      <c r="X55" t="s">
        <v>56</v>
      </c>
      <c r="Y55" t="s">
        <v>5928</v>
      </c>
      <c r="Z55">
        <v>1401</v>
      </c>
      <c r="AA55" t="s">
        <v>5956</v>
      </c>
      <c r="AB55">
        <v>140120</v>
      </c>
      <c r="AC55" t="s">
        <v>6066</v>
      </c>
      <c r="AD55">
        <v>3</v>
      </c>
      <c r="AE55" t="s">
        <v>5934</v>
      </c>
      <c r="AF55">
        <v>1</v>
      </c>
      <c r="AG55" t="s">
        <v>5932</v>
      </c>
      <c r="AH55" t="s">
        <v>6067</v>
      </c>
      <c r="AI55">
        <v>1</v>
      </c>
      <c r="AJ55">
        <v>9000</v>
      </c>
      <c r="AK55" t="s">
        <v>3956</v>
      </c>
      <c r="AL55" t="s">
        <v>3956</v>
      </c>
      <c r="AM55">
        <v>12</v>
      </c>
      <c r="AN55">
        <v>2</v>
      </c>
      <c r="AO55" t="s">
        <v>3897</v>
      </c>
      <c r="AP55">
        <v>10</v>
      </c>
      <c r="AQ55">
        <v>90</v>
      </c>
      <c r="AR55">
        <v>3</v>
      </c>
      <c r="AS55" t="s">
        <v>3911</v>
      </c>
      <c r="AT55">
        <v>180</v>
      </c>
      <c r="AU55">
        <v>3</v>
      </c>
      <c r="AV55" t="s">
        <v>5934</v>
      </c>
      <c r="AW55" t="s">
        <v>6068</v>
      </c>
      <c r="AX55" t="s">
        <v>56</v>
      </c>
      <c r="AY55">
        <v>2</v>
      </c>
      <c r="AZ55" t="s">
        <v>4776</v>
      </c>
    </row>
    <row r="56" spans="1:52" x14ac:dyDescent="0.25">
      <c r="A56" t="str">
        <f>"20200129137017106607"</f>
        <v>20200129137017106607</v>
      </c>
      <c r="B56">
        <v>1</v>
      </c>
      <c r="C56">
        <v>2</v>
      </c>
      <c r="D56" t="s">
        <v>5776</v>
      </c>
      <c r="E56" t="s">
        <v>56</v>
      </c>
      <c r="F56" t="s">
        <v>1627</v>
      </c>
      <c r="G56" t="s">
        <v>56</v>
      </c>
      <c r="H56" t="s">
        <v>56</v>
      </c>
      <c r="I56" t="s">
        <v>56</v>
      </c>
      <c r="J56" t="s">
        <v>56</v>
      </c>
      <c r="K56" t="s">
        <v>56</v>
      </c>
      <c r="L56" t="s">
        <v>56</v>
      </c>
      <c r="M56" t="s">
        <v>56</v>
      </c>
      <c r="N56" t="s">
        <v>56</v>
      </c>
      <c r="O56" t="s">
        <v>56</v>
      </c>
      <c r="P56" t="s">
        <v>56</v>
      </c>
      <c r="Q56" t="s">
        <v>5928</v>
      </c>
      <c r="R56">
        <v>1</v>
      </c>
      <c r="S56" t="s">
        <v>5941</v>
      </c>
      <c r="T56" t="s">
        <v>56</v>
      </c>
      <c r="U56" t="s">
        <v>5928</v>
      </c>
      <c r="V56" t="s">
        <v>56</v>
      </c>
      <c r="W56" t="s">
        <v>5928</v>
      </c>
      <c r="X56" t="s">
        <v>56</v>
      </c>
      <c r="Y56" t="s">
        <v>5928</v>
      </c>
      <c r="Z56">
        <v>1701</v>
      </c>
      <c r="AA56" t="s">
        <v>5966</v>
      </c>
      <c r="AB56">
        <v>170116</v>
      </c>
      <c r="AC56" t="s">
        <v>6069</v>
      </c>
      <c r="AD56">
        <v>3</v>
      </c>
      <c r="AE56" t="s">
        <v>5934</v>
      </c>
      <c r="AF56">
        <v>1</v>
      </c>
      <c r="AG56" t="s">
        <v>5932</v>
      </c>
      <c r="AH56" t="s">
        <v>6070</v>
      </c>
      <c r="AI56">
        <v>1</v>
      </c>
      <c r="AJ56" t="s">
        <v>4026</v>
      </c>
      <c r="AK56" t="s">
        <v>4027</v>
      </c>
      <c r="AL56" t="s">
        <v>4028</v>
      </c>
      <c r="AM56">
        <v>12</v>
      </c>
      <c r="AN56">
        <v>2</v>
      </c>
      <c r="AO56" t="s">
        <v>3897</v>
      </c>
      <c r="AP56">
        <v>10</v>
      </c>
      <c r="AQ56">
        <v>60</v>
      </c>
      <c r="AR56">
        <v>3</v>
      </c>
      <c r="AS56" t="s">
        <v>3911</v>
      </c>
      <c r="AT56">
        <v>120</v>
      </c>
      <c r="AU56">
        <v>3</v>
      </c>
      <c r="AV56" t="s">
        <v>5934</v>
      </c>
      <c r="AW56" t="s">
        <v>6071</v>
      </c>
      <c r="AX56" t="s">
        <v>56</v>
      </c>
      <c r="AY56">
        <v>1</v>
      </c>
      <c r="AZ56" t="s">
        <v>3902</v>
      </c>
    </row>
    <row r="57" spans="1:52" x14ac:dyDescent="0.25">
      <c r="A57" t="str">
        <f>"20200129110017106728"</f>
        <v>20200129110017106728</v>
      </c>
      <c r="B57">
        <v>1</v>
      </c>
      <c r="C57">
        <v>1</v>
      </c>
      <c r="D57" t="s">
        <v>5751</v>
      </c>
      <c r="E57" t="s">
        <v>56</v>
      </c>
      <c r="F57" t="s">
        <v>1627</v>
      </c>
      <c r="G57" t="s">
        <v>56</v>
      </c>
      <c r="H57" t="s">
        <v>56</v>
      </c>
      <c r="I57" t="s">
        <v>56</v>
      </c>
      <c r="J57" t="s">
        <v>56</v>
      </c>
      <c r="K57" t="s">
        <v>56</v>
      </c>
      <c r="L57" t="s">
        <v>56</v>
      </c>
      <c r="M57" t="s">
        <v>56</v>
      </c>
      <c r="N57" t="s">
        <v>56</v>
      </c>
      <c r="O57" t="s">
        <v>56</v>
      </c>
      <c r="P57" t="s">
        <v>56</v>
      </c>
      <c r="Q57" t="s">
        <v>5928</v>
      </c>
      <c r="R57" t="s">
        <v>56</v>
      </c>
      <c r="S57" t="s">
        <v>5928</v>
      </c>
      <c r="T57" t="s">
        <v>56</v>
      </c>
      <c r="U57" t="s">
        <v>5928</v>
      </c>
      <c r="V57" t="s">
        <v>56</v>
      </c>
      <c r="W57" t="s">
        <v>5928</v>
      </c>
      <c r="X57" t="s">
        <v>56</v>
      </c>
      <c r="Y57" t="s">
        <v>5928</v>
      </c>
      <c r="Z57">
        <v>1501</v>
      </c>
      <c r="AA57" t="s">
        <v>5949</v>
      </c>
      <c r="AB57">
        <v>150101</v>
      </c>
      <c r="AC57" t="s">
        <v>5950</v>
      </c>
      <c r="AD57">
        <v>3</v>
      </c>
      <c r="AE57" t="s">
        <v>5934</v>
      </c>
      <c r="AF57">
        <v>1</v>
      </c>
      <c r="AG57" t="s">
        <v>5932</v>
      </c>
      <c r="AH57" t="s">
        <v>6072</v>
      </c>
      <c r="AI57">
        <v>220</v>
      </c>
      <c r="AJ57" t="s">
        <v>4213</v>
      </c>
      <c r="AK57" t="s">
        <v>4214</v>
      </c>
      <c r="AL57" t="s">
        <v>4215</v>
      </c>
      <c r="AM57">
        <v>12</v>
      </c>
      <c r="AN57">
        <v>2</v>
      </c>
      <c r="AO57" t="s">
        <v>3897</v>
      </c>
      <c r="AP57">
        <v>10</v>
      </c>
      <c r="AQ57">
        <v>15</v>
      </c>
      <c r="AR57">
        <v>3</v>
      </c>
      <c r="AS57" t="s">
        <v>3911</v>
      </c>
      <c r="AT57">
        <v>30</v>
      </c>
      <c r="AU57">
        <v>3</v>
      </c>
      <c r="AV57" t="s">
        <v>5934</v>
      </c>
      <c r="AW57" t="s">
        <v>6073</v>
      </c>
      <c r="AX57" t="s">
        <v>56</v>
      </c>
      <c r="AY57">
        <v>1</v>
      </c>
      <c r="AZ57" t="s">
        <v>3902</v>
      </c>
    </row>
    <row r="58" spans="1:52" x14ac:dyDescent="0.25">
      <c r="A58" t="str">
        <f>"20200129120017107518"</f>
        <v>20200129120017107518</v>
      </c>
      <c r="B58">
        <v>1</v>
      </c>
      <c r="C58">
        <v>2</v>
      </c>
      <c r="D58" t="s">
        <v>5776</v>
      </c>
      <c r="E58" t="s">
        <v>56</v>
      </c>
      <c r="F58" t="s">
        <v>1627</v>
      </c>
      <c r="G58" t="s">
        <v>56</v>
      </c>
      <c r="H58" t="s">
        <v>56</v>
      </c>
      <c r="I58" t="s">
        <v>56</v>
      </c>
      <c r="J58" t="s">
        <v>56</v>
      </c>
      <c r="K58" t="s">
        <v>56</v>
      </c>
      <c r="L58" t="s">
        <v>56</v>
      </c>
      <c r="M58" t="s">
        <v>56</v>
      </c>
      <c r="N58" t="s">
        <v>56</v>
      </c>
      <c r="O58" t="s">
        <v>56</v>
      </c>
      <c r="P58" t="s">
        <v>56</v>
      </c>
      <c r="Q58" t="s">
        <v>5928</v>
      </c>
      <c r="R58" t="s">
        <v>56</v>
      </c>
      <c r="S58" t="s">
        <v>5928</v>
      </c>
      <c r="T58" t="s">
        <v>56</v>
      </c>
      <c r="U58" t="s">
        <v>5928</v>
      </c>
      <c r="V58" t="s">
        <v>56</v>
      </c>
      <c r="W58" t="s">
        <v>5928</v>
      </c>
      <c r="X58" t="s">
        <v>56</v>
      </c>
      <c r="Y58" t="s">
        <v>5928</v>
      </c>
      <c r="Z58">
        <v>1504</v>
      </c>
      <c r="AA58" t="s">
        <v>5929</v>
      </c>
      <c r="AB58">
        <v>150418</v>
      </c>
      <c r="AC58" t="s">
        <v>6074</v>
      </c>
      <c r="AD58">
        <v>5</v>
      </c>
      <c r="AE58" t="s">
        <v>5931</v>
      </c>
      <c r="AF58">
        <v>1</v>
      </c>
      <c r="AG58" t="s">
        <v>5932</v>
      </c>
      <c r="AH58" t="s">
        <v>6075</v>
      </c>
      <c r="AI58" t="s">
        <v>6076</v>
      </c>
      <c r="AJ58" t="s">
        <v>3929</v>
      </c>
      <c r="AK58" t="s">
        <v>3930</v>
      </c>
      <c r="AL58" t="s">
        <v>3931</v>
      </c>
      <c r="AM58">
        <v>12</v>
      </c>
      <c r="AN58">
        <v>2</v>
      </c>
      <c r="AO58" t="s">
        <v>3897</v>
      </c>
      <c r="AP58">
        <v>10</v>
      </c>
      <c r="AQ58">
        <v>90</v>
      </c>
      <c r="AR58">
        <v>3</v>
      </c>
      <c r="AS58" t="s">
        <v>3911</v>
      </c>
      <c r="AT58">
        <v>10</v>
      </c>
      <c r="AU58">
        <v>5</v>
      </c>
      <c r="AV58" t="s">
        <v>5931</v>
      </c>
      <c r="AW58" t="s">
        <v>6077</v>
      </c>
      <c r="AX58" t="s">
        <v>56</v>
      </c>
      <c r="AY58">
        <v>2</v>
      </c>
      <c r="AZ58" t="s">
        <v>4776</v>
      </c>
    </row>
    <row r="59" spans="1:52" x14ac:dyDescent="0.25">
      <c r="A59" t="str">
        <f>"20200129159017107987"</f>
        <v>20200129159017107987</v>
      </c>
      <c r="B59">
        <v>1</v>
      </c>
      <c r="C59">
        <v>1</v>
      </c>
      <c r="D59" t="s">
        <v>5751</v>
      </c>
      <c r="E59" t="s">
        <v>56</v>
      </c>
      <c r="F59" t="s">
        <v>1627</v>
      </c>
      <c r="G59" t="s">
        <v>56</v>
      </c>
      <c r="H59" t="s">
        <v>56</v>
      </c>
      <c r="I59" t="s">
        <v>56</v>
      </c>
      <c r="J59" t="s">
        <v>56</v>
      </c>
      <c r="K59" t="s">
        <v>56</v>
      </c>
      <c r="L59" t="s">
        <v>56</v>
      </c>
      <c r="M59" t="s">
        <v>56</v>
      </c>
      <c r="N59" t="s">
        <v>56</v>
      </c>
      <c r="O59" t="s">
        <v>56</v>
      </c>
      <c r="P59" t="s">
        <v>56</v>
      </c>
      <c r="Q59" t="s">
        <v>5928</v>
      </c>
      <c r="R59" t="s">
        <v>56</v>
      </c>
      <c r="S59" t="s">
        <v>5928</v>
      </c>
      <c r="T59" t="s">
        <v>56</v>
      </c>
      <c r="U59" t="s">
        <v>5928</v>
      </c>
      <c r="V59" t="s">
        <v>56</v>
      </c>
      <c r="W59" t="s">
        <v>5928</v>
      </c>
      <c r="X59" t="s">
        <v>56</v>
      </c>
      <c r="Y59" t="s">
        <v>5928</v>
      </c>
      <c r="Z59">
        <v>1701</v>
      </c>
      <c r="AA59" t="s">
        <v>5966</v>
      </c>
      <c r="AB59">
        <v>170147</v>
      </c>
      <c r="AC59" t="s">
        <v>6017</v>
      </c>
      <c r="AD59">
        <v>3</v>
      </c>
      <c r="AE59" t="s">
        <v>5934</v>
      </c>
      <c r="AF59">
        <v>1</v>
      </c>
      <c r="AG59" t="s">
        <v>5932</v>
      </c>
      <c r="AH59" t="s">
        <v>6078</v>
      </c>
      <c r="AI59">
        <v>237</v>
      </c>
      <c r="AJ59" t="s">
        <v>4213</v>
      </c>
      <c r="AK59" t="s">
        <v>4214</v>
      </c>
      <c r="AL59" t="s">
        <v>4215</v>
      </c>
      <c r="AM59">
        <v>24</v>
      </c>
      <c r="AN59">
        <v>2</v>
      </c>
      <c r="AO59" t="s">
        <v>3897</v>
      </c>
      <c r="AP59">
        <v>10</v>
      </c>
      <c r="AQ59">
        <v>90</v>
      </c>
      <c r="AR59">
        <v>3</v>
      </c>
      <c r="AS59" t="s">
        <v>3911</v>
      </c>
      <c r="AT59">
        <v>90</v>
      </c>
      <c r="AU59">
        <v>3</v>
      </c>
      <c r="AV59" t="s">
        <v>5934</v>
      </c>
      <c r="AW59" t="s">
        <v>6079</v>
      </c>
      <c r="AX59" t="s">
        <v>56</v>
      </c>
      <c r="AY59">
        <v>3</v>
      </c>
      <c r="AZ59" t="s">
        <v>5993</v>
      </c>
    </row>
    <row r="60" spans="1:52" x14ac:dyDescent="0.25">
      <c r="A60" t="str">
        <f>"20200129140017109050"</f>
        <v>20200129140017109050</v>
      </c>
      <c r="B60">
        <v>1</v>
      </c>
      <c r="C60">
        <v>1</v>
      </c>
      <c r="D60" t="s">
        <v>5751</v>
      </c>
      <c r="E60" t="s">
        <v>56</v>
      </c>
      <c r="F60" t="s">
        <v>1627</v>
      </c>
      <c r="G60" t="s">
        <v>56</v>
      </c>
      <c r="H60" t="s">
        <v>56</v>
      </c>
      <c r="I60" t="s">
        <v>56</v>
      </c>
      <c r="J60" t="s">
        <v>56</v>
      </c>
      <c r="K60" t="s">
        <v>56</v>
      </c>
      <c r="L60" t="s">
        <v>56</v>
      </c>
      <c r="M60" t="s">
        <v>56</v>
      </c>
      <c r="N60" t="s">
        <v>56</v>
      </c>
      <c r="O60" t="s">
        <v>56</v>
      </c>
      <c r="P60" t="s">
        <v>56</v>
      </c>
      <c r="Q60" t="s">
        <v>5928</v>
      </c>
      <c r="R60" t="s">
        <v>56</v>
      </c>
      <c r="S60" t="s">
        <v>5928</v>
      </c>
      <c r="T60" t="s">
        <v>56</v>
      </c>
      <c r="U60" t="s">
        <v>5928</v>
      </c>
      <c r="V60" t="s">
        <v>56</v>
      </c>
      <c r="W60" t="s">
        <v>5928</v>
      </c>
      <c r="X60" t="s">
        <v>56</v>
      </c>
      <c r="Y60" t="s">
        <v>5928</v>
      </c>
      <c r="Z60">
        <v>1701</v>
      </c>
      <c r="AA60" t="s">
        <v>5966</v>
      </c>
      <c r="AB60">
        <v>170147</v>
      </c>
      <c r="AC60" t="s">
        <v>6017</v>
      </c>
      <c r="AD60">
        <v>3</v>
      </c>
      <c r="AE60" t="s">
        <v>5934</v>
      </c>
      <c r="AF60">
        <v>1</v>
      </c>
      <c r="AG60" t="s">
        <v>5932</v>
      </c>
      <c r="AH60" t="s">
        <v>6080</v>
      </c>
      <c r="AI60">
        <v>237</v>
      </c>
      <c r="AJ60" t="s">
        <v>4213</v>
      </c>
      <c r="AK60" t="s">
        <v>4214</v>
      </c>
      <c r="AL60" t="s">
        <v>4215</v>
      </c>
      <c r="AM60">
        <v>24</v>
      </c>
      <c r="AN60">
        <v>2</v>
      </c>
      <c r="AO60" t="s">
        <v>3897</v>
      </c>
      <c r="AP60">
        <v>10</v>
      </c>
      <c r="AQ60">
        <v>90</v>
      </c>
      <c r="AR60">
        <v>3</v>
      </c>
      <c r="AS60" t="s">
        <v>3911</v>
      </c>
      <c r="AT60">
        <v>90</v>
      </c>
      <c r="AU60">
        <v>3</v>
      </c>
      <c r="AV60" t="s">
        <v>5934</v>
      </c>
      <c r="AW60" t="s">
        <v>6081</v>
      </c>
      <c r="AX60" t="s">
        <v>56</v>
      </c>
      <c r="AY60">
        <v>3</v>
      </c>
      <c r="AZ60" t="s">
        <v>5993</v>
      </c>
    </row>
    <row r="61" spans="1:52" x14ac:dyDescent="0.25">
      <c r="A61" t="str">
        <f>"20200129150017110473"</f>
        <v>20200129150017110473</v>
      </c>
      <c r="B61">
        <v>1</v>
      </c>
      <c r="C61">
        <v>2</v>
      </c>
      <c r="D61" t="s">
        <v>5776</v>
      </c>
      <c r="E61" t="s">
        <v>56</v>
      </c>
      <c r="F61" t="s">
        <v>1627</v>
      </c>
      <c r="G61" t="s">
        <v>56</v>
      </c>
      <c r="H61" t="s">
        <v>56</v>
      </c>
      <c r="I61" t="s">
        <v>56</v>
      </c>
      <c r="J61" t="s">
        <v>56</v>
      </c>
      <c r="K61" t="s">
        <v>56</v>
      </c>
      <c r="L61" t="s">
        <v>56</v>
      </c>
      <c r="M61" t="s">
        <v>56</v>
      </c>
      <c r="N61" t="s">
        <v>56</v>
      </c>
      <c r="O61" t="s">
        <v>56</v>
      </c>
      <c r="P61" t="s">
        <v>56</v>
      </c>
      <c r="Q61" t="s">
        <v>5928</v>
      </c>
      <c r="R61" t="s">
        <v>56</v>
      </c>
      <c r="S61" t="s">
        <v>5928</v>
      </c>
      <c r="T61" t="s">
        <v>56</v>
      </c>
      <c r="U61" t="s">
        <v>5928</v>
      </c>
      <c r="V61" t="s">
        <v>56</v>
      </c>
      <c r="W61" t="s">
        <v>5928</v>
      </c>
      <c r="X61" t="s">
        <v>56</v>
      </c>
      <c r="Y61" t="s">
        <v>5928</v>
      </c>
      <c r="Z61">
        <v>1701</v>
      </c>
      <c r="AA61" t="s">
        <v>5966</v>
      </c>
      <c r="AB61">
        <v>170147</v>
      </c>
      <c r="AC61" t="s">
        <v>6017</v>
      </c>
      <c r="AD61">
        <v>3</v>
      </c>
      <c r="AE61" t="s">
        <v>5934</v>
      </c>
      <c r="AF61">
        <v>1</v>
      </c>
      <c r="AG61" t="s">
        <v>5932</v>
      </c>
      <c r="AH61" t="s">
        <v>6082</v>
      </c>
      <c r="AI61">
        <v>1</v>
      </c>
      <c r="AJ61">
        <v>9000</v>
      </c>
      <c r="AK61" t="s">
        <v>3956</v>
      </c>
      <c r="AL61" t="s">
        <v>3956</v>
      </c>
      <c r="AM61">
        <v>12</v>
      </c>
      <c r="AN61">
        <v>2</v>
      </c>
      <c r="AO61" t="s">
        <v>3897</v>
      </c>
      <c r="AP61">
        <v>10</v>
      </c>
      <c r="AQ61">
        <v>90</v>
      </c>
      <c r="AR61">
        <v>3</v>
      </c>
      <c r="AS61" t="s">
        <v>3911</v>
      </c>
      <c r="AT61">
        <v>180</v>
      </c>
      <c r="AU61">
        <v>3</v>
      </c>
      <c r="AV61" t="s">
        <v>5934</v>
      </c>
      <c r="AW61" t="s">
        <v>6083</v>
      </c>
      <c r="AX61" t="s">
        <v>56</v>
      </c>
      <c r="AY61">
        <v>2</v>
      </c>
      <c r="AZ61" t="s">
        <v>4776</v>
      </c>
    </row>
    <row r="62" spans="1:52" x14ac:dyDescent="0.25">
      <c r="A62" t="str">
        <f>"20200129124017111653"</f>
        <v>20200129124017111653</v>
      </c>
      <c r="B62">
        <v>1</v>
      </c>
      <c r="C62">
        <v>2</v>
      </c>
      <c r="D62" t="s">
        <v>5776</v>
      </c>
      <c r="E62" t="s">
        <v>56</v>
      </c>
      <c r="F62" t="s">
        <v>1627</v>
      </c>
      <c r="G62" t="s">
        <v>56</v>
      </c>
      <c r="H62" t="s">
        <v>56</v>
      </c>
      <c r="I62" t="s">
        <v>56</v>
      </c>
      <c r="J62" t="s">
        <v>56</v>
      </c>
      <c r="K62" t="s">
        <v>56</v>
      </c>
      <c r="L62" t="s">
        <v>56</v>
      </c>
      <c r="M62" t="s">
        <v>56</v>
      </c>
      <c r="N62" t="s">
        <v>56</v>
      </c>
      <c r="O62" t="s">
        <v>56</v>
      </c>
      <c r="P62" t="s">
        <v>56</v>
      </c>
      <c r="Q62" t="s">
        <v>5928</v>
      </c>
      <c r="R62" t="s">
        <v>56</v>
      </c>
      <c r="S62" t="s">
        <v>5928</v>
      </c>
      <c r="T62" t="s">
        <v>56</v>
      </c>
      <c r="U62" t="s">
        <v>5928</v>
      </c>
      <c r="V62" t="s">
        <v>56</v>
      </c>
      <c r="W62" t="s">
        <v>5928</v>
      </c>
      <c r="X62" t="s">
        <v>56</v>
      </c>
      <c r="Y62" t="s">
        <v>5928</v>
      </c>
      <c r="Z62">
        <v>1701</v>
      </c>
      <c r="AA62" t="s">
        <v>5966</v>
      </c>
      <c r="AB62">
        <v>170147</v>
      </c>
      <c r="AC62" t="s">
        <v>6017</v>
      </c>
      <c r="AD62">
        <v>3</v>
      </c>
      <c r="AE62" t="s">
        <v>5934</v>
      </c>
      <c r="AF62">
        <v>1</v>
      </c>
      <c r="AG62" t="s">
        <v>5932</v>
      </c>
      <c r="AH62" t="s">
        <v>6084</v>
      </c>
      <c r="AI62">
        <v>1</v>
      </c>
      <c r="AJ62">
        <v>9000</v>
      </c>
      <c r="AK62" t="s">
        <v>3956</v>
      </c>
      <c r="AL62" t="s">
        <v>3956</v>
      </c>
      <c r="AM62">
        <v>12</v>
      </c>
      <c r="AN62">
        <v>2</v>
      </c>
      <c r="AO62" t="s">
        <v>3897</v>
      </c>
      <c r="AP62">
        <v>10</v>
      </c>
      <c r="AQ62">
        <v>90</v>
      </c>
      <c r="AR62">
        <v>3</v>
      </c>
      <c r="AS62" t="s">
        <v>3911</v>
      </c>
      <c r="AT62">
        <v>180</v>
      </c>
      <c r="AU62">
        <v>3</v>
      </c>
      <c r="AV62" t="s">
        <v>5934</v>
      </c>
      <c r="AW62" t="s">
        <v>6085</v>
      </c>
      <c r="AX62" t="s">
        <v>56</v>
      </c>
      <c r="AY62">
        <v>2</v>
      </c>
      <c r="AZ62" t="s">
        <v>4776</v>
      </c>
    </row>
    <row r="63" spans="1:52" x14ac:dyDescent="0.25">
      <c r="A63" t="str">
        <f>"20200129169017112706"</f>
        <v>20200129169017112706</v>
      </c>
      <c r="B63">
        <v>1</v>
      </c>
      <c r="C63">
        <v>1</v>
      </c>
      <c r="D63" t="s">
        <v>5751</v>
      </c>
      <c r="E63" t="s">
        <v>56</v>
      </c>
      <c r="F63" t="s">
        <v>1627</v>
      </c>
      <c r="G63" t="s">
        <v>56</v>
      </c>
      <c r="H63" t="s">
        <v>56</v>
      </c>
      <c r="I63" t="s">
        <v>56</v>
      </c>
      <c r="J63" t="s">
        <v>56</v>
      </c>
      <c r="K63" t="s">
        <v>56</v>
      </c>
      <c r="L63" t="s">
        <v>56</v>
      </c>
      <c r="M63" t="s">
        <v>56</v>
      </c>
      <c r="N63" t="s">
        <v>56</v>
      </c>
      <c r="O63" t="s">
        <v>56</v>
      </c>
      <c r="P63" t="s">
        <v>56</v>
      </c>
      <c r="Q63" t="s">
        <v>5928</v>
      </c>
      <c r="R63" t="s">
        <v>56</v>
      </c>
      <c r="S63" t="s">
        <v>5928</v>
      </c>
      <c r="T63" t="s">
        <v>56</v>
      </c>
      <c r="U63" t="s">
        <v>5928</v>
      </c>
      <c r="V63" t="s">
        <v>56</v>
      </c>
      <c r="W63" t="s">
        <v>5928</v>
      </c>
      <c r="X63" t="s">
        <v>56</v>
      </c>
      <c r="Y63" t="s">
        <v>5928</v>
      </c>
      <c r="Z63">
        <v>1701</v>
      </c>
      <c r="AA63" t="s">
        <v>5966</v>
      </c>
      <c r="AB63">
        <v>170147</v>
      </c>
      <c r="AC63" t="s">
        <v>6017</v>
      </c>
      <c r="AD63">
        <v>3</v>
      </c>
      <c r="AE63" t="s">
        <v>5934</v>
      </c>
      <c r="AF63">
        <v>1</v>
      </c>
      <c r="AG63" t="s">
        <v>5932</v>
      </c>
      <c r="AH63" t="s">
        <v>6086</v>
      </c>
      <c r="AI63">
        <v>1</v>
      </c>
      <c r="AJ63" t="s">
        <v>4026</v>
      </c>
      <c r="AK63" t="s">
        <v>4027</v>
      </c>
      <c r="AL63" t="s">
        <v>4028</v>
      </c>
      <c r="AM63">
        <v>8</v>
      </c>
      <c r="AN63">
        <v>2</v>
      </c>
      <c r="AO63" t="s">
        <v>3897</v>
      </c>
      <c r="AP63">
        <v>1</v>
      </c>
      <c r="AQ63">
        <v>3</v>
      </c>
      <c r="AR63">
        <v>5</v>
      </c>
      <c r="AS63" t="s">
        <v>3899</v>
      </c>
      <c r="AT63">
        <v>270</v>
      </c>
      <c r="AU63">
        <v>3</v>
      </c>
      <c r="AV63" t="s">
        <v>5934</v>
      </c>
      <c r="AW63" t="s">
        <v>5972</v>
      </c>
      <c r="AX63" t="s">
        <v>56</v>
      </c>
      <c r="AY63">
        <v>2</v>
      </c>
      <c r="AZ63" t="s">
        <v>4776</v>
      </c>
    </row>
    <row r="64" spans="1:52" x14ac:dyDescent="0.25">
      <c r="A64" t="str">
        <f>"20200127150017042022"</f>
        <v>20200127150017042022</v>
      </c>
      <c r="B64">
        <v>1</v>
      </c>
      <c r="C64">
        <v>2</v>
      </c>
      <c r="D64" t="s">
        <v>5776</v>
      </c>
      <c r="E64" t="s">
        <v>56</v>
      </c>
      <c r="F64" t="s">
        <v>1627</v>
      </c>
      <c r="G64" t="s">
        <v>56</v>
      </c>
      <c r="H64" t="s">
        <v>56</v>
      </c>
      <c r="I64" t="s">
        <v>56</v>
      </c>
      <c r="J64" t="s">
        <v>56</v>
      </c>
      <c r="K64" t="s">
        <v>56</v>
      </c>
      <c r="L64" t="s">
        <v>56</v>
      </c>
      <c r="M64" t="s">
        <v>56</v>
      </c>
      <c r="N64" t="s">
        <v>56</v>
      </c>
      <c r="O64" t="s">
        <v>56</v>
      </c>
      <c r="P64" t="s">
        <v>56</v>
      </c>
      <c r="Q64" t="s">
        <v>5928</v>
      </c>
      <c r="R64" t="s">
        <v>56</v>
      </c>
      <c r="S64" t="s">
        <v>5928</v>
      </c>
      <c r="T64" t="s">
        <v>56</v>
      </c>
      <c r="U64" t="s">
        <v>5928</v>
      </c>
      <c r="V64" t="s">
        <v>56</v>
      </c>
      <c r="W64" t="s">
        <v>5928</v>
      </c>
      <c r="X64" t="s">
        <v>56</v>
      </c>
      <c r="Y64" t="s">
        <v>5928</v>
      </c>
      <c r="Z64">
        <v>1102</v>
      </c>
      <c r="AA64" t="s">
        <v>5936</v>
      </c>
      <c r="AB64">
        <v>110204</v>
      </c>
      <c r="AC64" t="s">
        <v>6046</v>
      </c>
      <c r="AD64">
        <v>5</v>
      </c>
      <c r="AE64" t="s">
        <v>5931</v>
      </c>
      <c r="AF64">
        <v>1</v>
      </c>
      <c r="AG64" t="s">
        <v>5932</v>
      </c>
      <c r="AH64" t="s">
        <v>6087</v>
      </c>
      <c r="AI64">
        <v>47</v>
      </c>
      <c r="AJ64" t="s">
        <v>3929</v>
      </c>
      <c r="AK64" t="s">
        <v>3930</v>
      </c>
      <c r="AL64" t="s">
        <v>3931</v>
      </c>
      <c r="AM64">
        <v>24</v>
      </c>
      <c r="AN64">
        <v>2</v>
      </c>
      <c r="AO64" t="s">
        <v>3897</v>
      </c>
      <c r="AP64">
        <v>10</v>
      </c>
      <c r="AQ64">
        <v>120</v>
      </c>
      <c r="AR64">
        <v>3</v>
      </c>
      <c r="AS64" t="s">
        <v>3911</v>
      </c>
      <c r="AT64">
        <v>24</v>
      </c>
      <c r="AU64">
        <v>5</v>
      </c>
      <c r="AV64" t="s">
        <v>5931</v>
      </c>
      <c r="AW64" t="s">
        <v>6088</v>
      </c>
      <c r="AX64" t="s">
        <v>56</v>
      </c>
      <c r="AY64">
        <v>3</v>
      </c>
      <c r="AZ64" t="s">
        <v>5993</v>
      </c>
    </row>
    <row r="65" spans="1:52" x14ac:dyDescent="0.25">
      <c r="A65" t="str">
        <f>"20200127165017043081"</f>
        <v>20200127165017043081</v>
      </c>
      <c r="B65">
        <v>1</v>
      </c>
      <c r="C65">
        <v>1</v>
      </c>
      <c r="D65" t="s">
        <v>5751</v>
      </c>
      <c r="E65" t="s">
        <v>56</v>
      </c>
      <c r="F65" t="s">
        <v>1627</v>
      </c>
      <c r="G65" t="s">
        <v>56</v>
      </c>
      <c r="H65" t="s">
        <v>56</v>
      </c>
      <c r="I65" t="s">
        <v>56</v>
      </c>
      <c r="J65" t="s">
        <v>56</v>
      </c>
      <c r="K65" t="s">
        <v>56</v>
      </c>
      <c r="L65" t="s">
        <v>56</v>
      </c>
      <c r="M65" t="s">
        <v>56</v>
      </c>
      <c r="N65" t="s">
        <v>56</v>
      </c>
      <c r="O65" t="s">
        <v>56</v>
      </c>
      <c r="P65">
        <v>0</v>
      </c>
      <c r="Q65" t="s">
        <v>5989</v>
      </c>
      <c r="R65">
        <v>0</v>
      </c>
      <c r="S65" t="s">
        <v>5989</v>
      </c>
      <c r="T65">
        <v>0</v>
      </c>
      <c r="U65" t="s">
        <v>5989</v>
      </c>
      <c r="V65">
        <v>0</v>
      </c>
      <c r="W65" t="s">
        <v>5989</v>
      </c>
      <c r="X65">
        <v>1</v>
      </c>
      <c r="Y65" t="s">
        <v>5941</v>
      </c>
      <c r="Z65">
        <v>1404</v>
      </c>
      <c r="AA65" t="s">
        <v>5944</v>
      </c>
      <c r="AB65">
        <v>140402</v>
      </c>
      <c r="AC65" t="s">
        <v>5945</v>
      </c>
      <c r="AD65">
        <v>9</v>
      </c>
      <c r="AE65" t="s">
        <v>5946</v>
      </c>
      <c r="AF65">
        <v>1</v>
      </c>
      <c r="AG65" t="s">
        <v>5932</v>
      </c>
      <c r="AH65" t="s">
        <v>6089</v>
      </c>
      <c r="AI65">
        <v>92</v>
      </c>
      <c r="AJ65" t="s">
        <v>3929</v>
      </c>
      <c r="AK65" t="s">
        <v>3930</v>
      </c>
      <c r="AL65" t="s">
        <v>3931</v>
      </c>
      <c r="AM65">
        <v>12</v>
      </c>
      <c r="AN65">
        <v>2</v>
      </c>
      <c r="AO65" t="s">
        <v>3897</v>
      </c>
      <c r="AP65">
        <v>1</v>
      </c>
      <c r="AQ65">
        <v>1</v>
      </c>
      <c r="AR65">
        <v>5</v>
      </c>
      <c r="AS65" t="s">
        <v>3899</v>
      </c>
      <c r="AT65">
        <v>60</v>
      </c>
      <c r="AU65">
        <v>9</v>
      </c>
      <c r="AV65" t="s">
        <v>5946</v>
      </c>
      <c r="AW65" t="s">
        <v>6090</v>
      </c>
      <c r="AX65" t="s">
        <v>56</v>
      </c>
      <c r="AY65">
        <v>1</v>
      </c>
      <c r="AZ65" t="s">
        <v>3902</v>
      </c>
    </row>
    <row r="66" spans="1:52" x14ac:dyDescent="0.25">
      <c r="A66" t="str">
        <f>"20200127136017044203"</f>
        <v>20200127136017044203</v>
      </c>
      <c r="B66">
        <v>1</v>
      </c>
      <c r="C66">
        <v>2</v>
      </c>
      <c r="D66" t="s">
        <v>5776</v>
      </c>
      <c r="E66" t="s">
        <v>56</v>
      </c>
      <c r="F66" t="s">
        <v>1627</v>
      </c>
      <c r="G66" t="s">
        <v>56</v>
      </c>
      <c r="H66" t="s">
        <v>56</v>
      </c>
      <c r="I66" t="s">
        <v>56</v>
      </c>
      <c r="J66" t="s">
        <v>56</v>
      </c>
      <c r="K66" t="s">
        <v>56</v>
      </c>
      <c r="L66" t="s">
        <v>56</v>
      </c>
      <c r="M66" t="s">
        <v>56</v>
      </c>
      <c r="N66" t="s">
        <v>56</v>
      </c>
      <c r="O66" t="s">
        <v>56</v>
      </c>
      <c r="P66" t="s">
        <v>56</v>
      </c>
      <c r="Q66" t="s">
        <v>5928</v>
      </c>
      <c r="R66" t="s">
        <v>56</v>
      </c>
      <c r="S66" t="s">
        <v>5928</v>
      </c>
      <c r="T66" t="s">
        <v>56</v>
      </c>
      <c r="U66" t="s">
        <v>5928</v>
      </c>
      <c r="V66" t="s">
        <v>56</v>
      </c>
      <c r="W66" t="s">
        <v>5928</v>
      </c>
      <c r="X66" t="s">
        <v>56</v>
      </c>
      <c r="Y66" t="s">
        <v>5928</v>
      </c>
      <c r="Z66">
        <v>1501</v>
      </c>
      <c r="AA66" t="s">
        <v>5949</v>
      </c>
      <c r="AB66">
        <v>150101</v>
      </c>
      <c r="AC66" t="s">
        <v>5950</v>
      </c>
      <c r="AD66">
        <v>3</v>
      </c>
      <c r="AE66" t="s">
        <v>5934</v>
      </c>
      <c r="AF66">
        <v>1</v>
      </c>
      <c r="AG66" t="s">
        <v>5932</v>
      </c>
      <c r="AH66" t="s">
        <v>6091</v>
      </c>
      <c r="AI66">
        <v>1</v>
      </c>
      <c r="AJ66" t="s">
        <v>4026</v>
      </c>
      <c r="AK66" t="s">
        <v>4027</v>
      </c>
      <c r="AL66" t="s">
        <v>4028</v>
      </c>
      <c r="AM66">
        <v>12</v>
      </c>
      <c r="AN66">
        <v>2</v>
      </c>
      <c r="AO66" t="s">
        <v>3897</v>
      </c>
      <c r="AP66">
        <v>10</v>
      </c>
      <c r="AQ66">
        <v>90</v>
      </c>
      <c r="AR66">
        <v>3</v>
      </c>
      <c r="AS66" t="s">
        <v>3911</v>
      </c>
      <c r="AT66">
        <v>180</v>
      </c>
      <c r="AU66">
        <v>3</v>
      </c>
      <c r="AV66" t="s">
        <v>5934</v>
      </c>
      <c r="AW66" t="s">
        <v>6092</v>
      </c>
      <c r="AX66" t="s">
        <v>56</v>
      </c>
      <c r="AY66">
        <v>2</v>
      </c>
      <c r="AZ66" t="s">
        <v>4776</v>
      </c>
    </row>
    <row r="67" spans="1:52" x14ac:dyDescent="0.25">
      <c r="A67" t="str">
        <f>"20200127163017045284"</f>
        <v>20200127163017045284</v>
      </c>
      <c r="B67">
        <v>1</v>
      </c>
      <c r="C67">
        <v>2</v>
      </c>
      <c r="D67" t="s">
        <v>5776</v>
      </c>
      <c r="E67" t="s">
        <v>56</v>
      </c>
      <c r="F67" t="s">
        <v>1627</v>
      </c>
      <c r="G67" t="s">
        <v>56</v>
      </c>
      <c r="H67" t="s">
        <v>56</v>
      </c>
      <c r="I67" t="s">
        <v>56</v>
      </c>
      <c r="J67" t="s">
        <v>56</v>
      </c>
      <c r="K67" t="s">
        <v>56</v>
      </c>
      <c r="L67" t="s">
        <v>56</v>
      </c>
      <c r="M67" t="s">
        <v>56</v>
      </c>
      <c r="N67" t="s">
        <v>56</v>
      </c>
      <c r="O67" t="s">
        <v>56</v>
      </c>
      <c r="P67" t="s">
        <v>56</v>
      </c>
      <c r="Q67" t="s">
        <v>5928</v>
      </c>
      <c r="R67" t="s">
        <v>56</v>
      </c>
      <c r="S67" t="s">
        <v>5928</v>
      </c>
      <c r="T67" t="s">
        <v>56</v>
      </c>
      <c r="U67" t="s">
        <v>5928</v>
      </c>
      <c r="V67" t="s">
        <v>56</v>
      </c>
      <c r="W67" t="s">
        <v>5928</v>
      </c>
      <c r="X67" t="s">
        <v>56</v>
      </c>
      <c r="Y67" t="s">
        <v>5928</v>
      </c>
      <c r="Z67">
        <v>1501</v>
      </c>
      <c r="AA67" t="s">
        <v>5949</v>
      </c>
      <c r="AB67">
        <v>150101</v>
      </c>
      <c r="AC67" t="s">
        <v>5950</v>
      </c>
      <c r="AD67">
        <v>3</v>
      </c>
      <c r="AE67" t="s">
        <v>5934</v>
      </c>
      <c r="AF67">
        <v>1</v>
      </c>
      <c r="AG67" t="s">
        <v>5932</v>
      </c>
      <c r="AH67" t="s">
        <v>6093</v>
      </c>
      <c r="AI67">
        <v>1</v>
      </c>
      <c r="AJ67" t="s">
        <v>4026</v>
      </c>
      <c r="AK67" t="s">
        <v>4027</v>
      </c>
      <c r="AL67" t="s">
        <v>4028</v>
      </c>
      <c r="AM67">
        <v>8</v>
      </c>
      <c r="AN67">
        <v>2</v>
      </c>
      <c r="AO67" t="s">
        <v>3897</v>
      </c>
      <c r="AP67">
        <v>10</v>
      </c>
      <c r="AQ67">
        <v>10</v>
      </c>
      <c r="AR67">
        <v>3</v>
      </c>
      <c r="AS67" t="s">
        <v>3911</v>
      </c>
      <c r="AT67">
        <v>30</v>
      </c>
      <c r="AU67">
        <v>3</v>
      </c>
      <c r="AV67" t="s">
        <v>5934</v>
      </c>
      <c r="AW67" t="s">
        <v>6094</v>
      </c>
      <c r="AX67" t="s">
        <v>56</v>
      </c>
      <c r="AY67">
        <v>1</v>
      </c>
      <c r="AZ67" t="s">
        <v>3902</v>
      </c>
    </row>
    <row r="68" spans="1:52" x14ac:dyDescent="0.25">
      <c r="A68" t="str">
        <f>"20200127145017046379"</f>
        <v>20200127145017046379</v>
      </c>
      <c r="B68">
        <v>1</v>
      </c>
      <c r="C68">
        <v>2</v>
      </c>
      <c r="D68" t="s">
        <v>5776</v>
      </c>
      <c r="E68" t="s">
        <v>56</v>
      </c>
      <c r="F68" t="s">
        <v>1627</v>
      </c>
      <c r="G68" t="s">
        <v>56</v>
      </c>
      <c r="H68" t="s">
        <v>56</v>
      </c>
      <c r="I68" t="s">
        <v>56</v>
      </c>
      <c r="J68" t="s">
        <v>56</v>
      </c>
      <c r="K68" t="s">
        <v>56</v>
      </c>
      <c r="L68" t="s">
        <v>56</v>
      </c>
      <c r="M68" t="s">
        <v>56</v>
      </c>
      <c r="N68" t="s">
        <v>56</v>
      </c>
      <c r="O68" t="s">
        <v>56</v>
      </c>
      <c r="P68" t="s">
        <v>56</v>
      </c>
      <c r="Q68" t="s">
        <v>5928</v>
      </c>
      <c r="R68" t="s">
        <v>56</v>
      </c>
      <c r="S68" t="s">
        <v>5928</v>
      </c>
      <c r="T68" t="s">
        <v>56</v>
      </c>
      <c r="U68" t="s">
        <v>5928</v>
      </c>
      <c r="V68" t="s">
        <v>56</v>
      </c>
      <c r="W68" t="s">
        <v>5928</v>
      </c>
      <c r="X68" t="s">
        <v>56</v>
      </c>
      <c r="Y68" t="s">
        <v>5928</v>
      </c>
      <c r="Z68">
        <v>1503</v>
      </c>
      <c r="AA68" t="s">
        <v>5994</v>
      </c>
      <c r="AB68">
        <v>150301</v>
      </c>
      <c r="AC68" t="s">
        <v>5995</v>
      </c>
      <c r="AD68">
        <v>3</v>
      </c>
      <c r="AE68" t="s">
        <v>5934</v>
      </c>
      <c r="AF68">
        <v>2</v>
      </c>
      <c r="AG68" t="s">
        <v>5963</v>
      </c>
      <c r="AH68" t="s">
        <v>6095</v>
      </c>
      <c r="AI68">
        <v>1</v>
      </c>
      <c r="AJ68" t="s">
        <v>4026</v>
      </c>
      <c r="AK68" t="s">
        <v>4027</v>
      </c>
      <c r="AL68" t="s">
        <v>4028</v>
      </c>
      <c r="AM68">
        <v>6</v>
      </c>
      <c r="AN68">
        <v>2</v>
      </c>
      <c r="AO68" t="s">
        <v>3897</v>
      </c>
      <c r="AP68">
        <v>10</v>
      </c>
      <c r="AQ68">
        <v>10</v>
      </c>
      <c r="AR68">
        <v>3</v>
      </c>
      <c r="AS68" t="s">
        <v>3911</v>
      </c>
      <c r="AT68">
        <v>40</v>
      </c>
      <c r="AU68">
        <v>3</v>
      </c>
      <c r="AV68" t="s">
        <v>5934</v>
      </c>
      <c r="AW68" t="s">
        <v>6096</v>
      </c>
      <c r="AX68" t="s">
        <v>56</v>
      </c>
      <c r="AY68">
        <v>1</v>
      </c>
      <c r="AZ68" t="s">
        <v>3902</v>
      </c>
    </row>
    <row r="69" spans="1:52" x14ac:dyDescent="0.25">
      <c r="A69" t="str">
        <f>"20200127114017051526"</f>
        <v>20200127114017051526</v>
      </c>
      <c r="B69">
        <v>1</v>
      </c>
      <c r="C69">
        <v>2</v>
      </c>
      <c r="D69" t="s">
        <v>5776</v>
      </c>
      <c r="E69" t="s">
        <v>56</v>
      </c>
      <c r="F69" t="s">
        <v>1627</v>
      </c>
      <c r="G69" t="s">
        <v>56</v>
      </c>
      <c r="H69" t="s">
        <v>56</v>
      </c>
      <c r="I69" t="s">
        <v>56</v>
      </c>
      <c r="J69" t="s">
        <v>56</v>
      </c>
      <c r="K69" t="s">
        <v>56</v>
      </c>
      <c r="L69" t="s">
        <v>56</v>
      </c>
      <c r="M69" t="s">
        <v>56</v>
      </c>
      <c r="N69" t="s">
        <v>56</v>
      </c>
      <c r="O69" t="s">
        <v>56</v>
      </c>
      <c r="P69" t="s">
        <v>56</v>
      </c>
      <c r="Q69" t="s">
        <v>5928</v>
      </c>
      <c r="R69" t="s">
        <v>56</v>
      </c>
      <c r="S69" t="s">
        <v>5928</v>
      </c>
      <c r="T69" t="s">
        <v>56</v>
      </c>
      <c r="U69" t="s">
        <v>5928</v>
      </c>
      <c r="V69" t="s">
        <v>56</v>
      </c>
      <c r="W69" t="s">
        <v>5928</v>
      </c>
      <c r="X69" t="s">
        <v>56</v>
      </c>
      <c r="Y69" t="s">
        <v>5928</v>
      </c>
      <c r="Z69">
        <v>1501</v>
      </c>
      <c r="AA69" t="s">
        <v>5949</v>
      </c>
      <c r="AB69">
        <v>150101</v>
      </c>
      <c r="AC69" t="s">
        <v>5950</v>
      </c>
      <c r="AD69">
        <v>3</v>
      </c>
      <c r="AE69" t="s">
        <v>5934</v>
      </c>
      <c r="AF69">
        <v>2</v>
      </c>
      <c r="AG69" t="s">
        <v>5963</v>
      </c>
      <c r="AH69" t="s">
        <v>6097</v>
      </c>
      <c r="AI69">
        <v>6</v>
      </c>
      <c r="AJ69" t="s">
        <v>4026</v>
      </c>
      <c r="AK69" t="s">
        <v>4027</v>
      </c>
      <c r="AL69" t="s">
        <v>4028</v>
      </c>
      <c r="AM69">
        <v>24</v>
      </c>
      <c r="AN69">
        <v>2</v>
      </c>
      <c r="AO69" t="s">
        <v>3897</v>
      </c>
      <c r="AP69">
        <v>5</v>
      </c>
      <c r="AQ69">
        <v>30</v>
      </c>
      <c r="AR69">
        <v>3</v>
      </c>
      <c r="AS69" t="s">
        <v>3911</v>
      </c>
      <c r="AT69">
        <v>180</v>
      </c>
      <c r="AU69">
        <v>3</v>
      </c>
      <c r="AV69" t="s">
        <v>5934</v>
      </c>
      <c r="AW69" t="s">
        <v>6098</v>
      </c>
      <c r="AX69" t="s">
        <v>56</v>
      </c>
      <c r="AY69">
        <v>1</v>
      </c>
      <c r="AZ69" t="s">
        <v>3902</v>
      </c>
    </row>
    <row r="70" spans="1:52" x14ac:dyDescent="0.25">
      <c r="A70" t="str">
        <f>"20200127199017057341"</f>
        <v>20200127199017057341</v>
      </c>
      <c r="B70">
        <v>1</v>
      </c>
      <c r="C70">
        <v>1</v>
      </c>
      <c r="D70" t="s">
        <v>5751</v>
      </c>
      <c r="E70" t="s">
        <v>56</v>
      </c>
      <c r="F70" t="s">
        <v>1627</v>
      </c>
      <c r="G70" t="s">
        <v>56</v>
      </c>
      <c r="H70" t="s">
        <v>56</v>
      </c>
      <c r="I70" t="s">
        <v>56</v>
      </c>
      <c r="J70" t="s">
        <v>56</v>
      </c>
      <c r="K70" t="s">
        <v>56</v>
      </c>
      <c r="L70" t="s">
        <v>56</v>
      </c>
      <c r="M70" t="s">
        <v>56</v>
      </c>
      <c r="N70" t="s">
        <v>56</v>
      </c>
      <c r="O70" t="s">
        <v>56</v>
      </c>
      <c r="P70" t="s">
        <v>56</v>
      </c>
      <c r="Q70" t="s">
        <v>5928</v>
      </c>
      <c r="R70" t="s">
        <v>56</v>
      </c>
      <c r="S70" t="s">
        <v>5928</v>
      </c>
      <c r="T70" t="s">
        <v>56</v>
      </c>
      <c r="U70" t="s">
        <v>5928</v>
      </c>
      <c r="V70" t="s">
        <v>56</v>
      </c>
      <c r="W70" t="s">
        <v>5928</v>
      </c>
      <c r="X70" t="s">
        <v>56</v>
      </c>
      <c r="Y70" t="s">
        <v>5928</v>
      </c>
      <c r="Z70">
        <v>1102</v>
      </c>
      <c r="AA70" t="s">
        <v>5936</v>
      </c>
      <c r="AB70">
        <v>110202</v>
      </c>
      <c r="AC70" t="s">
        <v>5937</v>
      </c>
      <c r="AD70">
        <v>3</v>
      </c>
      <c r="AE70" t="s">
        <v>5934</v>
      </c>
      <c r="AF70">
        <v>1</v>
      </c>
      <c r="AG70" t="s">
        <v>5932</v>
      </c>
      <c r="AH70" t="s">
        <v>6099</v>
      </c>
      <c r="AI70">
        <v>1</v>
      </c>
      <c r="AJ70" t="s">
        <v>4026</v>
      </c>
      <c r="AK70" t="s">
        <v>4027</v>
      </c>
      <c r="AL70" t="s">
        <v>4028</v>
      </c>
      <c r="AM70">
        <v>8</v>
      </c>
      <c r="AN70">
        <v>2</v>
      </c>
      <c r="AO70" t="s">
        <v>3897</v>
      </c>
      <c r="AP70">
        <v>3</v>
      </c>
      <c r="AQ70">
        <v>4</v>
      </c>
      <c r="AR70">
        <v>3</v>
      </c>
      <c r="AS70" t="s">
        <v>3911</v>
      </c>
      <c r="AT70">
        <v>12</v>
      </c>
      <c r="AU70">
        <v>3</v>
      </c>
      <c r="AV70" t="s">
        <v>5934</v>
      </c>
      <c r="AW70" t="s">
        <v>6100</v>
      </c>
      <c r="AX70" t="s">
        <v>56</v>
      </c>
      <c r="AY70">
        <v>1</v>
      </c>
      <c r="AZ70" t="s">
        <v>3902</v>
      </c>
    </row>
    <row r="71" spans="1:52" x14ac:dyDescent="0.25">
      <c r="A71" t="str">
        <f>"20200127196017058088"</f>
        <v>20200127196017058088</v>
      </c>
      <c r="B71">
        <v>1</v>
      </c>
      <c r="C71">
        <v>1</v>
      </c>
      <c r="D71" t="s">
        <v>5751</v>
      </c>
      <c r="E71" t="s">
        <v>56</v>
      </c>
      <c r="F71" t="s">
        <v>1627</v>
      </c>
      <c r="G71" t="s">
        <v>56</v>
      </c>
      <c r="H71" t="s">
        <v>56</v>
      </c>
      <c r="I71" t="s">
        <v>56</v>
      </c>
      <c r="J71" t="s">
        <v>56</v>
      </c>
      <c r="K71" t="s">
        <v>56</v>
      </c>
      <c r="L71" t="s">
        <v>56</v>
      </c>
      <c r="M71" t="s">
        <v>56</v>
      </c>
      <c r="N71" t="s">
        <v>56</v>
      </c>
      <c r="O71" t="s">
        <v>56</v>
      </c>
      <c r="P71" t="s">
        <v>56</v>
      </c>
      <c r="Q71" t="s">
        <v>5928</v>
      </c>
      <c r="R71" t="s">
        <v>56</v>
      </c>
      <c r="S71" t="s">
        <v>5928</v>
      </c>
      <c r="T71" t="s">
        <v>56</v>
      </c>
      <c r="U71" t="s">
        <v>5928</v>
      </c>
      <c r="V71" t="s">
        <v>56</v>
      </c>
      <c r="W71" t="s">
        <v>5928</v>
      </c>
      <c r="X71" t="s">
        <v>56</v>
      </c>
      <c r="Y71" t="s">
        <v>5928</v>
      </c>
      <c r="Z71">
        <v>1504</v>
      </c>
      <c r="AA71" t="s">
        <v>5929</v>
      </c>
      <c r="AB71">
        <v>150413</v>
      </c>
      <c r="AC71" t="s">
        <v>5930</v>
      </c>
      <c r="AD71">
        <v>3</v>
      </c>
      <c r="AE71" t="s">
        <v>5934</v>
      </c>
      <c r="AF71">
        <v>1</v>
      </c>
      <c r="AG71" t="s">
        <v>5932</v>
      </c>
      <c r="AH71" t="s">
        <v>6101</v>
      </c>
      <c r="AI71">
        <v>2</v>
      </c>
      <c r="AJ71">
        <v>9000</v>
      </c>
      <c r="AK71" t="s">
        <v>3956</v>
      </c>
      <c r="AL71" t="s">
        <v>3956</v>
      </c>
      <c r="AM71">
        <v>12</v>
      </c>
      <c r="AN71">
        <v>2</v>
      </c>
      <c r="AO71" t="s">
        <v>3897</v>
      </c>
      <c r="AP71">
        <v>10</v>
      </c>
      <c r="AQ71">
        <v>60</v>
      </c>
      <c r="AR71">
        <v>3</v>
      </c>
      <c r="AS71" t="s">
        <v>3911</v>
      </c>
      <c r="AT71">
        <v>120</v>
      </c>
      <c r="AU71">
        <v>3</v>
      </c>
      <c r="AV71" t="s">
        <v>5934</v>
      </c>
      <c r="AW71" t="s">
        <v>6102</v>
      </c>
      <c r="AX71" t="s">
        <v>56</v>
      </c>
      <c r="AY71">
        <v>2</v>
      </c>
      <c r="AZ71" t="s">
        <v>4776</v>
      </c>
    </row>
    <row r="72" spans="1:52" x14ac:dyDescent="0.25">
      <c r="A72" t="str">
        <f>"20200127177017060865"</f>
        <v>20200127177017060865</v>
      </c>
      <c r="B72">
        <v>1</v>
      </c>
      <c r="C72">
        <v>2</v>
      </c>
      <c r="D72" t="s">
        <v>5776</v>
      </c>
      <c r="E72" t="s">
        <v>56</v>
      </c>
      <c r="F72" t="s">
        <v>1627</v>
      </c>
      <c r="G72" t="s">
        <v>56</v>
      </c>
      <c r="H72" t="s">
        <v>56</v>
      </c>
      <c r="I72" t="s">
        <v>56</v>
      </c>
      <c r="J72" t="s">
        <v>56</v>
      </c>
      <c r="K72" t="s">
        <v>56</v>
      </c>
      <c r="L72" t="s">
        <v>56</v>
      </c>
      <c r="M72" t="s">
        <v>56</v>
      </c>
      <c r="N72" t="s">
        <v>56</v>
      </c>
      <c r="O72" t="s">
        <v>56</v>
      </c>
      <c r="P72" t="s">
        <v>56</v>
      </c>
      <c r="Q72" t="s">
        <v>5928</v>
      </c>
      <c r="R72" t="s">
        <v>56</v>
      </c>
      <c r="S72" t="s">
        <v>5928</v>
      </c>
      <c r="T72" t="s">
        <v>56</v>
      </c>
      <c r="U72" t="s">
        <v>5928</v>
      </c>
      <c r="V72" t="s">
        <v>56</v>
      </c>
      <c r="W72" t="s">
        <v>5928</v>
      </c>
      <c r="X72" t="s">
        <v>56</v>
      </c>
      <c r="Y72" t="s">
        <v>5928</v>
      </c>
      <c r="Z72">
        <v>1701</v>
      </c>
      <c r="AA72" t="s">
        <v>5966</v>
      </c>
      <c r="AB72">
        <v>170141</v>
      </c>
      <c r="AC72" t="s">
        <v>5967</v>
      </c>
      <c r="AD72">
        <v>5</v>
      </c>
      <c r="AE72" t="s">
        <v>5931</v>
      </c>
      <c r="AF72">
        <v>1</v>
      </c>
      <c r="AG72" t="s">
        <v>5932</v>
      </c>
      <c r="AH72" t="s">
        <v>6103</v>
      </c>
      <c r="AI72">
        <v>45</v>
      </c>
      <c r="AJ72" t="s">
        <v>3929</v>
      </c>
      <c r="AK72" t="s">
        <v>3930</v>
      </c>
      <c r="AL72" t="s">
        <v>3931</v>
      </c>
      <c r="AM72">
        <v>12</v>
      </c>
      <c r="AN72">
        <v>2</v>
      </c>
      <c r="AO72" t="s">
        <v>3897</v>
      </c>
      <c r="AP72">
        <v>10</v>
      </c>
      <c r="AQ72">
        <v>90</v>
      </c>
      <c r="AR72">
        <v>3</v>
      </c>
      <c r="AS72" t="s">
        <v>3911</v>
      </c>
      <c r="AT72">
        <v>9</v>
      </c>
      <c r="AU72">
        <v>5</v>
      </c>
      <c r="AV72" t="s">
        <v>5931</v>
      </c>
      <c r="AW72" t="s">
        <v>6104</v>
      </c>
      <c r="AX72" t="s">
        <v>56</v>
      </c>
      <c r="AY72">
        <v>1</v>
      </c>
      <c r="AZ72" t="s">
        <v>3902</v>
      </c>
    </row>
    <row r="73" spans="1:52" x14ac:dyDescent="0.25">
      <c r="A73" t="str">
        <f>"20200127144017064089"</f>
        <v>20200127144017064089</v>
      </c>
      <c r="B73">
        <v>1</v>
      </c>
      <c r="C73">
        <v>2</v>
      </c>
      <c r="D73" t="s">
        <v>5776</v>
      </c>
      <c r="E73" t="s">
        <v>56</v>
      </c>
      <c r="F73" t="s">
        <v>1627</v>
      </c>
      <c r="G73" t="s">
        <v>56</v>
      </c>
      <c r="H73" t="s">
        <v>56</v>
      </c>
      <c r="I73" t="s">
        <v>56</v>
      </c>
      <c r="J73" t="s">
        <v>56</v>
      </c>
      <c r="K73" t="s">
        <v>56</v>
      </c>
      <c r="L73" t="s">
        <v>56</v>
      </c>
      <c r="M73" t="s">
        <v>56</v>
      </c>
      <c r="N73" t="s">
        <v>56</v>
      </c>
      <c r="O73" t="s">
        <v>56</v>
      </c>
      <c r="P73" t="s">
        <v>56</v>
      </c>
      <c r="Q73" t="s">
        <v>5928</v>
      </c>
      <c r="R73" t="s">
        <v>56</v>
      </c>
      <c r="S73" t="s">
        <v>5928</v>
      </c>
      <c r="T73" t="s">
        <v>56</v>
      </c>
      <c r="U73" t="s">
        <v>5928</v>
      </c>
      <c r="V73" t="s">
        <v>56</v>
      </c>
      <c r="W73" t="s">
        <v>5928</v>
      </c>
      <c r="X73" t="s">
        <v>56</v>
      </c>
      <c r="Y73" t="s">
        <v>5928</v>
      </c>
      <c r="Z73">
        <v>1501</v>
      </c>
      <c r="AA73" t="s">
        <v>5949</v>
      </c>
      <c r="AB73">
        <v>150105</v>
      </c>
      <c r="AC73" t="s">
        <v>6105</v>
      </c>
      <c r="AD73">
        <v>5</v>
      </c>
      <c r="AE73" t="s">
        <v>5931</v>
      </c>
      <c r="AF73">
        <v>1</v>
      </c>
      <c r="AG73" t="s">
        <v>5932</v>
      </c>
      <c r="AH73" t="s">
        <v>6106</v>
      </c>
      <c r="AI73">
        <v>126</v>
      </c>
      <c r="AJ73" t="s">
        <v>3929</v>
      </c>
      <c r="AK73" t="s">
        <v>3930</v>
      </c>
      <c r="AL73" t="s">
        <v>3931</v>
      </c>
      <c r="AM73">
        <v>24</v>
      </c>
      <c r="AN73">
        <v>2</v>
      </c>
      <c r="AO73" t="s">
        <v>3897</v>
      </c>
      <c r="AP73">
        <v>10</v>
      </c>
      <c r="AQ73">
        <v>90</v>
      </c>
      <c r="AR73">
        <v>3</v>
      </c>
      <c r="AS73" t="s">
        <v>3911</v>
      </c>
      <c r="AT73">
        <v>26</v>
      </c>
      <c r="AU73">
        <v>5</v>
      </c>
      <c r="AV73" t="s">
        <v>5931</v>
      </c>
      <c r="AW73" t="s">
        <v>6107</v>
      </c>
      <c r="AX73" t="s">
        <v>56</v>
      </c>
      <c r="AY73">
        <v>1</v>
      </c>
      <c r="AZ73" t="s">
        <v>3902</v>
      </c>
    </row>
    <row r="74" spans="1:52" x14ac:dyDescent="0.25">
      <c r="A74" t="str">
        <f>"20200129169017112746"</f>
        <v>20200129169017112746</v>
      </c>
      <c r="B74">
        <v>1</v>
      </c>
      <c r="C74">
        <v>2</v>
      </c>
      <c r="D74" t="s">
        <v>5776</v>
      </c>
      <c r="E74" t="s">
        <v>56</v>
      </c>
      <c r="F74" t="s">
        <v>1627</v>
      </c>
      <c r="G74" t="s">
        <v>56</v>
      </c>
      <c r="H74" t="s">
        <v>56</v>
      </c>
      <c r="I74" t="s">
        <v>56</v>
      </c>
      <c r="J74" t="s">
        <v>56</v>
      </c>
      <c r="K74" t="s">
        <v>56</v>
      </c>
      <c r="L74" t="s">
        <v>56</v>
      </c>
      <c r="M74" t="s">
        <v>56</v>
      </c>
      <c r="N74" t="s">
        <v>56</v>
      </c>
      <c r="O74" t="s">
        <v>56</v>
      </c>
      <c r="P74" t="s">
        <v>56</v>
      </c>
      <c r="Q74" t="s">
        <v>5928</v>
      </c>
      <c r="R74" t="s">
        <v>56</v>
      </c>
      <c r="S74" t="s">
        <v>5928</v>
      </c>
      <c r="T74" t="s">
        <v>56</v>
      </c>
      <c r="U74" t="s">
        <v>5928</v>
      </c>
      <c r="V74" t="s">
        <v>56</v>
      </c>
      <c r="W74" t="s">
        <v>5928</v>
      </c>
      <c r="X74" t="s">
        <v>56</v>
      </c>
      <c r="Y74" t="s">
        <v>5928</v>
      </c>
      <c r="Z74">
        <v>1504</v>
      </c>
      <c r="AA74" t="s">
        <v>5929</v>
      </c>
      <c r="AB74">
        <v>150418</v>
      </c>
      <c r="AC74" t="s">
        <v>6074</v>
      </c>
      <c r="AD74">
        <v>5</v>
      </c>
      <c r="AE74" t="s">
        <v>5931</v>
      </c>
      <c r="AF74">
        <v>1</v>
      </c>
      <c r="AG74" t="s">
        <v>5932</v>
      </c>
      <c r="AH74" t="s">
        <v>6108</v>
      </c>
      <c r="AI74">
        <v>55</v>
      </c>
      <c r="AJ74" t="s">
        <v>3929</v>
      </c>
      <c r="AK74" t="s">
        <v>3930</v>
      </c>
      <c r="AL74" t="s">
        <v>3931</v>
      </c>
      <c r="AM74">
        <v>12</v>
      </c>
      <c r="AN74">
        <v>2</v>
      </c>
      <c r="AO74" t="s">
        <v>3897</v>
      </c>
      <c r="AP74">
        <v>10</v>
      </c>
      <c r="AQ74">
        <v>90</v>
      </c>
      <c r="AR74">
        <v>3</v>
      </c>
      <c r="AS74" t="s">
        <v>3911</v>
      </c>
      <c r="AT74">
        <v>10</v>
      </c>
      <c r="AU74">
        <v>5</v>
      </c>
      <c r="AV74" t="s">
        <v>5931</v>
      </c>
      <c r="AW74" t="s">
        <v>6109</v>
      </c>
      <c r="AX74" t="s">
        <v>56</v>
      </c>
      <c r="AY74">
        <v>2</v>
      </c>
      <c r="AZ74" t="s">
        <v>4776</v>
      </c>
    </row>
    <row r="75" spans="1:52" x14ac:dyDescent="0.25">
      <c r="A75" t="str">
        <f>"20200129130017113579"</f>
        <v>20200129130017113579</v>
      </c>
      <c r="B75">
        <v>1</v>
      </c>
      <c r="C75">
        <v>1</v>
      </c>
      <c r="D75" t="s">
        <v>5751</v>
      </c>
      <c r="E75" t="s">
        <v>56</v>
      </c>
      <c r="F75" t="s">
        <v>1627</v>
      </c>
      <c r="G75" t="s">
        <v>56</v>
      </c>
      <c r="H75" t="s">
        <v>56</v>
      </c>
      <c r="I75" t="s">
        <v>56</v>
      </c>
      <c r="J75" t="s">
        <v>56</v>
      </c>
      <c r="K75" t="s">
        <v>56</v>
      </c>
      <c r="L75" t="s">
        <v>56</v>
      </c>
      <c r="M75" t="s">
        <v>56</v>
      </c>
      <c r="N75" t="s">
        <v>56</v>
      </c>
      <c r="O75" t="s">
        <v>56</v>
      </c>
      <c r="P75" t="s">
        <v>56</v>
      </c>
      <c r="Q75" t="s">
        <v>5928</v>
      </c>
      <c r="R75" t="s">
        <v>56</v>
      </c>
      <c r="S75" t="s">
        <v>5928</v>
      </c>
      <c r="T75" t="s">
        <v>56</v>
      </c>
      <c r="U75" t="s">
        <v>5928</v>
      </c>
      <c r="V75" t="s">
        <v>56</v>
      </c>
      <c r="W75" t="s">
        <v>5928</v>
      </c>
      <c r="X75" t="s">
        <v>56</v>
      </c>
      <c r="Y75" t="s">
        <v>5928</v>
      </c>
      <c r="Z75">
        <v>1701</v>
      </c>
      <c r="AA75" t="s">
        <v>5966</v>
      </c>
      <c r="AB75">
        <v>170147</v>
      </c>
      <c r="AC75" t="s">
        <v>6017</v>
      </c>
      <c r="AD75">
        <v>3</v>
      </c>
      <c r="AE75" t="s">
        <v>5934</v>
      </c>
      <c r="AF75">
        <v>1</v>
      </c>
      <c r="AG75" t="s">
        <v>5932</v>
      </c>
      <c r="AH75" t="s">
        <v>6110</v>
      </c>
      <c r="AI75">
        <v>1</v>
      </c>
      <c r="AJ75" t="s">
        <v>4026</v>
      </c>
      <c r="AK75" t="s">
        <v>4027</v>
      </c>
      <c r="AL75" t="s">
        <v>4028</v>
      </c>
      <c r="AM75">
        <v>8</v>
      </c>
      <c r="AN75">
        <v>2</v>
      </c>
      <c r="AO75" t="s">
        <v>3897</v>
      </c>
      <c r="AP75">
        <v>1</v>
      </c>
      <c r="AQ75">
        <v>3</v>
      </c>
      <c r="AR75">
        <v>5</v>
      </c>
      <c r="AS75" t="s">
        <v>3899</v>
      </c>
      <c r="AT75">
        <v>270</v>
      </c>
      <c r="AU75">
        <v>3</v>
      </c>
      <c r="AV75" t="s">
        <v>5934</v>
      </c>
      <c r="AW75" t="s">
        <v>5972</v>
      </c>
      <c r="AX75" t="s">
        <v>56</v>
      </c>
      <c r="AY75">
        <v>2</v>
      </c>
      <c r="AZ75" t="s">
        <v>4776</v>
      </c>
    </row>
    <row r="76" spans="1:52" x14ac:dyDescent="0.25">
      <c r="A76" t="str">
        <f>"20200127195017041126"</f>
        <v>20200127195017041126</v>
      </c>
      <c r="B76">
        <v>1</v>
      </c>
      <c r="C76">
        <v>2</v>
      </c>
      <c r="D76" t="s">
        <v>5776</v>
      </c>
      <c r="E76" t="s">
        <v>56</v>
      </c>
      <c r="F76" t="s">
        <v>1627</v>
      </c>
      <c r="G76" t="s">
        <v>56</v>
      </c>
      <c r="H76" t="s">
        <v>56</v>
      </c>
      <c r="I76" t="s">
        <v>56</v>
      </c>
      <c r="J76" t="s">
        <v>56</v>
      </c>
      <c r="K76" t="s">
        <v>56</v>
      </c>
      <c r="L76" t="s">
        <v>56</v>
      </c>
      <c r="M76" t="s">
        <v>56</v>
      </c>
      <c r="N76" t="s">
        <v>56</v>
      </c>
      <c r="O76" t="s">
        <v>56</v>
      </c>
      <c r="P76">
        <v>0</v>
      </c>
      <c r="Q76" t="s">
        <v>5989</v>
      </c>
      <c r="R76">
        <v>0</v>
      </c>
      <c r="S76" t="s">
        <v>5989</v>
      </c>
      <c r="T76">
        <v>0</v>
      </c>
      <c r="U76" t="s">
        <v>5989</v>
      </c>
      <c r="V76">
        <v>0</v>
      </c>
      <c r="W76" t="s">
        <v>5989</v>
      </c>
      <c r="X76" t="s">
        <v>56</v>
      </c>
      <c r="Y76" t="s">
        <v>5928</v>
      </c>
      <c r="Z76">
        <v>1102</v>
      </c>
      <c r="AA76" t="s">
        <v>5936</v>
      </c>
      <c r="AB76">
        <v>110202</v>
      </c>
      <c r="AC76" t="s">
        <v>5937</v>
      </c>
      <c r="AD76">
        <v>3</v>
      </c>
      <c r="AE76" t="s">
        <v>5934</v>
      </c>
      <c r="AF76">
        <v>1</v>
      </c>
      <c r="AG76" t="s">
        <v>5932</v>
      </c>
      <c r="AH76" t="s">
        <v>6111</v>
      </c>
      <c r="AI76">
        <v>237</v>
      </c>
      <c r="AJ76" t="s">
        <v>4213</v>
      </c>
      <c r="AK76" t="s">
        <v>4214</v>
      </c>
      <c r="AL76" t="s">
        <v>4215</v>
      </c>
      <c r="AM76">
        <v>8</v>
      </c>
      <c r="AN76">
        <v>2</v>
      </c>
      <c r="AO76" t="s">
        <v>3897</v>
      </c>
      <c r="AP76">
        <v>10</v>
      </c>
      <c r="AQ76">
        <v>3</v>
      </c>
      <c r="AR76">
        <v>5</v>
      </c>
      <c r="AS76" t="s">
        <v>3899</v>
      </c>
      <c r="AT76">
        <v>270</v>
      </c>
      <c r="AU76">
        <v>3</v>
      </c>
      <c r="AV76" t="s">
        <v>5934</v>
      </c>
      <c r="AW76" t="s">
        <v>6112</v>
      </c>
      <c r="AX76" t="s">
        <v>56</v>
      </c>
      <c r="AY76">
        <v>3</v>
      </c>
      <c r="AZ76" t="s">
        <v>5993</v>
      </c>
    </row>
    <row r="77" spans="1:52" x14ac:dyDescent="0.25">
      <c r="A77" t="str">
        <f>"20200127148017041573"</f>
        <v>20200127148017041573</v>
      </c>
      <c r="B77">
        <v>1</v>
      </c>
      <c r="C77">
        <v>2</v>
      </c>
      <c r="D77" t="s">
        <v>5776</v>
      </c>
      <c r="E77" t="s">
        <v>56</v>
      </c>
      <c r="F77" t="s">
        <v>1627</v>
      </c>
      <c r="G77" t="s">
        <v>56</v>
      </c>
      <c r="H77" t="s">
        <v>56</v>
      </c>
      <c r="I77" t="s">
        <v>56</v>
      </c>
      <c r="J77" t="s">
        <v>56</v>
      </c>
      <c r="K77" t="s">
        <v>56</v>
      </c>
      <c r="L77" t="s">
        <v>56</v>
      </c>
      <c r="M77" t="s">
        <v>56</v>
      </c>
      <c r="N77" t="s">
        <v>56</v>
      </c>
      <c r="O77" t="s">
        <v>56</v>
      </c>
      <c r="P77" t="s">
        <v>56</v>
      </c>
      <c r="Q77" t="s">
        <v>5928</v>
      </c>
      <c r="R77" t="s">
        <v>56</v>
      </c>
      <c r="S77" t="s">
        <v>5928</v>
      </c>
      <c r="T77" t="s">
        <v>56</v>
      </c>
      <c r="U77" t="s">
        <v>5928</v>
      </c>
      <c r="V77" t="s">
        <v>56</v>
      </c>
      <c r="W77" t="s">
        <v>5928</v>
      </c>
      <c r="X77" t="s">
        <v>56</v>
      </c>
      <c r="Y77" t="s">
        <v>5928</v>
      </c>
      <c r="Z77">
        <v>1503</v>
      </c>
      <c r="AA77" t="s">
        <v>5994</v>
      </c>
      <c r="AB77">
        <v>150316</v>
      </c>
      <c r="AC77" t="s">
        <v>6008</v>
      </c>
      <c r="AD77">
        <v>5</v>
      </c>
      <c r="AE77" t="s">
        <v>5931</v>
      </c>
      <c r="AF77">
        <v>1</v>
      </c>
      <c r="AG77" t="s">
        <v>5932</v>
      </c>
      <c r="AH77" t="s">
        <v>6113</v>
      </c>
      <c r="AI77">
        <v>30</v>
      </c>
      <c r="AJ77" t="s">
        <v>3929</v>
      </c>
      <c r="AK77" t="s">
        <v>3930</v>
      </c>
      <c r="AL77" t="s">
        <v>3931</v>
      </c>
      <c r="AM77">
        <v>24</v>
      </c>
      <c r="AN77">
        <v>2</v>
      </c>
      <c r="AO77" t="s">
        <v>3897</v>
      </c>
      <c r="AP77">
        <v>10</v>
      </c>
      <c r="AQ77">
        <v>3</v>
      </c>
      <c r="AR77">
        <v>5</v>
      </c>
      <c r="AS77" t="s">
        <v>3899</v>
      </c>
      <c r="AT77">
        <v>27</v>
      </c>
      <c r="AU77">
        <v>5</v>
      </c>
      <c r="AV77" t="s">
        <v>5931</v>
      </c>
      <c r="AW77" t="s">
        <v>6114</v>
      </c>
      <c r="AX77" t="s">
        <v>56</v>
      </c>
      <c r="AY77">
        <v>2</v>
      </c>
      <c r="AZ77" t="s">
        <v>4776</v>
      </c>
    </row>
    <row r="78" spans="1:52" x14ac:dyDescent="0.25">
      <c r="A78" t="str">
        <f>"20200129114017113798"</f>
        <v>20200129114017113798</v>
      </c>
      <c r="B78">
        <v>1</v>
      </c>
      <c r="C78">
        <v>1</v>
      </c>
      <c r="D78" t="s">
        <v>5751</v>
      </c>
      <c r="E78" t="s">
        <v>56</v>
      </c>
      <c r="F78" t="s">
        <v>1627</v>
      </c>
      <c r="G78" t="s">
        <v>56</v>
      </c>
      <c r="H78" t="s">
        <v>56</v>
      </c>
      <c r="I78" t="s">
        <v>56</v>
      </c>
      <c r="J78" t="s">
        <v>56</v>
      </c>
      <c r="K78" t="s">
        <v>56</v>
      </c>
      <c r="L78" t="s">
        <v>56</v>
      </c>
      <c r="M78" t="s">
        <v>56</v>
      </c>
      <c r="N78" t="s">
        <v>56</v>
      </c>
      <c r="O78" t="s">
        <v>56</v>
      </c>
      <c r="P78" t="s">
        <v>56</v>
      </c>
      <c r="Q78" t="s">
        <v>5928</v>
      </c>
      <c r="R78" t="s">
        <v>56</v>
      </c>
      <c r="S78" t="s">
        <v>5928</v>
      </c>
      <c r="T78" t="s">
        <v>56</v>
      </c>
      <c r="U78" t="s">
        <v>5928</v>
      </c>
      <c r="V78" t="s">
        <v>56</v>
      </c>
      <c r="W78" t="s">
        <v>5928</v>
      </c>
      <c r="X78" t="s">
        <v>56</v>
      </c>
      <c r="Y78" t="s">
        <v>5928</v>
      </c>
      <c r="Z78">
        <v>1102</v>
      </c>
      <c r="AA78" t="s">
        <v>5936</v>
      </c>
      <c r="AB78">
        <v>110202</v>
      </c>
      <c r="AC78" t="s">
        <v>5937</v>
      </c>
      <c r="AD78">
        <v>3</v>
      </c>
      <c r="AE78" t="s">
        <v>5934</v>
      </c>
      <c r="AF78">
        <v>1</v>
      </c>
      <c r="AG78" t="s">
        <v>5932</v>
      </c>
      <c r="AH78" t="s">
        <v>6115</v>
      </c>
      <c r="AI78">
        <v>1</v>
      </c>
      <c r="AJ78" t="s">
        <v>4026</v>
      </c>
      <c r="AK78" t="s">
        <v>4027</v>
      </c>
      <c r="AL78" t="s">
        <v>4028</v>
      </c>
      <c r="AM78">
        <v>12</v>
      </c>
      <c r="AN78">
        <v>2</v>
      </c>
      <c r="AO78" t="s">
        <v>3897</v>
      </c>
      <c r="AP78">
        <v>1</v>
      </c>
      <c r="AQ78">
        <v>3</v>
      </c>
      <c r="AR78">
        <v>5</v>
      </c>
      <c r="AS78" t="s">
        <v>3899</v>
      </c>
      <c r="AT78">
        <v>180</v>
      </c>
      <c r="AU78">
        <v>3</v>
      </c>
      <c r="AV78" t="s">
        <v>5934</v>
      </c>
      <c r="AW78" t="s">
        <v>5940</v>
      </c>
      <c r="AX78" t="s">
        <v>56</v>
      </c>
      <c r="AY78">
        <v>2</v>
      </c>
      <c r="AZ78" t="s">
        <v>4776</v>
      </c>
    </row>
    <row r="79" spans="1:52" x14ac:dyDescent="0.25">
      <c r="A79" t="str">
        <f>"20200129136017116184"</f>
        <v>20200129136017116184</v>
      </c>
      <c r="B79">
        <v>1</v>
      </c>
      <c r="C79">
        <v>2</v>
      </c>
      <c r="D79" t="s">
        <v>5776</v>
      </c>
      <c r="E79" t="s">
        <v>56</v>
      </c>
      <c r="F79" t="s">
        <v>1627</v>
      </c>
      <c r="G79" t="s">
        <v>56</v>
      </c>
      <c r="H79" t="s">
        <v>56</v>
      </c>
      <c r="I79" t="s">
        <v>56</v>
      </c>
      <c r="J79" t="s">
        <v>56</v>
      </c>
      <c r="K79" t="s">
        <v>56</v>
      </c>
      <c r="L79" t="s">
        <v>56</v>
      </c>
      <c r="M79" t="s">
        <v>56</v>
      </c>
      <c r="N79" t="s">
        <v>56</v>
      </c>
      <c r="O79" t="s">
        <v>56</v>
      </c>
      <c r="P79" t="s">
        <v>56</v>
      </c>
      <c r="Q79" t="s">
        <v>5928</v>
      </c>
      <c r="R79" t="s">
        <v>56</v>
      </c>
      <c r="S79" t="s">
        <v>5928</v>
      </c>
      <c r="T79" t="s">
        <v>56</v>
      </c>
      <c r="U79" t="s">
        <v>5928</v>
      </c>
      <c r="V79" t="s">
        <v>56</v>
      </c>
      <c r="W79" t="s">
        <v>5928</v>
      </c>
      <c r="X79" t="s">
        <v>56</v>
      </c>
      <c r="Y79" t="s">
        <v>5928</v>
      </c>
      <c r="Z79">
        <v>1102</v>
      </c>
      <c r="AA79" t="s">
        <v>5936</v>
      </c>
      <c r="AB79">
        <v>110202</v>
      </c>
      <c r="AC79" t="s">
        <v>5937</v>
      </c>
      <c r="AD79">
        <v>3</v>
      </c>
      <c r="AE79" t="s">
        <v>5934</v>
      </c>
      <c r="AF79">
        <v>1</v>
      </c>
      <c r="AG79" t="s">
        <v>5932</v>
      </c>
      <c r="AH79" t="s">
        <v>6116</v>
      </c>
      <c r="AI79">
        <v>237</v>
      </c>
      <c r="AJ79" t="s">
        <v>4213</v>
      </c>
      <c r="AK79" t="s">
        <v>4214</v>
      </c>
      <c r="AL79" t="s">
        <v>4215</v>
      </c>
      <c r="AM79">
        <v>12</v>
      </c>
      <c r="AN79">
        <v>2</v>
      </c>
      <c r="AO79" t="s">
        <v>3897</v>
      </c>
      <c r="AP79">
        <v>10</v>
      </c>
      <c r="AQ79">
        <v>3</v>
      </c>
      <c r="AR79">
        <v>5</v>
      </c>
      <c r="AS79" t="s">
        <v>3899</v>
      </c>
      <c r="AT79">
        <v>180</v>
      </c>
      <c r="AU79">
        <v>3</v>
      </c>
      <c r="AV79" t="s">
        <v>5934</v>
      </c>
      <c r="AW79" t="s">
        <v>6117</v>
      </c>
      <c r="AX79" t="s">
        <v>56</v>
      </c>
      <c r="AY79">
        <v>3</v>
      </c>
      <c r="AZ79" t="s">
        <v>5993</v>
      </c>
    </row>
    <row r="80" spans="1:52" x14ac:dyDescent="0.25">
      <c r="A80" t="str">
        <f>"20200129177017116617"</f>
        <v>20200129177017116617</v>
      </c>
      <c r="B80">
        <v>1</v>
      </c>
      <c r="C80">
        <v>2</v>
      </c>
      <c r="D80" t="s">
        <v>5776</v>
      </c>
      <c r="E80" t="s">
        <v>56</v>
      </c>
      <c r="F80" t="s">
        <v>1627</v>
      </c>
      <c r="G80" t="s">
        <v>56</v>
      </c>
      <c r="H80" t="s">
        <v>56</v>
      </c>
      <c r="I80" t="s">
        <v>56</v>
      </c>
      <c r="J80" t="s">
        <v>56</v>
      </c>
      <c r="K80" t="s">
        <v>56</v>
      </c>
      <c r="L80" t="s">
        <v>56</v>
      </c>
      <c r="M80" t="s">
        <v>56</v>
      </c>
      <c r="N80" t="s">
        <v>56</v>
      </c>
      <c r="O80" t="s">
        <v>56</v>
      </c>
      <c r="P80" t="s">
        <v>56</v>
      </c>
      <c r="Q80" t="s">
        <v>5928</v>
      </c>
      <c r="R80" t="s">
        <v>56</v>
      </c>
      <c r="S80" t="s">
        <v>5928</v>
      </c>
      <c r="T80" t="s">
        <v>56</v>
      </c>
      <c r="U80" t="s">
        <v>5928</v>
      </c>
      <c r="V80" t="s">
        <v>56</v>
      </c>
      <c r="W80" t="s">
        <v>5928</v>
      </c>
      <c r="X80" t="s">
        <v>56</v>
      </c>
      <c r="Y80" t="s">
        <v>5928</v>
      </c>
      <c r="Z80">
        <v>1404</v>
      </c>
      <c r="AA80" t="s">
        <v>5944</v>
      </c>
      <c r="AB80">
        <v>140402</v>
      </c>
      <c r="AC80" t="s">
        <v>5945</v>
      </c>
      <c r="AD80">
        <v>9</v>
      </c>
      <c r="AE80" t="s">
        <v>5946</v>
      </c>
      <c r="AF80">
        <v>1</v>
      </c>
      <c r="AG80" t="s">
        <v>5932</v>
      </c>
      <c r="AH80" t="s">
        <v>6118</v>
      </c>
      <c r="AI80">
        <v>2</v>
      </c>
      <c r="AJ80" t="s">
        <v>4026</v>
      </c>
      <c r="AK80" t="s">
        <v>4027</v>
      </c>
      <c r="AL80" t="s">
        <v>4028</v>
      </c>
      <c r="AM80">
        <v>12</v>
      </c>
      <c r="AN80">
        <v>2</v>
      </c>
      <c r="AO80" t="s">
        <v>3897</v>
      </c>
      <c r="AP80">
        <v>10</v>
      </c>
      <c r="AQ80">
        <v>2</v>
      </c>
      <c r="AR80">
        <v>5</v>
      </c>
      <c r="AS80" t="s">
        <v>3899</v>
      </c>
      <c r="AT80">
        <v>120</v>
      </c>
      <c r="AU80">
        <v>9</v>
      </c>
      <c r="AV80" t="s">
        <v>5946</v>
      </c>
      <c r="AW80" t="s">
        <v>6119</v>
      </c>
      <c r="AX80" t="s">
        <v>56</v>
      </c>
      <c r="AY80">
        <v>2</v>
      </c>
      <c r="AZ80" t="s">
        <v>4776</v>
      </c>
    </row>
    <row r="81" spans="1:52" x14ac:dyDescent="0.25">
      <c r="A81" t="str">
        <f>"20200129113017120800"</f>
        <v>20200129113017120800</v>
      </c>
      <c r="B81">
        <v>1</v>
      </c>
      <c r="C81">
        <v>2</v>
      </c>
      <c r="D81" t="s">
        <v>5776</v>
      </c>
      <c r="E81" t="s">
        <v>56</v>
      </c>
      <c r="F81" t="s">
        <v>1627</v>
      </c>
      <c r="G81" t="s">
        <v>56</v>
      </c>
      <c r="H81" t="s">
        <v>56</v>
      </c>
      <c r="I81" t="s">
        <v>56</v>
      </c>
      <c r="J81" t="s">
        <v>56</v>
      </c>
      <c r="K81" t="s">
        <v>56</v>
      </c>
      <c r="L81" t="s">
        <v>56</v>
      </c>
      <c r="M81" t="s">
        <v>56</v>
      </c>
      <c r="N81" t="s">
        <v>56</v>
      </c>
      <c r="O81" t="s">
        <v>56</v>
      </c>
      <c r="P81" t="s">
        <v>56</v>
      </c>
      <c r="Q81" t="s">
        <v>5928</v>
      </c>
      <c r="R81" t="s">
        <v>56</v>
      </c>
      <c r="S81" t="s">
        <v>5928</v>
      </c>
      <c r="T81" t="s">
        <v>56</v>
      </c>
      <c r="U81" t="s">
        <v>5928</v>
      </c>
      <c r="V81" t="s">
        <v>56</v>
      </c>
      <c r="W81" t="s">
        <v>5928</v>
      </c>
      <c r="X81">
        <v>1</v>
      </c>
      <c r="Y81" t="s">
        <v>5941</v>
      </c>
      <c r="Z81">
        <v>1404</v>
      </c>
      <c r="AA81" t="s">
        <v>5944</v>
      </c>
      <c r="AB81">
        <v>140402</v>
      </c>
      <c r="AC81" t="s">
        <v>5945</v>
      </c>
      <c r="AD81">
        <v>9</v>
      </c>
      <c r="AE81" t="s">
        <v>5946</v>
      </c>
      <c r="AF81">
        <v>1</v>
      </c>
      <c r="AG81" t="s">
        <v>5932</v>
      </c>
      <c r="AH81" t="s">
        <v>6120</v>
      </c>
      <c r="AI81">
        <v>92</v>
      </c>
      <c r="AJ81" t="s">
        <v>3929</v>
      </c>
      <c r="AK81" t="s">
        <v>3930</v>
      </c>
      <c r="AL81" t="s">
        <v>3931</v>
      </c>
      <c r="AM81">
        <v>24</v>
      </c>
      <c r="AN81">
        <v>2</v>
      </c>
      <c r="AO81" t="s">
        <v>3897</v>
      </c>
      <c r="AP81">
        <v>3</v>
      </c>
      <c r="AQ81">
        <v>60</v>
      </c>
      <c r="AR81">
        <v>3</v>
      </c>
      <c r="AS81" t="s">
        <v>3911</v>
      </c>
      <c r="AT81">
        <v>60</v>
      </c>
      <c r="AU81">
        <v>9</v>
      </c>
      <c r="AV81" t="s">
        <v>5946</v>
      </c>
      <c r="AW81" t="s">
        <v>6121</v>
      </c>
      <c r="AX81" t="s">
        <v>56</v>
      </c>
      <c r="AY81">
        <v>1</v>
      </c>
      <c r="AZ81" t="s">
        <v>3902</v>
      </c>
    </row>
    <row r="82" spans="1:52" x14ac:dyDescent="0.25">
      <c r="A82" t="str">
        <f>"20200129182017122063"</f>
        <v>20200129182017122063</v>
      </c>
      <c r="B82">
        <v>1</v>
      </c>
      <c r="C82">
        <v>2</v>
      </c>
      <c r="D82" t="s">
        <v>5776</v>
      </c>
      <c r="E82" t="s">
        <v>56</v>
      </c>
      <c r="F82" t="s">
        <v>1627</v>
      </c>
      <c r="G82" t="s">
        <v>56</v>
      </c>
      <c r="H82" t="s">
        <v>56</v>
      </c>
      <c r="I82" t="s">
        <v>56</v>
      </c>
      <c r="J82" t="s">
        <v>56</v>
      </c>
      <c r="K82" t="s">
        <v>56</v>
      </c>
      <c r="L82" t="s">
        <v>56</v>
      </c>
      <c r="M82" t="s">
        <v>56</v>
      </c>
      <c r="N82" t="s">
        <v>56</v>
      </c>
      <c r="O82" t="s">
        <v>56</v>
      </c>
      <c r="P82" t="s">
        <v>56</v>
      </c>
      <c r="Q82" t="s">
        <v>5928</v>
      </c>
      <c r="R82" t="s">
        <v>56</v>
      </c>
      <c r="S82" t="s">
        <v>5928</v>
      </c>
      <c r="T82" t="s">
        <v>56</v>
      </c>
      <c r="U82" t="s">
        <v>5928</v>
      </c>
      <c r="V82" t="s">
        <v>56</v>
      </c>
      <c r="W82" t="s">
        <v>5928</v>
      </c>
      <c r="X82" t="s">
        <v>56</v>
      </c>
      <c r="Y82" t="s">
        <v>5928</v>
      </c>
      <c r="Z82">
        <v>1701</v>
      </c>
      <c r="AA82" t="s">
        <v>5966</v>
      </c>
      <c r="AB82">
        <v>170141</v>
      </c>
      <c r="AC82" t="s">
        <v>5967</v>
      </c>
      <c r="AD82">
        <v>5</v>
      </c>
      <c r="AE82" t="s">
        <v>5931</v>
      </c>
      <c r="AF82">
        <v>1</v>
      </c>
      <c r="AG82" t="s">
        <v>5932</v>
      </c>
      <c r="AH82" t="s">
        <v>6122</v>
      </c>
      <c r="AI82">
        <v>245</v>
      </c>
      <c r="AJ82" t="s">
        <v>3929</v>
      </c>
      <c r="AK82" t="s">
        <v>3930</v>
      </c>
      <c r="AL82" t="s">
        <v>3931</v>
      </c>
      <c r="AM82">
        <v>12</v>
      </c>
      <c r="AN82">
        <v>2</v>
      </c>
      <c r="AO82" t="s">
        <v>3897</v>
      </c>
      <c r="AP82">
        <v>10</v>
      </c>
      <c r="AQ82">
        <v>3</v>
      </c>
      <c r="AR82">
        <v>5</v>
      </c>
      <c r="AS82" t="s">
        <v>3899</v>
      </c>
      <c r="AT82">
        <v>14</v>
      </c>
      <c r="AU82">
        <v>5</v>
      </c>
      <c r="AV82" t="s">
        <v>5931</v>
      </c>
      <c r="AW82" t="s">
        <v>6123</v>
      </c>
      <c r="AX82" t="s">
        <v>56</v>
      </c>
      <c r="AY82">
        <v>2</v>
      </c>
      <c r="AZ82" t="s">
        <v>4776</v>
      </c>
    </row>
    <row r="83" spans="1:52" x14ac:dyDescent="0.25">
      <c r="A83" t="str">
        <f>"20200129168017123473"</f>
        <v>20200129168017123473</v>
      </c>
      <c r="B83">
        <v>1</v>
      </c>
      <c r="C83">
        <v>2</v>
      </c>
      <c r="D83" t="s">
        <v>5776</v>
      </c>
      <c r="E83" t="s">
        <v>56</v>
      </c>
      <c r="F83" t="s">
        <v>1627</v>
      </c>
      <c r="G83" t="s">
        <v>56</v>
      </c>
      <c r="H83" t="s">
        <v>56</v>
      </c>
      <c r="I83" t="s">
        <v>56</v>
      </c>
      <c r="J83" t="s">
        <v>56</v>
      </c>
      <c r="K83" t="s">
        <v>56</v>
      </c>
      <c r="L83" t="s">
        <v>56</v>
      </c>
      <c r="M83" t="s">
        <v>56</v>
      </c>
      <c r="N83" t="s">
        <v>56</v>
      </c>
      <c r="O83" t="s">
        <v>56</v>
      </c>
      <c r="P83" t="s">
        <v>56</v>
      </c>
      <c r="Q83" t="s">
        <v>5928</v>
      </c>
      <c r="R83" t="s">
        <v>56</v>
      </c>
      <c r="S83" t="s">
        <v>5928</v>
      </c>
      <c r="T83" t="s">
        <v>56</v>
      </c>
      <c r="U83" t="s">
        <v>5928</v>
      </c>
      <c r="V83" t="s">
        <v>56</v>
      </c>
      <c r="W83" t="s">
        <v>5928</v>
      </c>
      <c r="X83" t="s">
        <v>56</v>
      </c>
      <c r="Y83" t="s">
        <v>5928</v>
      </c>
      <c r="Z83">
        <v>1504</v>
      </c>
      <c r="AA83" t="s">
        <v>5929</v>
      </c>
      <c r="AB83">
        <v>150414</v>
      </c>
      <c r="AC83" t="s">
        <v>5930</v>
      </c>
      <c r="AD83">
        <v>5</v>
      </c>
      <c r="AE83" t="s">
        <v>5931</v>
      </c>
      <c r="AF83">
        <v>1</v>
      </c>
      <c r="AG83" t="s">
        <v>5932</v>
      </c>
      <c r="AH83" t="s">
        <v>6124</v>
      </c>
      <c r="AI83">
        <v>237</v>
      </c>
      <c r="AJ83" t="s">
        <v>4213</v>
      </c>
      <c r="AK83" t="s">
        <v>4214</v>
      </c>
      <c r="AL83" t="s">
        <v>4215</v>
      </c>
      <c r="AM83">
        <v>24</v>
      </c>
      <c r="AN83">
        <v>2</v>
      </c>
      <c r="AO83" t="s">
        <v>3897</v>
      </c>
      <c r="AP83">
        <v>10</v>
      </c>
      <c r="AQ83">
        <v>3</v>
      </c>
      <c r="AR83">
        <v>5</v>
      </c>
      <c r="AS83" t="s">
        <v>3899</v>
      </c>
      <c r="AT83">
        <v>90</v>
      </c>
      <c r="AU83">
        <v>5</v>
      </c>
      <c r="AV83" t="s">
        <v>5931</v>
      </c>
      <c r="AW83" t="s">
        <v>6125</v>
      </c>
      <c r="AX83" t="s">
        <v>56</v>
      </c>
      <c r="AY83">
        <v>3</v>
      </c>
      <c r="AZ83" t="s">
        <v>5993</v>
      </c>
    </row>
    <row r="84" spans="1:52" x14ac:dyDescent="0.25">
      <c r="A84" t="str">
        <f>"20200130138017134186"</f>
        <v>20200130138017134186</v>
      </c>
      <c r="B84">
        <v>1</v>
      </c>
      <c r="C84">
        <v>2</v>
      </c>
      <c r="D84" t="s">
        <v>5776</v>
      </c>
      <c r="E84" t="s">
        <v>56</v>
      </c>
      <c r="F84" t="s">
        <v>1627</v>
      </c>
      <c r="G84" t="s">
        <v>56</v>
      </c>
      <c r="H84" t="s">
        <v>56</v>
      </c>
      <c r="I84" t="s">
        <v>56</v>
      </c>
      <c r="J84" t="s">
        <v>56</v>
      </c>
      <c r="K84" t="s">
        <v>56</v>
      </c>
      <c r="L84" t="s">
        <v>56</v>
      </c>
      <c r="M84" t="s">
        <v>56</v>
      </c>
      <c r="N84" t="s">
        <v>56</v>
      </c>
      <c r="O84" t="s">
        <v>56</v>
      </c>
      <c r="P84" t="s">
        <v>56</v>
      </c>
      <c r="Q84" t="s">
        <v>5928</v>
      </c>
      <c r="R84" t="s">
        <v>56</v>
      </c>
      <c r="S84" t="s">
        <v>5928</v>
      </c>
      <c r="T84" t="s">
        <v>56</v>
      </c>
      <c r="U84" t="s">
        <v>5928</v>
      </c>
      <c r="V84" t="s">
        <v>56</v>
      </c>
      <c r="W84" t="s">
        <v>5928</v>
      </c>
      <c r="X84" t="s">
        <v>56</v>
      </c>
      <c r="Y84" t="s">
        <v>5928</v>
      </c>
      <c r="Z84">
        <v>1504</v>
      </c>
      <c r="AA84" t="s">
        <v>5929</v>
      </c>
      <c r="AB84">
        <v>150413</v>
      </c>
      <c r="AC84" t="s">
        <v>5930</v>
      </c>
      <c r="AD84">
        <v>3</v>
      </c>
      <c r="AE84" t="s">
        <v>5934</v>
      </c>
      <c r="AF84">
        <v>1</v>
      </c>
      <c r="AG84" t="s">
        <v>5932</v>
      </c>
      <c r="AH84" t="s">
        <v>6126</v>
      </c>
      <c r="AI84">
        <v>237</v>
      </c>
      <c r="AJ84" t="s">
        <v>4213</v>
      </c>
      <c r="AK84" t="s">
        <v>4214</v>
      </c>
      <c r="AL84" t="s">
        <v>4215</v>
      </c>
      <c r="AM84">
        <v>8</v>
      </c>
      <c r="AN84">
        <v>2</v>
      </c>
      <c r="AO84" t="s">
        <v>3897</v>
      </c>
      <c r="AP84">
        <v>10</v>
      </c>
      <c r="AQ84">
        <v>3</v>
      </c>
      <c r="AR84">
        <v>5</v>
      </c>
      <c r="AS84" t="s">
        <v>3899</v>
      </c>
      <c r="AT84">
        <v>270</v>
      </c>
      <c r="AU84">
        <v>3</v>
      </c>
      <c r="AV84" t="s">
        <v>5934</v>
      </c>
      <c r="AW84" t="s">
        <v>6127</v>
      </c>
      <c r="AX84" t="s">
        <v>56</v>
      </c>
      <c r="AY84">
        <v>3</v>
      </c>
      <c r="AZ84" t="s">
        <v>5993</v>
      </c>
    </row>
    <row r="85" spans="1:52" x14ac:dyDescent="0.25">
      <c r="A85" t="str">
        <f>"20200130139017137256"</f>
        <v>20200130139017137256</v>
      </c>
      <c r="B85">
        <v>1</v>
      </c>
      <c r="C85">
        <v>1</v>
      </c>
      <c r="D85" t="s">
        <v>5751</v>
      </c>
      <c r="E85" t="s">
        <v>56</v>
      </c>
      <c r="F85" t="s">
        <v>1627</v>
      </c>
      <c r="G85" t="s">
        <v>56</v>
      </c>
      <c r="H85" t="s">
        <v>56</v>
      </c>
      <c r="I85" t="s">
        <v>56</v>
      </c>
      <c r="J85" t="s">
        <v>56</v>
      </c>
      <c r="K85" t="s">
        <v>56</v>
      </c>
      <c r="L85" t="s">
        <v>56</v>
      </c>
      <c r="M85" t="s">
        <v>56</v>
      </c>
      <c r="N85" t="s">
        <v>56</v>
      </c>
      <c r="O85" t="s">
        <v>56</v>
      </c>
      <c r="P85" t="s">
        <v>56</v>
      </c>
      <c r="Q85" t="s">
        <v>5928</v>
      </c>
      <c r="R85" t="s">
        <v>56</v>
      </c>
      <c r="S85" t="s">
        <v>5928</v>
      </c>
      <c r="T85" t="s">
        <v>56</v>
      </c>
      <c r="U85" t="s">
        <v>5928</v>
      </c>
      <c r="V85" t="s">
        <v>56</v>
      </c>
      <c r="W85" t="s">
        <v>5928</v>
      </c>
      <c r="X85" t="s">
        <v>56</v>
      </c>
      <c r="Y85" t="s">
        <v>5928</v>
      </c>
      <c r="Z85">
        <v>1504</v>
      </c>
      <c r="AA85" t="s">
        <v>5929</v>
      </c>
      <c r="AB85">
        <v>150416</v>
      </c>
      <c r="AC85" t="s">
        <v>5953</v>
      </c>
      <c r="AD85">
        <v>5</v>
      </c>
      <c r="AE85" t="s">
        <v>5931</v>
      </c>
      <c r="AF85">
        <v>1</v>
      </c>
      <c r="AG85" t="s">
        <v>5932</v>
      </c>
      <c r="AH85" t="s">
        <v>6128</v>
      </c>
      <c r="AI85">
        <v>2</v>
      </c>
      <c r="AJ85">
        <v>9000</v>
      </c>
      <c r="AK85" t="s">
        <v>3956</v>
      </c>
      <c r="AL85" t="s">
        <v>3956</v>
      </c>
      <c r="AM85">
        <v>12</v>
      </c>
      <c r="AN85">
        <v>2</v>
      </c>
      <c r="AO85" t="s">
        <v>3897</v>
      </c>
      <c r="AP85">
        <v>10</v>
      </c>
      <c r="AQ85">
        <v>3</v>
      </c>
      <c r="AR85">
        <v>5</v>
      </c>
      <c r="AS85" t="s">
        <v>3899</v>
      </c>
      <c r="AT85">
        <v>12</v>
      </c>
      <c r="AU85">
        <v>5</v>
      </c>
      <c r="AV85" t="s">
        <v>5931</v>
      </c>
      <c r="AW85" t="s">
        <v>6129</v>
      </c>
      <c r="AX85" t="s">
        <v>56</v>
      </c>
      <c r="AY85">
        <v>3</v>
      </c>
      <c r="AZ85" t="s">
        <v>5993</v>
      </c>
    </row>
    <row r="86" spans="1:52" x14ac:dyDescent="0.25">
      <c r="A86" t="str">
        <f>"20200130149017143597"</f>
        <v>20200130149017143597</v>
      </c>
      <c r="B86">
        <v>1</v>
      </c>
      <c r="C86">
        <v>2</v>
      </c>
      <c r="D86" t="s">
        <v>5776</v>
      </c>
      <c r="E86" t="s">
        <v>56</v>
      </c>
      <c r="F86" t="s">
        <v>1627</v>
      </c>
      <c r="G86" t="s">
        <v>56</v>
      </c>
      <c r="H86" t="s">
        <v>56</v>
      </c>
      <c r="I86" t="s">
        <v>56</v>
      </c>
      <c r="J86" t="s">
        <v>56</v>
      </c>
      <c r="K86" t="s">
        <v>56</v>
      </c>
      <c r="L86" t="s">
        <v>56</v>
      </c>
      <c r="M86" t="s">
        <v>56</v>
      </c>
      <c r="N86" t="s">
        <v>56</v>
      </c>
      <c r="O86" t="s">
        <v>56</v>
      </c>
      <c r="P86" t="s">
        <v>56</v>
      </c>
      <c r="Q86" t="s">
        <v>5928</v>
      </c>
      <c r="R86" t="s">
        <v>56</v>
      </c>
      <c r="S86" t="s">
        <v>5928</v>
      </c>
      <c r="T86" t="s">
        <v>56</v>
      </c>
      <c r="U86" t="s">
        <v>5928</v>
      </c>
      <c r="V86" t="s">
        <v>56</v>
      </c>
      <c r="W86" t="s">
        <v>5928</v>
      </c>
      <c r="X86" t="s">
        <v>56</v>
      </c>
      <c r="Y86" t="s">
        <v>5928</v>
      </c>
      <c r="Z86">
        <v>1701</v>
      </c>
      <c r="AA86" t="s">
        <v>5966</v>
      </c>
      <c r="AB86">
        <v>170147</v>
      </c>
      <c r="AC86" t="s">
        <v>6017</v>
      </c>
      <c r="AD86">
        <v>3</v>
      </c>
      <c r="AE86" t="s">
        <v>5934</v>
      </c>
      <c r="AF86">
        <v>2</v>
      </c>
      <c r="AG86" t="s">
        <v>5963</v>
      </c>
      <c r="AH86" t="s">
        <v>6130</v>
      </c>
      <c r="AI86">
        <v>237</v>
      </c>
      <c r="AJ86" t="s">
        <v>4213</v>
      </c>
      <c r="AK86" t="s">
        <v>4214</v>
      </c>
      <c r="AL86" t="s">
        <v>4215</v>
      </c>
      <c r="AM86">
        <v>8</v>
      </c>
      <c r="AN86">
        <v>2</v>
      </c>
      <c r="AO86" t="s">
        <v>3897</v>
      </c>
      <c r="AP86">
        <v>3</v>
      </c>
      <c r="AQ86">
        <v>15</v>
      </c>
      <c r="AR86">
        <v>3</v>
      </c>
      <c r="AS86" t="s">
        <v>3911</v>
      </c>
      <c r="AT86">
        <v>45</v>
      </c>
      <c r="AU86">
        <v>3</v>
      </c>
      <c r="AV86" t="s">
        <v>5934</v>
      </c>
      <c r="AW86" t="s">
        <v>62</v>
      </c>
      <c r="AX86" t="s">
        <v>56</v>
      </c>
      <c r="AY86">
        <v>1</v>
      </c>
      <c r="AZ86" t="s">
        <v>3902</v>
      </c>
    </row>
    <row r="87" spans="1:52" x14ac:dyDescent="0.25">
      <c r="A87" t="str">
        <f>"20200130160017144611"</f>
        <v>20200130160017144611</v>
      </c>
      <c r="B87">
        <v>1</v>
      </c>
      <c r="C87">
        <v>1</v>
      </c>
      <c r="D87" t="s">
        <v>5751</v>
      </c>
      <c r="E87" t="s">
        <v>56</v>
      </c>
      <c r="F87" t="s">
        <v>1627</v>
      </c>
      <c r="G87" t="s">
        <v>56</v>
      </c>
      <c r="H87" t="s">
        <v>56</v>
      </c>
      <c r="I87" t="s">
        <v>56</v>
      </c>
      <c r="J87" t="s">
        <v>56</v>
      </c>
      <c r="K87" t="s">
        <v>56</v>
      </c>
      <c r="L87" t="s">
        <v>56</v>
      </c>
      <c r="M87" t="s">
        <v>56</v>
      </c>
      <c r="N87" t="s">
        <v>56</v>
      </c>
      <c r="O87" t="s">
        <v>56</v>
      </c>
      <c r="P87">
        <v>0</v>
      </c>
      <c r="Q87" t="s">
        <v>5989</v>
      </c>
      <c r="R87">
        <v>0</v>
      </c>
      <c r="S87" t="s">
        <v>5989</v>
      </c>
      <c r="T87">
        <v>0</v>
      </c>
      <c r="U87" t="s">
        <v>5989</v>
      </c>
      <c r="V87">
        <v>0</v>
      </c>
      <c r="W87" t="s">
        <v>5989</v>
      </c>
      <c r="X87" t="s">
        <v>56</v>
      </c>
      <c r="Y87" t="s">
        <v>5928</v>
      </c>
      <c r="Z87">
        <v>1501</v>
      </c>
      <c r="AA87" t="s">
        <v>5949</v>
      </c>
      <c r="AB87">
        <v>150101</v>
      </c>
      <c r="AC87" t="s">
        <v>5950</v>
      </c>
      <c r="AD87">
        <v>3</v>
      </c>
      <c r="AE87" t="s">
        <v>5934</v>
      </c>
      <c r="AF87">
        <v>1</v>
      </c>
      <c r="AG87" t="s">
        <v>5932</v>
      </c>
      <c r="AH87" t="s">
        <v>6131</v>
      </c>
      <c r="AI87">
        <v>2</v>
      </c>
      <c r="AJ87">
        <v>9000</v>
      </c>
      <c r="AK87" t="s">
        <v>3956</v>
      </c>
      <c r="AL87" t="s">
        <v>3956</v>
      </c>
      <c r="AM87">
        <v>24</v>
      </c>
      <c r="AN87">
        <v>2</v>
      </c>
      <c r="AO87" t="s">
        <v>3897</v>
      </c>
      <c r="AP87">
        <v>1</v>
      </c>
      <c r="AQ87">
        <v>60</v>
      </c>
      <c r="AR87">
        <v>3</v>
      </c>
      <c r="AS87" t="s">
        <v>3911</v>
      </c>
      <c r="AT87">
        <v>120</v>
      </c>
      <c r="AU87">
        <v>3</v>
      </c>
      <c r="AV87" t="s">
        <v>5934</v>
      </c>
      <c r="AW87" t="s">
        <v>6132</v>
      </c>
      <c r="AX87" t="s">
        <v>56</v>
      </c>
      <c r="AY87">
        <v>2</v>
      </c>
      <c r="AZ87" t="s">
        <v>4776</v>
      </c>
    </row>
    <row r="88" spans="1:52" x14ac:dyDescent="0.25">
      <c r="A88" t="str">
        <f>"20200130116017148551"</f>
        <v>20200130116017148551</v>
      </c>
      <c r="B88">
        <v>1</v>
      </c>
      <c r="C88">
        <v>2</v>
      </c>
      <c r="D88" t="s">
        <v>5776</v>
      </c>
      <c r="E88" t="s">
        <v>56</v>
      </c>
      <c r="F88" t="s">
        <v>1627</v>
      </c>
      <c r="G88" t="s">
        <v>56</v>
      </c>
      <c r="H88" t="s">
        <v>56</v>
      </c>
      <c r="I88" t="s">
        <v>56</v>
      </c>
      <c r="J88" t="s">
        <v>56</v>
      </c>
      <c r="K88" t="s">
        <v>56</v>
      </c>
      <c r="L88" t="s">
        <v>56</v>
      </c>
      <c r="M88" t="s">
        <v>56</v>
      </c>
      <c r="N88" t="s">
        <v>56</v>
      </c>
      <c r="O88" t="s">
        <v>56</v>
      </c>
      <c r="P88" t="s">
        <v>56</v>
      </c>
      <c r="Q88" t="s">
        <v>5928</v>
      </c>
      <c r="R88" t="s">
        <v>56</v>
      </c>
      <c r="S88" t="s">
        <v>5928</v>
      </c>
      <c r="T88" t="s">
        <v>56</v>
      </c>
      <c r="U88" t="s">
        <v>5928</v>
      </c>
      <c r="V88">
        <v>1</v>
      </c>
      <c r="W88" t="s">
        <v>5941</v>
      </c>
      <c r="X88" t="s">
        <v>56</v>
      </c>
      <c r="Y88" t="s">
        <v>5928</v>
      </c>
      <c r="Z88">
        <v>1409</v>
      </c>
      <c r="AA88" t="s">
        <v>5973</v>
      </c>
      <c r="AB88">
        <v>140907</v>
      </c>
      <c r="AC88" t="s">
        <v>6133</v>
      </c>
      <c r="AD88">
        <v>9</v>
      </c>
      <c r="AE88" t="s">
        <v>5946</v>
      </c>
      <c r="AF88">
        <v>1</v>
      </c>
      <c r="AG88" t="s">
        <v>5932</v>
      </c>
      <c r="AH88" t="s">
        <v>6134</v>
      </c>
      <c r="AI88">
        <v>84</v>
      </c>
      <c r="AJ88" t="s">
        <v>3929</v>
      </c>
      <c r="AK88" t="s">
        <v>3930</v>
      </c>
      <c r="AL88" t="s">
        <v>3931</v>
      </c>
      <c r="AM88">
        <v>24</v>
      </c>
      <c r="AN88">
        <v>2</v>
      </c>
      <c r="AO88" t="s">
        <v>3897</v>
      </c>
      <c r="AP88">
        <v>10</v>
      </c>
      <c r="AQ88">
        <v>90</v>
      </c>
      <c r="AR88">
        <v>3</v>
      </c>
      <c r="AS88" t="s">
        <v>3911</v>
      </c>
      <c r="AT88">
        <v>90</v>
      </c>
      <c r="AU88">
        <v>9</v>
      </c>
      <c r="AV88" t="s">
        <v>5946</v>
      </c>
      <c r="AW88" t="s">
        <v>6135</v>
      </c>
      <c r="AX88" t="s">
        <v>56</v>
      </c>
      <c r="AY88">
        <v>1</v>
      </c>
      <c r="AZ88" t="s">
        <v>3902</v>
      </c>
    </row>
    <row r="89" spans="1:52" x14ac:dyDescent="0.25">
      <c r="A89" t="str">
        <f>"20200130133017149435"</f>
        <v>20200130133017149435</v>
      </c>
      <c r="B89">
        <v>1</v>
      </c>
      <c r="C89">
        <v>2</v>
      </c>
      <c r="D89" t="s">
        <v>5776</v>
      </c>
      <c r="E89" t="s">
        <v>56</v>
      </c>
      <c r="F89" t="s">
        <v>1627</v>
      </c>
      <c r="G89" t="s">
        <v>56</v>
      </c>
      <c r="H89" t="s">
        <v>56</v>
      </c>
      <c r="I89" t="s">
        <v>56</v>
      </c>
      <c r="J89" t="s">
        <v>56</v>
      </c>
      <c r="K89" t="s">
        <v>56</v>
      </c>
      <c r="L89" t="s">
        <v>56</v>
      </c>
      <c r="M89" t="s">
        <v>56</v>
      </c>
      <c r="N89" t="s">
        <v>56</v>
      </c>
      <c r="O89" t="s">
        <v>56</v>
      </c>
      <c r="P89" t="s">
        <v>56</v>
      </c>
      <c r="Q89" t="s">
        <v>5928</v>
      </c>
      <c r="R89" t="s">
        <v>56</v>
      </c>
      <c r="S89" t="s">
        <v>5928</v>
      </c>
      <c r="T89" t="s">
        <v>56</v>
      </c>
      <c r="U89" t="s">
        <v>5928</v>
      </c>
      <c r="V89" t="s">
        <v>56</v>
      </c>
      <c r="W89" t="s">
        <v>5928</v>
      </c>
      <c r="X89" t="s">
        <v>56</v>
      </c>
      <c r="Y89" t="s">
        <v>5928</v>
      </c>
      <c r="Z89">
        <v>1504</v>
      </c>
      <c r="AA89" t="s">
        <v>5929</v>
      </c>
      <c r="AB89">
        <v>150416</v>
      </c>
      <c r="AC89" t="s">
        <v>5953</v>
      </c>
      <c r="AD89">
        <v>5</v>
      </c>
      <c r="AE89" t="s">
        <v>5931</v>
      </c>
      <c r="AF89">
        <v>1</v>
      </c>
      <c r="AG89" t="s">
        <v>5932</v>
      </c>
      <c r="AH89" t="s">
        <v>6136</v>
      </c>
      <c r="AI89">
        <v>45</v>
      </c>
      <c r="AJ89" t="s">
        <v>3929</v>
      </c>
      <c r="AK89" t="s">
        <v>3930</v>
      </c>
      <c r="AL89" t="s">
        <v>3931</v>
      </c>
      <c r="AM89">
        <v>12</v>
      </c>
      <c r="AN89">
        <v>2</v>
      </c>
      <c r="AO89" t="s">
        <v>3897</v>
      </c>
      <c r="AP89">
        <v>10</v>
      </c>
      <c r="AQ89">
        <v>90</v>
      </c>
      <c r="AR89">
        <v>3</v>
      </c>
      <c r="AS89" t="s">
        <v>3911</v>
      </c>
      <c r="AT89">
        <v>9</v>
      </c>
      <c r="AU89">
        <v>5</v>
      </c>
      <c r="AV89" t="s">
        <v>5931</v>
      </c>
      <c r="AW89" t="s">
        <v>6137</v>
      </c>
      <c r="AX89" t="s">
        <v>56</v>
      </c>
      <c r="AY89">
        <v>1</v>
      </c>
      <c r="AZ89" t="s">
        <v>3902</v>
      </c>
    </row>
    <row r="90" spans="1:52" x14ac:dyDescent="0.25">
      <c r="A90" t="str">
        <f>"20200129139017114792"</f>
        <v>20200129139017114792</v>
      </c>
      <c r="B90">
        <v>1</v>
      </c>
      <c r="C90">
        <v>2</v>
      </c>
      <c r="D90" t="s">
        <v>5776</v>
      </c>
      <c r="E90" t="s">
        <v>56</v>
      </c>
      <c r="F90" t="s">
        <v>1627</v>
      </c>
      <c r="G90" t="s">
        <v>56</v>
      </c>
      <c r="H90" t="s">
        <v>56</v>
      </c>
      <c r="I90" t="s">
        <v>56</v>
      </c>
      <c r="J90" t="s">
        <v>56</v>
      </c>
      <c r="K90" t="s">
        <v>56</v>
      </c>
      <c r="L90" t="s">
        <v>56</v>
      </c>
      <c r="M90" t="s">
        <v>56</v>
      </c>
      <c r="N90" t="s">
        <v>56</v>
      </c>
      <c r="O90" t="s">
        <v>56</v>
      </c>
      <c r="P90" t="s">
        <v>56</v>
      </c>
      <c r="Q90" t="s">
        <v>5928</v>
      </c>
      <c r="R90" t="s">
        <v>56</v>
      </c>
      <c r="S90" t="s">
        <v>5928</v>
      </c>
      <c r="T90" t="s">
        <v>56</v>
      </c>
      <c r="U90" t="s">
        <v>5928</v>
      </c>
      <c r="V90" t="s">
        <v>56</v>
      </c>
      <c r="W90" t="s">
        <v>5928</v>
      </c>
      <c r="X90" t="s">
        <v>56</v>
      </c>
      <c r="Y90" t="s">
        <v>5928</v>
      </c>
      <c r="Z90">
        <v>1701</v>
      </c>
      <c r="AA90" t="s">
        <v>5966</v>
      </c>
      <c r="AB90">
        <v>170147</v>
      </c>
      <c r="AC90" t="s">
        <v>6017</v>
      </c>
      <c r="AD90">
        <v>3</v>
      </c>
      <c r="AE90" t="s">
        <v>5934</v>
      </c>
      <c r="AF90">
        <v>1</v>
      </c>
      <c r="AG90" t="s">
        <v>5932</v>
      </c>
      <c r="AH90" t="s">
        <v>6138</v>
      </c>
      <c r="AI90">
        <v>1</v>
      </c>
      <c r="AJ90">
        <v>9000</v>
      </c>
      <c r="AK90" t="s">
        <v>3956</v>
      </c>
      <c r="AL90" t="s">
        <v>3956</v>
      </c>
      <c r="AM90">
        <v>12</v>
      </c>
      <c r="AN90">
        <v>2</v>
      </c>
      <c r="AO90" t="s">
        <v>3897</v>
      </c>
      <c r="AP90">
        <v>10</v>
      </c>
      <c r="AQ90">
        <v>90</v>
      </c>
      <c r="AR90">
        <v>3</v>
      </c>
      <c r="AS90" t="s">
        <v>3911</v>
      </c>
      <c r="AT90">
        <v>180</v>
      </c>
      <c r="AU90">
        <v>3</v>
      </c>
      <c r="AV90" t="s">
        <v>5934</v>
      </c>
      <c r="AW90" t="s">
        <v>6139</v>
      </c>
      <c r="AX90" t="s">
        <v>56</v>
      </c>
      <c r="AY90">
        <v>2</v>
      </c>
      <c r="AZ90" t="s">
        <v>4776</v>
      </c>
    </row>
    <row r="91" spans="1:52" x14ac:dyDescent="0.25">
      <c r="A91" t="str">
        <f>"20200129153017115915"</f>
        <v>20200129153017115915</v>
      </c>
      <c r="B91">
        <v>1</v>
      </c>
      <c r="C91">
        <v>2</v>
      </c>
      <c r="D91" t="s">
        <v>5776</v>
      </c>
      <c r="E91" t="s">
        <v>56</v>
      </c>
      <c r="F91" t="s">
        <v>1627</v>
      </c>
      <c r="G91" t="s">
        <v>56</v>
      </c>
      <c r="H91" t="s">
        <v>56</v>
      </c>
      <c r="I91" t="s">
        <v>56</v>
      </c>
      <c r="J91" t="s">
        <v>56</v>
      </c>
      <c r="K91" t="s">
        <v>56</v>
      </c>
      <c r="L91" t="s">
        <v>56</v>
      </c>
      <c r="M91" t="s">
        <v>56</v>
      </c>
      <c r="N91" t="s">
        <v>56</v>
      </c>
      <c r="O91" t="s">
        <v>56</v>
      </c>
      <c r="P91" t="s">
        <v>56</v>
      </c>
      <c r="Q91" t="s">
        <v>5928</v>
      </c>
      <c r="R91" t="s">
        <v>56</v>
      </c>
      <c r="S91" t="s">
        <v>5928</v>
      </c>
      <c r="T91" t="s">
        <v>56</v>
      </c>
      <c r="U91" t="s">
        <v>5928</v>
      </c>
      <c r="V91" t="s">
        <v>56</v>
      </c>
      <c r="W91" t="s">
        <v>5928</v>
      </c>
      <c r="X91" t="s">
        <v>56</v>
      </c>
      <c r="Y91" t="s">
        <v>5928</v>
      </c>
      <c r="Z91">
        <v>1504</v>
      </c>
      <c r="AA91" t="s">
        <v>5929</v>
      </c>
      <c r="AB91">
        <v>150411</v>
      </c>
      <c r="AC91" t="s">
        <v>5990</v>
      </c>
      <c r="AD91">
        <v>5</v>
      </c>
      <c r="AE91" t="s">
        <v>5931</v>
      </c>
      <c r="AF91">
        <v>1</v>
      </c>
      <c r="AG91" t="s">
        <v>5932</v>
      </c>
      <c r="AH91" t="s">
        <v>6140</v>
      </c>
      <c r="AI91">
        <v>56</v>
      </c>
      <c r="AJ91" t="s">
        <v>3929</v>
      </c>
      <c r="AK91" t="s">
        <v>3930</v>
      </c>
      <c r="AL91" t="s">
        <v>3931</v>
      </c>
      <c r="AM91">
        <v>12</v>
      </c>
      <c r="AN91">
        <v>2</v>
      </c>
      <c r="AO91" t="s">
        <v>3897</v>
      </c>
      <c r="AP91">
        <v>10</v>
      </c>
      <c r="AQ91">
        <v>60</v>
      </c>
      <c r="AR91">
        <v>3</v>
      </c>
      <c r="AS91" t="s">
        <v>3911</v>
      </c>
      <c r="AT91">
        <v>16</v>
      </c>
      <c r="AU91">
        <v>5</v>
      </c>
      <c r="AV91" t="s">
        <v>5931</v>
      </c>
      <c r="AW91" t="s">
        <v>6141</v>
      </c>
      <c r="AX91" t="s">
        <v>56</v>
      </c>
      <c r="AY91">
        <v>2</v>
      </c>
      <c r="AZ91" t="s">
        <v>4776</v>
      </c>
    </row>
    <row r="92" spans="1:52" x14ac:dyDescent="0.25">
      <c r="A92" t="str">
        <f>"20200130125017151388"</f>
        <v>20200130125017151388</v>
      </c>
      <c r="B92">
        <v>1</v>
      </c>
      <c r="C92">
        <v>2</v>
      </c>
      <c r="D92" t="s">
        <v>5776</v>
      </c>
      <c r="E92" t="s">
        <v>56</v>
      </c>
      <c r="F92" t="s">
        <v>1627</v>
      </c>
      <c r="G92" t="s">
        <v>56</v>
      </c>
      <c r="H92" t="s">
        <v>56</v>
      </c>
      <c r="I92" t="s">
        <v>56</v>
      </c>
      <c r="J92" t="s">
        <v>56</v>
      </c>
      <c r="K92" t="s">
        <v>56</v>
      </c>
      <c r="L92" t="s">
        <v>56</v>
      </c>
      <c r="M92" t="s">
        <v>56</v>
      </c>
      <c r="N92" t="s">
        <v>56</v>
      </c>
      <c r="O92" t="s">
        <v>56</v>
      </c>
      <c r="P92" t="s">
        <v>56</v>
      </c>
      <c r="Q92" t="s">
        <v>5928</v>
      </c>
      <c r="R92" t="s">
        <v>56</v>
      </c>
      <c r="S92" t="s">
        <v>5928</v>
      </c>
      <c r="T92" t="s">
        <v>56</v>
      </c>
      <c r="U92" t="s">
        <v>5928</v>
      </c>
      <c r="V92" t="s">
        <v>56</v>
      </c>
      <c r="W92" t="s">
        <v>5928</v>
      </c>
      <c r="X92" t="s">
        <v>56</v>
      </c>
      <c r="Y92" t="s">
        <v>5928</v>
      </c>
      <c r="Z92">
        <v>1504</v>
      </c>
      <c r="AA92" t="s">
        <v>5929</v>
      </c>
      <c r="AB92">
        <v>150415</v>
      </c>
      <c r="AC92" t="s">
        <v>5953</v>
      </c>
      <c r="AD92">
        <v>5</v>
      </c>
      <c r="AE92" t="s">
        <v>5931</v>
      </c>
      <c r="AF92">
        <v>1</v>
      </c>
      <c r="AG92" t="s">
        <v>5932</v>
      </c>
      <c r="AH92" t="s">
        <v>6142</v>
      </c>
      <c r="AI92" t="s">
        <v>6143</v>
      </c>
      <c r="AJ92" t="s">
        <v>3929</v>
      </c>
      <c r="AK92" t="s">
        <v>3930</v>
      </c>
      <c r="AL92" t="s">
        <v>3931</v>
      </c>
      <c r="AM92">
        <v>8</v>
      </c>
      <c r="AN92">
        <v>2</v>
      </c>
      <c r="AO92" t="s">
        <v>3897</v>
      </c>
      <c r="AP92">
        <v>10</v>
      </c>
      <c r="AQ92">
        <v>90</v>
      </c>
      <c r="AR92">
        <v>3</v>
      </c>
      <c r="AS92" t="s">
        <v>3911</v>
      </c>
      <c r="AT92">
        <v>36</v>
      </c>
      <c r="AU92">
        <v>5</v>
      </c>
      <c r="AV92" t="s">
        <v>5931</v>
      </c>
      <c r="AW92" t="s">
        <v>6144</v>
      </c>
      <c r="AX92" t="s">
        <v>56</v>
      </c>
      <c r="AY92">
        <v>2</v>
      </c>
      <c r="AZ92" t="s">
        <v>4776</v>
      </c>
    </row>
    <row r="93" spans="1:52" x14ac:dyDescent="0.25">
      <c r="A93" t="str">
        <f>"20200128190017072211"</f>
        <v>20200128190017072211</v>
      </c>
      <c r="B93">
        <v>1</v>
      </c>
      <c r="C93">
        <v>2</v>
      </c>
      <c r="D93" t="s">
        <v>5776</v>
      </c>
      <c r="E93" t="s">
        <v>56</v>
      </c>
      <c r="F93" t="s">
        <v>1627</v>
      </c>
      <c r="G93" t="s">
        <v>56</v>
      </c>
      <c r="H93" t="s">
        <v>56</v>
      </c>
      <c r="I93" t="s">
        <v>56</v>
      </c>
      <c r="J93" t="s">
        <v>56</v>
      </c>
      <c r="K93" t="s">
        <v>56</v>
      </c>
      <c r="L93" t="s">
        <v>56</v>
      </c>
      <c r="M93" t="s">
        <v>56</v>
      </c>
      <c r="N93" t="s">
        <v>56</v>
      </c>
      <c r="O93" t="s">
        <v>56</v>
      </c>
      <c r="P93" t="s">
        <v>56</v>
      </c>
      <c r="Q93" t="s">
        <v>5928</v>
      </c>
      <c r="R93" t="s">
        <v>56</v>
      </c>
      <c r="S93" t="s">
        <v>5928</v>
      </c>
      <c r="T93" t="s">
        <v>56</v>
      </c>
      <c r="U93" t="s">
        <v>5928</v>
      </c>
      <c r="V93" t="s">
        <v>56</v>
      </c>
      <c r="W93" t="s">
        <v>5928</v>
      </c>
      <c r="X93" t="s">
        <v>56</v>
      </c>
      <c r="Y93" t="s">
        <v>5928</v>
      </c>
      <c r="Z93">
        <v>1701</v>
      </c>
      <c r="AA93" t="s">
        <v>5966</v>
      </c>
      <c r="AB93">
        <v>170147</v>
      </c>
      <c r="AC93" t="s">
        <v>6017</v>
      </c>
      <c r="AD93">
        <v>3</v>
      </c>
      <c r="AE93" t="s">
        <v>5934</v>
      </c>
      <c r="AF93">
        <v>1</v>
      </c>
      <c r="AG93" t="s">
        <v>5932</v>
      </c>
      <c r="AH93" t="s">
        <v>6145</v>
      </c>
      <c r="AI93">
        <v>1</v>
      </c>
      <c r="AJ93" t="s">
        <v>4026</v>
      </c>
      <c r="AK93" t="s">
        <v>4027</v>
      </c>
      <c r="AL93" t="s">
        <v>4028</v>
      </c>
      <c r="AM93">
        <v>12</v>
      </c>
      <c r="AN93">
        <v>2</v>
      </c>
      <c r="AO93" t="s">
        <v>3897</v>
      </c>
      <c r="AP93">
        <v>10</v>
      </c>
      <c r="AQ93">
        <v>60</v>
      </c>
      <c r="AR93">
        <v>3</v>
      </c>
      <c r="AS93" t="s">
        <v>3911</v>
      </c>
      <c r="AT93">
        <v>120</v>
      </c>
      <c r="AU93">
        <v>3</v>
      </c>
      <c r="AV93" t="s">
        <v>5934</v>
      </c>
      <c r="AW93" t="s">
        <v>6146</v>
      </c>
      <c r="AX93" t="s">
        <v>56</v>
      </c>
      <c r="AY93">
        <v>2</v>
      </c>
      <c r="AZ93" t="s">
        <v>4776</v>
      </c>
    </row>
    <row r="94" spans="1:52" x14ac:dyDescent="0.25">
      <c r="A94" t="str">
        <f>"20200128154017072842"</f>
        <v>20200128154017072842</v>
      </c>
      <c r="B94">
        <v>1</v>
      </c>
      <c r="C94">
        <v>2</v>
      </c>
      <c r="D94" t="s">
        <v>5776</v>
      </c>
      <c r="E94" t="s">
        <v>56</v>
      </c>
      <c r="F94" t="s">
        <v>1627</v>
      </c>
      <c r="G94" t="s">
        <v>56</v>
      </c>
      <c r="H94" t="s">
        <v>56</v>
      </c>
      <c r="I94" t="s">
        <v>56</v>
      </c>
      <c r="J94" t="s">
        <v>56</v>
      </c>
      <c r="K94" t="s">
        <v>56</v>
      </c>
      <c r="L94" t="s">
        <v>56</v>
      </c>
      <c r="M94" t="s">
        <v>56</v>
      </c>
      <c r="N94" t="s">
        <v>56</v>
      </c>
      <c r="O94" t="s">
        <v>56</v>
      </c>
      <c r="P94" t="s">
        <v>56</v>
      </c>
      <c r="Q94" t="s">
        <v>5928</v>
      </c>
      <c r="R94">
        <v>1</v>
      </c>
      <c r="S94" t="s">
        <v>5941</v>
      </c>
      <c r="T94" t="s">
        <v>56</v>
      </c>
      <c r="U94" t="s">
        <v>5928</v>
      </c>
      <c r="V94" t="s">
        <v>56</v>
      </c>
      <c r="W94" t="s">
        <v>5928</v>
      </c>
      <c r="X94" t="s">
        <v>56</v>
      </c>
      <c r="Y94" t="s">
        <v>5928</v>
      </c>
      <c r="Z94">
        <v>1503</v>
      </c>
      <c r="AA94" t="s">
        <v>5994</v>
      </c>
      <c r="AB94">
        <v>150314</v>
      </c>
      <c r="AC94" t="s">
        <v>6147</v>
      </c>
      <c r="AD94">
        <v>3</v>
      </c>
      <c r="AE94" t="s">
        <v>5934</v>
      </c>
      <c r="AF94">
        <v>1</v>
      </c>
      <c r="AG94" t="s">
        <v>5932</v>
      </c>
      <c r="AH94" t="s">
        <v>6148</v>
      </c>
      <c r="AI94">
        <v>1</v>
      </c>
      <c r="AJ94" t="s">
        <v>4026</v>
      </c>
      <c r="AK94" t="s">
        <v>4027</v>
      </c>
      <c r="AL94" t="s">
        <v>4028</v>
      </c>
      <c r="AM94">
        <v>24</v>
      </c>
      <c r="AN94">
        <v>2</v>
      </c>
      <c r="AO94" t="s">
        <v>3897</v>
      </c>
      <c r="AP94">
        <v>10</v>
      </c>
      <c r="AQ94">
        <v>60</v>
      </c>
      <c r="AR94">
        <v>3</v>
      </c>
      <c r="AS94" t="s">
        <v>3911</v>
      </c>
      <c r="AT94">
        <v>60</v>
      </c>
      <c r="AU94">
        <v>3</v>
      </c>
      <c r="AV94" t="s">
        <v>5934</v>
      </c>
      <c r="AW94" t="s">
        <v>6149</v>
      </c>
      <c r="AX94" t="s">
        <v>56</v>
      </c>
      <c r="AY94">
        <v>1</v>
      </c>
      <c r="AZ94" t="s">
        <v>3902</v>
      </c>
    </row>
    <row r="95" spans="1:52" x14ac:dyDescent="0.25">
      <c r="A95" t="str">
        <f>"20200128130017074208"</f>
        <v>20200128130017074208</v>
      </c>
      <c r="B95">
        <v>1</v>
      </c>
      <c r="C95">
        <v>2</v>
      </c>
      <c r="D95" t="s">
        <v>5776</v>
      </c>
      <c r="E95" t="s">
        <v>56</v>
      </c>
      <c r="F95" t="s">
        <v>1627</v>
      </c>
      <c r="G95" t="s">
        <v>56</v>
      </c>
      <c r="H95" t="s">
        <v>56</v>
      </c>
      <c r="I95" t="s">
        <v>56</v>
      </c>
      <c r="J95" t="s">
        <v>56</v>
      </c>
      <c r="K95" t="s">
        <v>56</v>
      </c>
      <c r="L95" t="s">
        <v>56</v>
      </c>
      <c r="M95" t="s">
        <v>56</v>
      </c>
      <c r="N95" t="s">
        <v>56</v>
      </c>
      <c r="O95" t="s">
        <v>56</v>
      </c>
      <c r="P95" t="s">
        <v>56</v>
      </c>
      <c r="Q95" t="s">
        <v>5928</v>
      </c>
      <c r="R95" t="s">
        <v>56</v>
      </c>
      <c r="S95" t="s">
        <v>5928</v>
      </c>
      <c r="T95" t="s">
        <v>56</v>
      </c>
      <c r="U95" t="s">
        <v>5928</v>
      </c>
      <c r="V95" t="s">
        <v>56</v>
      </c>
      <c r="W95" t="s">
        <v>5928</v>
      </c>
      <c r="X95" t="s">
        <v>56</v>
      </c>
      <c r="Y95" t="s">
        <v>5928</v>
      </c>
      <c r="Z95">
        <v>1701</v>
      </c>
      <c r="AA95" t="s">
        <v>5966</v>
      </c>
      <c r="AB95">
        <v>170147</v>
      </c>
      <c r="AC95" t="s">
        <v>6017</v>
      </c>
      <c r="AD95">
        <v>3</v>
      </c>
      <c r="AE95" t="s">
        <v>5934</v>
      </c>
      <c r="AF95">
        <v>1</v>
      </c>
      <c r="AG95" t="s">
        <v>5932</v>
      </c>
      <c r="AH95" t="s">
        <v>6150</v>
      </c>
      <c r="AI95">
        <v>2</v>
      </c>
      <c r="AJ95">
        <v>9000</v>
      </c>
      <c r="AK95" t="s">
        <v>3956</v>
      </c>
      <c r="AL95" t="s">
        <v>3956</v>
      </c>
      <c r="AM95">
        <v>12</v>
      </c>
      <c r="AN95">
        <v>2</v>
      </c>
      <c r="AO95" t="s">
        <v>3897</v>
      </c>
      <c r="AP95">
        <v>10</v>
      </c>
      <c r="AQ95">
        <v>30</v>
      </c>
      <c r="AR95">
        <v>3</v>
      </c>
      <c r="AS95" t="s">
        <v>3911</v>
      </c>
      <c r="AT95">
        <v>60</v>
      </c>
      <c r="AU95">
        <v>3</v>
      </c>
      <c r="AV95" t="s">
        <v>5934</v>
      </c>
      <c r="AW95" t="s">
        <v>6151</v>
      </c>
      <c r="AX95" t="s">
        <v>56</v>
      </c>
      <c r="AY95">
        <v>3</v>
      </c>
      <c r="AZ95" t="s">
        <v>5993</v>
      </c>
    </row>
    <row r="96" spans="1:52" x14ac:dyDescent="0.25">
      <c r="A96" t="str">
        <f>"20200128180017074748"</f>
        <v>20200128180017074748</v>
      </c>
      <c r="B96">
        <v>1</v>
      </c>
      <c r="C96">
        <v>1</v>
      </c>
      <c r="D96" t="s">
        <v>5751</v>
      </c>
      <c r="E96" t="s">
        <v>56</v>
      </c>
      <c r="F96" t="s">
        <v>1627</v>
      </c>
      <c r="G96" t="s">
        <v>56</v>
      </c>
      <c r="H96" t="s">
        <v>56</v>
      </c>
      <c r="I96" t="s">
        <v>56</v>
      </c>
      <c r="J96" t="s">
        <v>56</v>
      </c>
      <c r="K96" t="s">
        <v>56</v>
      </c>
      <c r="L96" t="s">
        <v>56</v>
      </c>
      <c r="M96" t="s">
        <v>56</v>
      </c>
      <c r="N96" t="s">
        <v>56</v>
      </c>
      <c r="O96" t="s">
        <v>56</v>
      </c>
      <c r="P96" t="s">
        <v>56</v>
      </c>
      <c r="Q96" t="s">
        <v>5928</v>
      </c>
      <c r="R96" t="s">
        <v>56</v>
      </c>
      <c r="S96" t="s">
        <v>5928</v>
      </c>
      <c r="T96" t="s">
        <v>56</v>
      </c>
      <c r="U96" t="s">
        <v>5928</v>
      </c>
      <c r="V96" t="s">
        <v>56</v>
      </c>
      <c r="W96" t="s">
        <v>5928</v>
      </c>
      <c r="X96" t="s">
        <v>56</v>
      </c>
      <c r="Y96" t="s">
        <v>5928</v>
      </c>
      <c r="Z96">
        <v>1503</v>
      </c>
      <c r="AA96" t="s">
        <v>5994</v>
      </c>
      <c r="AB96">
        <v>150303</v>
      </c>
      <c r="AC96" t="s">
        <v>6152</v>
      </c>
      <c r="AD96">
        <v>4</v>
      </c>
      <c r="AE96" t="s">
        <v>6153</v>
      </c>
      <c r="AF96">
        <v>2</v>
      </c>
      <c r="AG96" t="s">
        <v>5963</v>
      </c>
      <c r="AH96" t="s">
        <v>6154</v>
      </c>
      <c r="AI96">
        <v>1</v>
      </c>
      <c r="AJ96" t="s">
        <v>4026</v>
      </c>
      <c r="AK96" t="s">
        <v>4027</v>
      </c>
      <c r="AL96" t="s">
        <v>4028</v>
      </c>
      <c r="AM96">
        <v>12</v>
      </c>
      <c r="AN96">
        <v>2</v>
      </c>
      <c r="AO96" t="s">
        <v>3897</v>
      </c>
      <c r="AP96">
        <v>5</v>
      </c>
      <c r="AQ96">
        <v>7</v>
      </c>
      <c r="AR96">
        <v>3</v>
      </c>
      <c r="AS96" t="s">
        <v>3911</v>
      </c>
      <c r="AT96">
        <v>14</v>
      </c>
      <c r="AU96">
        <v>4</v>
      </c>
      <c r="AV96" t="s">
        <v>6153</v>
      </c>
      <c r="AW96" t="s">
        <v>6155</v>
      </c>
      <c r="AX96" t="s">
        <v>56</v>
      </c>
      <c r="AY96">
        <v>1</v>
      </c>
      <c r="AZ96" t="s">
        <v>3902</v>
      </c>
    </row>
    <row r="97" spans="1:52" x14ac:dyDescent="0.25">
      <c r="A97" t="str">
        <f>"20200128190017076004"</f>
        <v>20200128190017076004</v>
      </c>
      <c r="B97">
        <v>1</v>
      </c>
      <c r="C97">
        <v>2</v>
      </c>
      <c r="D97" t="s">
        <v>5776</v>
      </c>
      <c r="E97" t="s">
        <v>56</v>
      </c>
      <c r="F97" t="s">
        <v>1627</v>
      </c>
      <c r="G97" t="s">
        <v>56</v>
      </c>
      <c r="H97" t="s">
        <v>56</v>
      </c>
      <c r="I97" t="s">
        <v>56</v>
      </c>
      <c r="J97" t="s">
        <v>56</v>
      </c>
      <c r="K97" t="s">
        <v>56</v>
      </c>
      <c r="L97" t="s">
        <v>56</v>
      </c>
      <c r="M97" t="s">
        <v>56</v>
      </c>
      <c r="N97" t="s">
        <v>56</v>
      </c>
      <c r="O97" t="s">
        <v>56</v>
      </c>
      <c r="P97" t="s">
        <v>56</v>
      </c>
      <c r="Q97" t="s">
        <v>5928</v>
      </c>
      <c r="R97" t="s">
        <v>56</v>
      </c>
      <c r="S97" t="s">
        <v>5928</v>
      </c>
      <c r="T97" t="s">
        <v>56</v>
      </c>
      <c r="U97" t="s">
        <v>5928</v>
      </c>
      <c r="V97" t="s">
        <v>56</v>
      </c>
      <c r="W97" t="s">
        <v>5928</v>
      </c>
      <c r="X97" t="s">
        <v>56</v>
      </c>
      <c r="Y97" t="s">
        <v>5928</v>
      </c>
      <c r="Z97">
        <v>1701</v>
      </c>
      <c r="AA97" t="s">
        <v>5966</v>
      </c>
      <c r="AB97">
        <v>170147</v>
      </c>
      <c r="AC97" t="s">
        <v>6017</v>
      </c>
      <c r="AD97">
        <v>3</v>
      </c>
      <c r="AE97" t="s">
        <v>5934</v>
      </c>
      <c r="AF97">
        <v>1</v>
      </c>
      <c r="AG97" t="s">
        <v>5932</v>
      </c>
      <c r="AH97" t="s">
        <v>6156</v>
      </c>
      <c r="AI97">
        <v>1</v>
      </c>
      <c r="AJ97" t="s">
        <v>4026</v>
      </c>
      <c r="AK97" t="s">
        <v>4027</v>
      </c>
      <c r="AL97" t="s">
        <v>4028</v>
      </c>
      <c r="AM97">
        <v>12</v>
      </c>
      <c r="AN97">
        <v>2</v>
      </c>
      <c r="AO97" t="s">
        <v>3897</v>
      </c>
      <c r="AP97">
        <v>10</v>
      </c>
      <c r="AQ97">
        <v>2</v>
      </c>
      <c r="AR97">
        <v>5</v>
      </c>
      <c r="AS97" t="s">
        <v>3899</v>
      </c>
      <c r="AT97">
        <v>120</v>
      </c>
      <c r="AU97">
        <v>3</v>
      </c>
      <c r="AV97" t="s">
        <v>5934</v>
      </c>
      <c r="AW97" t="s">
        <v>6157</v>
      </c>
      <c r="AX97" t="s">
        <v>56</v>
      </c>
      <c r="AY97">
        <v>2</v>
      </c>
      <c r="AZ97" t="s">
        <v>4776</v>
      </c>
    </row>
    <row r="98" spans="1:52" x14ac:dyDescent="0.25">
      <c r="A98" t="str">
        <f>"20200128144017069736"</f>
        <v>20200128144017069736</v>
      </c>
      <c r="B98">
        <v>1</v>
      </c>
      <c r="C98">
        <v>1</v>
      </c>
      <c r="D98" t="s">
        <v>5751</v>
      </c>
      <c r="E98" t="s">
        <v>56</v>
      </c>
      <c r="F98" t="s">
        <v>1627</v>
      </c>
      <c r="G98" t="s">
        <v>56</v>
      </c>
      <c r="H98" t="s">
        <v>56</v>
      </c>
      <c r="I98" t="s">
        <v>56</v>
      </c>
      <c r="J98" t="s">
        <v>56</v>
      </c>
      <c r="K98" t="s">
        <v>56</v>
      </c>
      <c r="L98" t="s">
        <v>56</v>
      </c>
      <c r="M98" t="s">
        <v>56</v>
      </c>
      <c r="N98" t="s">
        <v>56</v>
      </c>
      <c r="O98" t="s">
        <v>56</v>
      </c>
      <c r="P98" t="s">
        <v>56</v>
      </c>
      <c r="Q98" t="s">
        <v>5928</v>
      </c>
      <c r="R98" t="s">
        <v>56</v>
      </c>
      <c r="S98" t="s">
        <v>5928</v>
      </c>
      <c r="T98" t="s">
        <v>56</v>
      </c>
      <c r="U98" t="s">
        <v>5928</v>
      </c>
      <c r="V98" t="s">
        <v>56</v>
      </c>
      <c r="W98" t="s">
        <v>5928</v>
      </c>
      <c r="X98" t="s">
        <v>56</v>
      </c>
      <c r="Y98" t="s">
        <v>5928</v>
      </c>
      <c r="Z98">
        <v>1501</v>
      </c>
      <c r="AA98" t="s">
        <v>5949</v>
      </c>
      <c r="AB98">
        <v>150101</v>
      </c>
      <c r="AC98" t="s">
        <v>5950</v>
      </c>
      <c r="AD98">
        <v>3</v>
      </c>
      <c r="AE98" t="s">
        <v>5934</v>
      </c>
      <c r="AF98">
        <v>1</v>
      </c>
      <c r="AG98" t="s">
        <v>5932</v>
      </c>
      <c r="AH98" t="s">
        <v>6011</v>
      </c>
      <c r="AI98">
        <v>1</v>
      </c>
      <c r="AJ98" t="s">
        <v>4026</v>
      </c>
      <c r="AK98" t="s">
        <v>4027</v>
      </c>
      <c r="AL98" t="s">
        <v>4028</v>
      </c>
      <c r="AM98">
        <v>8</v>
      </c>
      <c r="AN98">
        <v>2</v>
      </c>
      <c r="AO98" t="s">
        <v>3897</v>
      </c>
      <c r="AP98">
        <v>10</v>
      </c>
      <c r="AQ98">
        <v>20</v>
      </c>
      <c r="AR98">
        <v>3</v>
      </c>
      <c r="AS98" t="s">
        <v>3911</v>
      </c>
      <c r="AT98">
        <v>60</v>
      </c>
      <c r="AU98">
        <v>3</v>
      </c>
      <c r="AV98" t="s">
        <v>5934</v>
      </c>
      <c r="AW98" t="s">
        <v>6158</v>
      </c>
      <c r="AX98" t="s">
        <v>56</v>
      </c>
      <c r="AY98">
        <v>1</v>
      </c>
      <c r="AZ98" t="s">
        <v>3902</v>
      </c>
    </row>
    <row r="99" spans="1:52" x14ac:dyDescent="0.25">
      <c r="A99" t="str">
        <f>"20200128116017071410"</f>
        <v>20200128116017071410</v>
      </c>
      <c r="B99">
        <v>1</v>
      </c>
      <c r="C99">
        <v>2</v>
      </c>
      <c r="D99" t="s">
        <v>5776</v>
      </c>
      <c r="E99" t="s">
        <v>56</v>
      </c>
      <c r="F99" t="s">
        <v>1627</v>
      </c>
      <c r="G99" t="s">
        <v>56</v>
      </c>
      <c r="H99" t="s">
        <v>56</v>
      </c>
      <c r="I99" t="s">
        <v>56</v>
      </c>
      <c r="J99" t="s">
        <v>56</v>
      </c>
      <c r="K99" t="s">
        <v>56</v>
      </c>
      <c r="L99" t="s">
        <v>56</v>
      </c>
      <c r="M99" t="s">
        <v>56</v>
      </c>
      <c r="N99" t="s">
        <v>56</v>
      </c>
      <c r="O99" t="s">
        <v>56</v>
      </c>
      <c r="P99" t="s">
        <v>56</v>
      </c>
      <c r="Q99" t="s">
        <v>5928</v>
      </c>
      <c r="R99" t="s">
        <v>56</v>
      </c>
      <c r="S99" t="s">
        <v>5928</v>
      </c>
      <c r="T99">
        <v>1</v>
      </c>
      <c r="U99" t="s">
        <v>5941</v>
      </c>
      <c r="V99" t="s">
        <v>56</v>
      </c>
      <c r="W99" t="s">
        <v>5928</v>
      </c>
      <c r="X99" t="s">
        <v>56</v>
      </c>
      <c r="Y99" t="s">
        <v>5928</v>
      </c>
      <c r="Z99">
        <v>1408</v>
      </c>
      <c r="AA99" t="s">
        <v>6159</v>
      </c>
      <c r="AB99">
        <v>140807</v>
      </c>
      <c r="AC99" t="s">
        <v>6160</v>
      </c>
      <c r="AD99">
        <v>5</v>
      </c>
      <c r="AE99" t="s">
        <v>5931</v>
      </c>
      <c r="AF99">
        <v>1</v>
      </c>
      <c r="AG99" t="s">
        <v>5932</v>
      </c>
      <c r="AH99" t="s">
        <v>6161</v>
      </c>
      <c r="AI99">
        <v>237</v>
      </c>
      <c r="AJ99" t="s">
        <v>4213</v>
      </c>
      <c r="AK99" t="s">
        <v>4214</v>
      </c>
      <c r="AL99" t="s">
        <v>4215</v>
      </c>
      <c r="AM99">
        <v>8</v>
      </c>
      <c r="AN99">
        <v>2</v>
      </c>
      <c r="AO99" t="s">
        <v>3897</v>
      </c>
      <c r="AP99">
        <v>1</v>
      </c>
      <c r="AQ99">
        <v>90</v>
      </c>
      <c r="AR99">
        <v>3</v>
      </c>
      <c r="AS99" t="s">
        <v>3911</v>
      </c>
      <c r="AT99">
        <v>270</v>
      </c>
      <c r="AU99">
        <v>5</v>
      </c>
      <c r="AV99" t="s">
        <v>5931</v>
      </c>
      <c r="AW99" t="s">
        <v>6162</v>
      </c>
      <c r="AX99" t="s">
        <v>56</v>
      </c>
      <c r="AY99">
        <v>1</v>
      </c>
      <c r="AZ99" t="s">
        <v>3902</v>
      </c>
    </row>
    <row r="100" spans="1:52" x14ac:dyDescent="0.25">
      <c r="A100" t="str">
        <f>"20200128137017078043"</f>
        <v>20200128137017078043</v>
      </c>
      <c r="B100">
        <v>1</v>
      </c>
      <c r="C100">
        <v>1</v>
      </c>
      <c r="D100" t="s">
        <v>5751</v>
      </c>
      <c r="E100" t="s">
        <v>56</v>
      </c>
      <c r="F100" t="s">
        <v>1627</v>
      </c>
      <c r="G100" t="s">
        <v>56</v>
      </c>
      <c r="H100" t="s">
        <v>56</v>
      </c>
      <c r="I100" t="s">
        <v>56</v>
      </c>
      <c r="J100" t="s">
        <v>56</v>
      </c>
      <c r="K100" t="s">
        <v>56</v>
      </c>
      <c r="L100" t="s">
        <v>56</v>
      </c>
      <c r="M100" t="s">
        <v>56</v>
      </c>
      <c r="N100" t="s">
        <v>56</v>
      </c>
      <c r="O100" t="s">
        <v>56</v>
      </c>
      <c r="P100" t="s">
        <v>56</v>
      </c>
      <c r="Q100" t="s">
        <v>5928</v>
      </c>
      <c r="R100" t="s">
        <v>56</v>
      </c>
      <c r="S100" t="s">
        <v>5928</v>
      </c>
      <c r="T100" t="s">
        <v>56</v>
      </c>
      <c r="U100" t="s">
        <v>5928</v>
      </c>
      <c r="V100" t="s">
        <v>56</v>
      </c>
      <c r="W100" t="s">
        <v>5928</v>
      </c>
      <c r="X100" t="s">
        <v>56</v>
      </c>
      <c r="Y100" t="s">
        <v>5928</v>
      </c>
      <c r="Z100">
        <v>1601</v>
      </c>
      <c r="AA100" t="s">
        <v>6163</v>
      </c>
      <c r="AB100">
        <v>160125</v>
      </c>
      <c r="AC100" t="s">
        <v>6164</v>
      </c>
      <c r="AD100">
        <v>5</v>
      </c>
      <c r="AE100" t="s">
        <v>5931</v>
      </c>
      <c r="AF100">
        <v>1</v>
      </c>
      <c r="AG100" t="s">
        <v>5932</v>
      </c>
      <c r="AH100" t="s">
        <v>6165</v>
      </c>
      <c r="AI100">
        <v>2</v>
      </c>
      <c r="AJ100">
        <v>9000</v>
      </c>
      <c r="AK100" t="s">
        <v>3956</v>
      </c>
      <c r="AL100" t="s">
        <v>3956</v>
      </c>
      <c r="AM100">
        <v>8</v>
      </c>
      <c r="AN100">
        <v>2</v>
      </c>
      <c r="AO100" t="s">
        <v>3897</v>
      </c>
      <c r="AP100">
        <v>10</v>
      </c>
      <c r="AQ100">
        <v>90</v>
      </c>
      <c r="AR100">
        <v>3</v>
      </c>
      <c r="AS100" t="s">
        <v>3911</v>
      </c>
      <c r="AT100">
        <v>6</v>
      </c>
      <c r="AU100">
        <v>5</v>
      </c>
      <c r="AV100" t="s">
        <v>5931</v>
      </c>
      <c r="AW100" t="s">
        <v>6166</v>
      </c>
      <c r="AX100" t="s">
        <v>56</v>
      </c>
      <c r="AY100">
        <v>2</v>
      </c>
      <c r="AZ100" t="s">
        <v>4776</v>
      </c>
    </row>
    <row r="101" spans="1:52" x14ac:dyDescent="0.25">
      <c r="A101" t="str">
        <f>"20200128135017078564"</f>
        <v>20200128135017078564</v>
      </c>
      <c r="B101">
        <v>1</v>
      </c>
      <c r="C101">
        <v>1</v>
      </c>
      <c r="D101" t="s">
        <v>5751</v>
      </c>
      <c r="E101" t="s">
        <v>56</v>
      </c>
      <c r="F101" t="s">
        <v>1627</v>
      </c>
      <c r="G101" t="s">
        <v>56</v>
      </c>
      <c r="H101" t="s">
        <v>56</v>
      </c>
      <c r="I101" t="s">
        <v>56</v>
      </c>
      <c r="J101" t="s">
        <v>56</v>
      </c>
      <c r="K101" t="s">
        <v>56</v>
      </c>
      <c r="L101" t="s">
        <v>56</v>
      </c>
      <c r="M101" t="s">
        <v>56</v>
      </c>
      <c r="N101" t="s">
        <v>56</v>
      </c>
      <c r="O101" t="s">
        <v>56</v>
      </c>
      <c r="P101">
        <v>0</v>
      </c>
      <c r="Q101" t="s">
        <v>5989</v>
      </c>
      <c r="R101">
        <v>0</v>
      </c>
      <c r="S101" t="s">
        <v>5989</v>
      </c>
      <c r="T101">
        <v>0</v>
      </c>
      <c r="U101" t="s">
        <v>5989</v>
      </c>
      <c r="V101">
        <v>0</v>
      </c>
      <c r="W101" t="s">
        <v>5989</v>
      </c>
      <c r="X101" t="s">
        <v>56</v>
      </c>
      <c r="Y101" t="s">
        <v>5928</v>
      </c>
      <c r="Z101">
        <v>1504</v>
      </c>
      <c r="AA101" t="s">
        <v>5929</v>
      </c>
      <c r="AB101">
        <v>150413</v>
      </c>
      <c r="AC101" t="s">
        <v>5930</v>
      </c>
      <c r="AD101">
        <v>3</v>
      </c>
      <c r="AE101" t="s">
        <v>5934</v>
      </c>
      <c r="AF101">
        <v>1</v>
      </c>
      <c r="AG101" t="s">
        <v>5932</v>
      </c>
      <c r="AH101" t="s">
        <v>6167</v>
      </c>
      <c r="AI101">
        <v>2</v>
      </c>
      <c r="AJ101">
        <v>9000</v>
      </c>
      <c r="AK101" t="s">
        <v>3956</v>
      </c>
      <c r="AL101" t="s">
        <v>3956</v>
      </c>
      <c r="AM101">
        <v>12</v>
      </c>
      <c r="AN101">
        <v>2</v>
      </c>
      <c r="AO101" t="s">
        <v>3897</v>
      </c>
      <c r="AP101">
        <v>1</v>
      </c>
      <c r="AQ101">
        <v>90</v>
      </c>
      <c r="AR101">
        <v>3</v>
      </c>
      <c r="AS101" t="s">
        <v>3911</v>
      </c>
      <c r="AT101">
        <v>180</v>
      </c>
      <c r="AU101">
        <v>3</v>
      </c>
      <c r="AV101" t="s">
        <v>5934</v>
      </c>
      <c r="AW101" t="s">
        <v>6168</v>
      </c>
      <c r="AX101" t="s">
        <v>56</v>
      </c>
      <c r="AY101">
        <v>2</v>
      </c>
      <c r="AZ101" t="s">
        <v>4776</v>
      </c>
    </row>
    <row r="102" spans="1:52" x14ac:dyDescent="0.25">
      <c r="A102" t="str">
        <f>"20200128159017079830"</f>
        <v>20200128159017079830</v>
      </c>
      <c r="B102">
        <v>1</v>
      </c>
      <c r="C102">
        <v>2</v>
      </c>
      <c r="D102" t="s">
        <v>5776</v>
      </c>
      <c r="E102" t="s">
        <v>56</v>
      </c>
      <c r="F102" t="s">
        <v>1627</v>
      </c>
      <c r="G102" t="s">
        <v>56</v>
      </c>
      <c r="H102" t="s">
        <v>56</v>
      </c>
      <c r="I102" t="s">
        <v>56</v>
      </c>
      <c r="J102" t="s">
        <v>56</v>
      </c>
      <c r="K102" t="s">
        <v>56</v>
      </c>
      <c r="L102" t="s">
        <v>56</v>
      </c>
      <c r="M102" t="s">
        <v>56</v>
      </c>
      <c r="N102" t="s">
        <v>56</v>
      </c>
      <c r="O102" t="s">
        <v>56</v>
      </c>
      <c r="P102" t="s">
        <v>56</v>
      </c>
      <c r="Q102" t="s">
        <v>5928</v>
      </c>
      <c r="R102" t="s">
        <v>56</v>
      </c>
      <c r="S102" t="s">
        <v>5928</v>
      </c>
      <c r="T102" t="s">
        <v>56</v>
      </c>
      <c r="U102" t="s">
        <v>5928</v>
      </c>
      <c r="V102" t="s">
        <v>56</v>
      </c>
      <c r="W102" t="s">
        <v>5928</v>
      </c>
      <c r="X102" t="s">
        <v>56</v>
      </c>
      <c r="Y102" t="s">
        <v>5928</v>
      </c>
      <c r="Z102">
        <v>1410</v>
      </c>
      <c r="AA102" t="s">
        <v>5961</v>
      </c>
      <c r="AB102">
        <v>141001</v>
      </c>
      <c r="AC102" t="s">
        <v>5962</v>
      </c>
      <c r="AD102">
        <v>5</v>
      </c>
      <c r="AE102" t="s">
        <v>5931</v>
      </c>
      <c r="AF102">
        <v>1</v>
      </c>
      <c r="AG102" t="s">
        <v>5932</v>
      </c>
      <c r="AH102" t="s">
        <v>6169</v>
      </c>
      <c r="AI102">
        <v>90</v>
      </c>
      <c r="AJ102" t="s">
        <v>4026</v>
      </c>
      <c r="AK102" t="s">
        <v>4027</v>
      </c>
      <c r="AL102" t="s">
        <v>4028</v>
      </c>
      <c r="AM102">
        <v>1</v>
      </c>
      <c r="AN102">
        <v>2</v>
      </c>
      <c r="AO102" t="s">
        <v>3897</v>
      </c>
      <c r="AP102">
        <v>1</v>
      </c>
      <c r="AQ102">
        <v>90</v>
      </c>
      <c r="AR102">
        <v>3</v>
      </c>
      <c r="AS102" t="s">
        <v>3911</v>
      </c>
      <c r="AT102">
        <v>90</v>
      </c>
      <c r="AU102">
        <v>5</v>
      </c>
      <c r="AV102" t="s">
        <v>5931</v>
      </c>
      <c r="AW102" t="s">
        <v>6170</v>
      </c>
      <c r="AX102" t="s">
        <v>56</v>
      </c>
      <c r="AY102">
        <v>2</v>
      </c>
      <c r="AZ102" t="s">
        <v>4776</v>
      </c>
    </row>
    <row r="103" spans="1:52" x14ac:dyDescent="0.25">
      <c r="A103" t="str">
        <f>"20200128185017082634"</f>
        <v>20200128185017082634</v>
      </c>
      <c r="B103">
        <v>1</v>
      </c>
      <c r="C103">
        <v>1</v>
      </c>
      <c r="D103" t="s">
        <v>5751</v>
      </c>
      <c r="E103" t="s">
        <v>56</v>
      </c>
      <c r="F103" t="s">
        <v>1627</v>
      </c>
      <c r="G103" t="s">
        <v>56</v>
      </c>
      <c r="H103" t="s">
        <v>56</v>
      </c>
      <c r="I103" t="s">
        <v>56</v>
      </c>
      <c r="J103" t="s">
        <v>56</v>
      </c>
      <c r="K103" t="s">
        <v>56</v>
      </c>
      <c r="L103" t="s">
        <v>56</v>
      </c>
      <c r="M103" t="s">
        <v>56</v>
      </c>
      <c r="N103" t="s">
        <v>56</v>
      </c>
      <c r="O103" t="s">
        <v>56</v>
      </c>
      <c r="P103" t="s">
        <v>56</v>
      </c>
      <c r="Q103" t="s">
        <v>5928</v>
      </c>
      <c r="R103" t="s">
        <v>56</v>
      </c>
      <c r="S103" t="s">
        <v>5928</v>
      </c>
      <c r="T103" t="s">
        <v>56</v>
      </c>
      <c r="U103" t="s">
        <v>5928</v>
      </c>
      <c r="V103" t="s">
        <v>56</v>
      </c>
      <c r="W103" t="s">
        <v>5928</v>
      </c>
      <c r="X103">
        <v>1</v>
      </c>
      <c r="Y103" t="s">
        <v>5941</v>
      </c>
      <c r="Z103">
        <v>1404</v>
      </c>
      <c r="AA103" t="s">
        <v>5944</v>
      </c>
      <c r="AB103">
        <v>140402</v>
      </c>
      <c r="AC103" t="s">
        <v>5945</v>
      </c>
      <c r="AD103">
        <v>9</v>
      </c>
      <c r="AE103" t="s">
        <v>5946</v>
      </c>
      <c r="AF103">
        <v>1</v>
      </c>
      <c r="AG103" t="s">
        <v>5932</v>
      </c>
      <c r="AH103" t="s">
        <v>6171</v>
      </c>
      <c r="AI103">
        <v>138</v>
      </c>
      <c r="AJ103" t="s">
        <v>3929</v>
      </c>
      <c r="AK103" t="s">
        <v>3930</v>
      </c>
      <c r="AL103" t="s">
        <v>3931</v>
      </c>
      <c r="AM103">
        <v>24</v>
      </c>
      <c r="AN103">
        <v>2</v>
      </c>
      <c r="AO103" t="s">
        <v>3897</v>
      </c>
      <c r="AP103">
        <v>10</v>
      </c>
      <c r="AQ103">
        <v>15</v>
      </c>
      <c r="AR103">
        <v>3</v>
      </c>
      <c r="AS103" t="s">
        <v>3911</v>
      </c>
      <c r="AT103">
        <v>23</v>
      </c>
      <c r="AU103">
        <v>9</v>
      </c>
      <c r="AV103" t="s">
        <v>5946</v>
      </c>
      <c r="AW103" t="s">
        <v>6172</v>
      </c>
      <c r="AX103" t="s">
        <v>56</v>
      </c>
      <c r="AY103">
        <v>1</v>
      </c>
      <c r="AZ103" t="s">
        <v>3902</v>
      </c>
    </row>
    <row r="104" spans="1:52" x14ac:dyDescent="0.25">
      <c r="A104" t="str">
        <f>"20200128117017083462"</f>
        <v>20200128117017083462</v>
      </c>
      <c r="B104">
        <v>1</v>
      </c>
      <c r="C104">
        <v>1</v>
      </c>
      <c r="D104" t="s">
        <v>5751</v>
      </c>
      <c r="E104" t="s">
        <v>56</v>
      </c>
      <c r="F104" t="s">
        <v>1627</v>
      </c>
      <c r="G104" t="s">
        <v>56</v>
      </c>
      <c r="H104" t="s">
        <v>56</v>
      </c>
      <c r="I104" t="s">
        <v>56</v>
      </c>
      <c r="J104" t="s">
        <v>56</v>
      </c>
      <c r="K104" t="s">
        <v>56</v>
      </c>
      <c r="L104" t="s">
        <v>56</v>
      </c>
      <c r="M104" t="s">
        <v>56</v>
      </c>
      <c r="N104" t="s">
        <v>56</v>
      </c>
      <c r="O104" t="s">
        <v>56</v>
      </c>
      <c r="P104" t="s">
        <v>56</v>
      </c>
      <c r="Q104" t="s">
        <v>5928</v>
      </c>
      <c r="R104" t="s">
        <v>56</v>
      </c>
      <c r="S104" t="s">
        <v>5928</v>
      </c>
      <c r="T104" t="s">
        <v>56</v>
      </c>
      <c r="U104" t="s">
        <v>5928</v>
      </c>
      <c r="V104" t="s">
        <v>56</v>
      </c>
      <c r="W104" t="s">
        <v>5928</v>
      </c>
      <c r="X104" t="s">
        <v>56</v>
      </c>
      <c r="Y104" t="s">
        <v>5928</v>
      </c>
      <c r="Z104">
        <v>1504</v>
      </c>
      <c r="AA104" t="s">
        <v>5929</v>
      </c>
      <c r="AB104">
        <v>150413</v>
      </c>
      <c r="AC104" t="s">
        <v>5930</v>
      </c>
      <c r="AD104">
        <v>3</v>
      </c>
      <c r="AE104" t="s">
        <v>5934</v>
      </c>
      <c r="AF104">
        <v>1</v>
      </c>
      <c r="AG104" t="s">
        <v>5932</v>
      </c>
      <c r="AH104" t="s">
        <v>6173</v>
      </c>
      <c r="AI104">
        <v>237</v>
      </c>
      <c r="AJ104" t="s">
        <v>4213</v>
      </c>
      <c r="AK104" t="s">
        <v>4214</v>
      </c>
      <c r="AL104" t="s">
        <v>4215</v>
      </c>
      <c r="AM104">
        <v>12</v>
      </c>
      <c r="AN104">
        <v>2</v>
      </c>
      <c r="AO104" t="s">
        <v>3897</v>
      </c>
      <c r="AP104">
        <v>10</v>
      </c>
      <c r="AQ104">
        <v>30</v>
      </c>
      <c r="AR104">
        <v>3</v>
      </c>
      <c r="AS104" t="s">
        <v>3911</v>
      </c>
      <c r="AT104">
        <v>60</v>
      </c>
      <c r="AU104">
        <v>3</v>
      </c>
      <c r="AV104" t="s">
        <v>5934</v>
      </c>
      <c r="AW104" t="s">
        <v>6174</v>
      </c>
      <c r="AX104" t="s">
        <v>56</v>
      </c>
      <c r="AY104">
        <v>2</v>
      </c>
      <c r="AZ104" t="s">
        <v>4776</v>
      </c>
    </row>
    <row r="105" spans="1:52" x14ac:dyDescent="0.25">
      <c r="A105" t="str">
        <f>"20200128115017086172"</f>
        <v>20200128115017086172</v>
      </c>
      <c r="B105">
        <v>1</v>
      </c>
      <c r="C105">
        <v>2</v>
      </c>
      <c r="D105" t="s">
        <v>5776</v>
      </c>
      <c r="E105" t="s">
        <v>56</v>
      </c>
      <c r="F105" t="s">
        <v>1627</v>
      </c>
      <c r="G105" t="s">
        <v>56</v>
      </c>
      <c r="H105" t="s">
        <v>56</v>
      </c>
      <c r="I105" t="s">
        <v>56</v>
      </c>
      <c r="J105" t="s">
        <v>56</v>
      </c>
      <c r="K105" t="s">
        <v>56</v>
      </c>
      <c r="L105" t="s">
        <v>56</v>
      </c>
      <c r="M105" t="s">
        <v>56</v>
      </c>
      <c r="N105" t="s">
        <v>56</v>
      </c>
      <c r="O105" t="s">
        <v>56</v>
      </c>
      <c r="P105" t="s">
        <v>56</v>
      </c>
      <c r="Q105" t="s">
        <v>5928</v>
      </c>
      <c r="R105" t="s">
        <v>56</v>
      </c>
      <c r="S105" t="s">
        <v>5928</v>
      </c>
      <c r="T105" t="s">
        <v>56</v>
      </c>
      <c r="U105" t="s">
        <v>5928</v>
      </c>
      <c r="V105" t="s">
        <v>56</v>
      </c>
      <c r="W105" t="s">
        <v>5928</v>
      </c>
      <c r="X105" t="s">
        <v>56</v>
      </c>
      <c r="Y105" t="s">
        <v>5928</v>
      </c>
      <c r="Z105">
        <v>1408</v>
      </c>
      <c r="AA105" t="s">
        <v>6159</v>
      </c>
      <c r="AB105">
        <v>140807</v>
      </c>
      <c r="AC105" t="s">
        <v>6160</v>
      </c>
      <c r="AD105">
        <v>5</v>
      </c>
      <c r="AE105" t="s">
        <v>5931</v>
      </c>
      <c r="AF105">
        <v>1</v>
      </c>
      <c r="AG105" t="s">
        <v>5932</v>
      </c>
      <c r="AH105" t="s">
        <v>6175</v>
      </c>
      <c r="AI105">
        <v>1</v>
      </c>
      <c r="AJ105">
        <v>9000</v>
      </c>
      <c r="AK105" t="s">
        <v>3956</v>
      </c>
      <c r="AL105" t="s">
        <v>3956</v>
      </c>
      <c r="AM105">
        <v>12</v>
      </c>
      <c r="AN105">
        <v>2</v>
      </c>
      <c r="AO105" t="s">
        <v>3897</v>
      </c>
      <c r="AP105">
        <v>10</v>
      </c>
      <c r="AQ105">
        <v>60</v>
      </c>
      <c r="AR105">
        <v>3</v>
      </c>
      <c r="AS105" t="s">
        <v>3911</v>
      </c>
      <c r="AT105">
        <v>120</v>
      </c>
      <c r="AU105">
        <v>5</v>
      </c>
      <c r="AV105" t="s">
        <v>5931</v>
      </c>
      <c r="AW105" t="s">
        <v>6176</v>
      </c>
      <c r="AX105" t="s">
        <v>56</v>
      </c>
      <c r="AY105">
        <v>2</v>
      </c>
      <c r="AZ105" t="s">
        <v>4776</v>
      </c>
    </row>
    <row r="106" spans="1:52" x14ac:dyDescent="0.25">
      <c r="A106" t="str">
        <f>"20200128198017087705"</f>
        <v>20200128198017087705</v>
      </c>
      <c r="B106">
        <v>1</v>
      </c>
      <c r="C106">
        <v>2</v>
      </c>
      <c r="D106" t="s">
        <v>5776</v>
      </c>
      <c r="E106" t="s">
        <v>56</v>
      </c>
      <c r="F106" t="s">
        <v>1627</v>
      </c>
      <c r="G106" t="s">
        <v>56</v>
      </c>
      <c r="H106" t="s">
        <v>56</v>
      </c>
      <c r="I106" t="s">
        <v>56</v>
      </c>
      <c r="J106" t="s">
        <v>56</v>
      </c>
      <c r="K106" t="s">
        <v>56</v>
      </c>
      <c r="L106" t="s">
        <v>56</v>
      </c>
      <c r="M106" t="s">
        <v>56</v>
      </c>
      <c r="N106" t="s">
        <v>56</v>
      </c>
      <c r="O106" t="s">
        <v>56</v>
      </c>
      <c r="P106" t="s">
        <v>56</v>
      </c>
      <c r="Q106" t="s">
        <v>5928</v>
      </c>
      <c r="R106" t="s">
        <v>56</v>
      </c>
      <c r="S106" t="s">
        <v>5928</v>
      </c>
      <c r="T106" t="s">
        <v>56</v>
      </c>
      <c r="U106" t="s">
        <v>5928</v>
      </c>
      <c r="V106" t="s">
        <v>56</v>
      </c>
      <c r="W106" t="s">
        <v>5928</v>
      </c>
      <c r="X106" t="s">
        <v>56</v>
      </c>
      <c r="Y106" t="s">
        <v>5928</v>
      </c>
      <c r="Z106">
        <v>1504</v>
      </c>
      <c r="AA106" t="s">
        <v>5929</v>
      </c>
      <c r="AB106">
        <v>150413</v>
      </c>
      <c r="AC106" t="s">
        <v>5930</v>
      </c>
      <c r="AD106">
        <v>3</v>
      </c>
      <c r="AE106" t="s">
        <v>5934</v>
      </c>
      <c r="AF106">
        <v>1</v>
      </c>
      <c r="AG106" t="s">
        <v>5932</v>
      </c>
      <c r="AH106" t="s">
        <v>6177</v>
      </c>
      <c r="AI106">
        <v>237</v>
      </c>
      <c r="AJ106" t="s">
        <v>4213</v>
      </c>
      <c r="AK106" t="s">
        <v>4214</v>
      </c>
      <c r="AL106" t="s">
        <v>4215</v>
      </c>
      <c r="AM106">
        <v>12</v>
      </c>
      <c r="AN106">
        <v>2</v>
      </c>
      <c r="AO106" t="s">
        <v>3897</v>
      </c>
      <c r="AP106">
        <v>10</v>
      </c>
      <c r="AQ106">
        <v>90</v>
      </c>
      <c r="AR106">
        <v>3</v>
      </c>
      <c r="AS106" t="s">
        <v>3911</v>
      </c>
      <c r="AT106">
        <v>180</v>
      </c>
      <c r="AU106">
        <v>3</v>
      </c>
      <c r="AV106" t="s">
        <v>5934</v>
      </c>
      <c r="AW106" t="s">
        <v>6178</v>
      </c>
      <c r="AX106" t="s">
        <v>56</v>
      </c>
      <c r="AY106">
        <v>2</v>
      </c>
      <c r="AZ106" t="s">
        <v>4776</v>
      </c>
    </row>
    <row r="107" spans="1:52" x14ac:dyDescent="0.25">
      <c r="A107" t="str">
        <f>"20200128133017089738"</f>
        <v>20200128133017089738</v>
      </c>
      <c r="B107">
        <v>1</v>
      </c>
      <c r="C107">
        <v>2</v>
      </c>
      <c r="D107" t="s">
        <v>5776</v>
      </c>
      <c r="E107" t="s">
        <v>56</v>
      </c>
      <c r="F107" t="s">
        <v>1627</v>
      </c>
      <c r="G107" t="s">
        <v>56</v>
      </c>
      <c r="H107" t="s">
        <v>56</v>
      </c>
      <c r="I107" t="s">
        <v>56</v>
      </c>
      <c r="J107" t="s">
        <v>56</v>
      </c>
      <c r="K107" t="s">
        <v>56</v>
      </c>
      <c r="L107" t="s">
        <v>56</v>
      </c>
      <c r="M107" t="s">
        <v>56</v>
      </c>
      <c r="N107" t="s">
        <v>56</v>
      </c>
      <c r="O107" t="s">
        <v>56</v>
      </c>
      <c r="P107" t="s">
        <v>56</v>
      </c>
      <c r="Q107" t="s">
        <v>5928</v>
      </c>
      <c r="R107">
        <v>1</v>
      </c>
      <c r="S107" t="s">
        <v>5941</v>
      </c>
      <c r="T107" t="s">
        <v>56</v>
      </c>
      <c r="U107" t="s">
        <v>5928</v>
      </c>
      <c r="V107" t="s">
        <v>56</v>
      </c>
      <c r="W107" t="s">
        <v>5928</v>
      </c>
      <c r="X107" t="s">
        <v>56</v>
      </c>
      <c r="Y107" t="s">
        <v>5928</v>
      </c>
      <c r="Z107">
        <v>1503</v>
      </c>
      <c r="AA107" t="s">
        <v>5994</v>
      </c>
      <c r="AB107">
        <v>150314</v>
      </c>
      <c r="AC107" t="s">
        <v>6147</v>
      </c>
      <c r="AD107">
        <v>3</v>
      </c>
      <c r="AE107" t="s">
        <v>5934</v>
      </c>
      <c r="AF107">
        <v>1</v>
      </c>
      <c r="AG107" t="s">
        <v>5932</v>
      </c>
      <c r="AH107" t="s">
        <v>6179</v>
      </c>
      <c r="AI107">
        <v>1</v>
      </c>
      <c r="AJ107" t="s">
        <v>4026</v>
      </c>
      <c r="AK107" t="s">
        <v>4027</v>
      </c>
      <c r="AL107" t="s">
        <v>4028</v>
      </c>
      <c r="AM107">
        <v>24</v>
      </c>
      <c r="AN107">
        <v>2</v>
      </c>
      <c r="AO107" t="s">
        <v>3897</v>
      </c>
      <c r="AP107">
        <v>10</v>
      </c>
      <c r="AQ107">
        <v>60</v>
      </c>
      <c r="AR107">
        <v>3</v>
      </c>
      <c r="AS107" t="s">
        <v>3911</v>
      </c>
      <c r="AT107">
        <v>60</v>
      </c>
      <c r="AU107">
        <v>3</v>
      </c>
      <c r="AV107" t="s">
        <v>5934</v>
      </c>
      <c r="AW107" t="s">
        <v>6149</v>
      </c>
      <c r="AX107" t="s">
        <v>56</v>
      </c>
      <c r="AY107">
        <v>1</v>
      </c>
      <c r="AZ107" t="s">
        <v>3902</v>
      </c>
    </row>
    <row r="108" spans="1:52" x14ac:dyDescent="0.25">
      <c r="A108" t="str">
        <f>"20200128115017094018"</f>
        <v>20200128115017094018</v>
      </c>
      <c r="B108">
        <v>1</v>
      </c>
      <c r="C108">
        <v>2</v>
      </c>
      <c r="D108" t="s">
        <v>5776</v>
      </c>
      <c r="E108" t="s">
        <v>56</v>
      </c>
      <c r="F108" t="s">
        <v>1627</v>
      </c>
      <c r="G108" t="s">
        <v>56</v>
      </c>
      <c r="H108" t="s">
        <v>56</v>
      </c>
      <c r="I108" t="s">
        <v>56</v>
      </c>
      <c r="J108" t="s">
        <v>56</v>
      </c>
      <c r="K108" t="s">
        <v>56</v>
      </c>
      <c r="L108" t="s">
        <v>56</v>
      </c>
      <c r="M108" t="s">
        <v>56</v>
      </c>
      <c r="N108" t="s">
        <v>56</v>
      </c>
      <c r="O108" t="s">
        <v>56</v>
      </c>
      <c r="P108" t="s">
        <v>56</v>
      </c>
      <c r="Q108" t="s">
        <v>5928</v>
      </c>
      <c r="R108" t="s">
        <v>56</v>
      </c>
      <c r="S108" t="s">
        <v>5928</v>
      </c>
      <c r="T108" t="s">
        <v>56</v>
      </c>
      <c r="U108" t="s">
        <v>5928</v>
      </c>
      <c r="V108" t="s">
        <v>56</v>
      </c>
      <c r="W108" t="s">
        <v>5928</v>
      </c>
      <c r="X108" t="s">
        <v>56</v>
      </c>
      <c r="Y108" t="s">
        <v>5928</v>
      </c>
      <c r="Z108">
        <v>1503</v>
      </c>
      <c r="AA108" t="s">
        <v>5994</v>
      </c>
      <c r="AB108">
        <v>150313</v>
      </c>
      <c r="AC108" t="s">
        <v>6180</v>
      </c>
      <c r="AD108">
        <v>5</v>
      </c>
      <c r="AE108" t="s">
        <v>5931</v>
      </c>
      <c r="AF108">
        <v>1</v>
      </c>
      <c r="AG108" t="s">
        <v>5932</v>
      </c>
      <c r="AH108" t="s">
        <v>6181</v>
      </c>
      <c r="AI108" t="s">
        <v>6182</v>
      </c>
      <c r="AJ108" t="s">
        <v>3929</v>
      </c>
      <c r="AK108" t="s">
        <v>3930</v>
      </c>
      <c r="AL108" t="s">
        <v>3931</v>
      </c>
      <c r="AM108">
        <v>12</v>
      </c>
      <c r="AN108">
        <v>2</v>
      </c>
      <c r="AO108" t="s">
        <v>3897</v>
      </c>
      <c r="AP108">
        <v>10</v>
      </c>
      <c r="AQ108">
        <v>60</v>
      </c>
      <c r="AR108">
        <v>3</v>
      </c>
      <c r="AS108" t="s">
        <v>3911</v>
      </c>
      <c r="AT108">
        <v>16</v>
      </c>
      <c r="AU108">
        <v>5</v>
      </c>
      <c r="AV108" t="s">
        <v>5931</v>
      </c>
      <c r="AW108" t="s">
        <v>6183</v>
      </c>
      <c r="AX108" t="s">
        <v>56</v>
      </c>
      <c r="AY108">
        <v>2</v>
      </c>
      <c r="AZ108" t="s">
        <v>4776</v>
      </c>
    </row>
    <row r="109" spans="1:52" x14ac:dyDescent="0.25">
      <c r="A109" t="str">
        <f>"20200201157017183331"</f>
        <v>20200201157017183331</v>
      </c>
      <c r="B109">
        <v>1</v>
      </c>
      <c r="C109">
        <v>2</v>
      </c>
      <c r="D109" t="s">
        <v>5776</v>
      </c>
      <c r="E109" t="s">
        <v>56</v>
      </c>
      <c r="F109" t="s">
        <v>1627</v>
      </c>
      <c r="G109" t="s">
        <v>56</v>
      </c>
      <c r="H109" t="s">
        <v>56</v>
      </c>
      <c r="I109" t="s">
        <v>56</v>
      </c>
      <c r="J109" t="s">
        <v>56</v>
      </c>
      <c r="K109" t="s">
        <v>56</v>
      </c>
      <c r="L109" t="s">
        <v>56</v>
      </c>
      <c r="M109" t="s">
        <v>56</v>
      </c>
      <c r="N109" t="s">
        <v>56</v>
      </c>
      <c r="O109" t="s">
        <v>56</v>
      </c>
      <c r="P109" t="s">
        <v>56</v>
      </c>
      <c r="Q109" t="s">
        <v>5928</v>
      </c>
      <c r="R109" t="s">
        <v>56</v>
      </c>
      <c r="S109" t="s">
        <v>5928</v>
      </c>
      <c r="T109" t="s">
        <v>56</v>
      </c>
      <c r="U109" t="s">
        <v>5928</v>
      </c>
      <c r="V109" t="s">
        <v>56</v>
      </c>
      <c r="W109" t="s">
        <v>5928</v>
      </c>
      <c r="X109" t="s">
        <v>56</v>
      </c>
      <c r="Y109" t="s">
        <v>5928</v>
      </c>
      <c r="Z109">
        <v>1408</v>
      </c>
      <c r="AA109" t="s">
        <v>6159</v>
      </c>
      <c r="AB109">
        <v>140807</v>
      </c>
      <c r="AC109" t="s">
        <v>6160</v>
      </c>
      <c r="AD109">
        <v>5</v>
      </c>
      <c r="AE109" t="s">
        <v>5931</v>
      </c>
      <c r="AF109">
        <v>2</v>
      </c>
      <c r="AG109" t="s">
        <v>5963</v>
      </c>
      <c r="AH109" t="s">
        <v>6184</v>
      </c>
      <c r="AI109">
        <v>237</v>
      </c>
      <c r="AJ109" t="s">
        <v>4213</v>
      </c>
      <c r="AK109" t="s">
        <v>4214</v>
      </c>
      <c r="AL109" t="s">
        <v>4215</v>
      </c>
      <c r="AM109">
        <v>6</v>
      </c>
      <c r="AN109">
        <v>2</v>
      </c>
      <c r="AO109" t="s">
        <v>3897</v>
      </c>
      <c r="AP109">
        <v>3</v>
      </c>
      <c r="AQ109">
        <v>6</v>
      </c>
      <c r="AR109">
        <v>3</v>
      </c>
      <c r="AS109" t="s">
        <v>3911</v>
      </c>
      <c r="AT109">
        <v>24</v>
      </c>
      <c r="AU109">
        <v>5</v>
      </c>
      <c r="AV109" t="s">
        <v>5931</v>
      </c>
      <c r="AW109" t="s">
        <v>6185</v>
      </c>
      <c r="AX109" t="s">
        <v>56</v>
      </c>
      <c r="AY109">
        <v>1</v>
      </c>
      <c r="AZ109" t="s">
        <v>3902</v>
      </c>
    </row>
    <row r="110" spans="1:52" x14ac:dyDescent="0.25">
      <c r="A110" t="str">
        <f>"20200201173017184094"</f>
        <v>20200201173017184094</v>
      </c>
      <c r="B110">
        <v>1</v>
      </c>
      <c r="C110">
        <v>2</v>
      </c>
      <c r="D110" t="s">
        <v>5776</v>
      </c>
      <c r="E110" t="s">
        <v>56</v>
      </c>
      <c r="F110" t="s">
        <v>1627</v>
      </c>
      <c r="G110" t="s">
        <v>56</v>
      </c>
      <c r="H110" t="s">
        <v>56</v>
      </c>
      <c r="I110" t="s">
        <v>56</v>
      </c>
      <c r="J110" t="s">
        <v>56</v>
      </c>
      <c r="K110" t="s">
        <v>56</v>
      </c>
      <c r="L110" t="s">
        <v>56</v>
      </c>
      <c r="M110" t="s">
        <v>56</v>
      </c>
      <c r="N110" t="s">
        <v>56</v>
      </c>
      <c r="O110" t="s">
        <v>56</v>
      </c>
      <c r="P110" t="s">
        <v>56</v>
      </c>
      <c r="Q110" t="s">
        <v>5928</v>
      </c>
      <c r="R110" t="s">
        <v>56</v>
      </c>
      <c r="S110" t="s">
        <v>5928</v>
      </c>
      <c r="T110">
        <v>1</v>
      </c>
      <c r="U110" t="s">
        <v>5941</v>
      </c>
      <c r="V110" t="s">
        <v>56</v>
      </c>
      <c r="W110" t="s">
        <v>5928</v>
      </c>
      <c r="X110" t="s">
        <v>56</v>
      </c>
      <c r="Y110" t="s">
        <v>5928</v>
      </c>
      <c r="Z110">
        <v>1503</v>
      </c>
      <c r="AA110" t="s">
        <v>5994</v>
      </c>
      <c r="AB110">
        <v>150318</v>
      </c>
      <c r="AC110" t="s">
        <v>6186</v>
      </c>
      <c r="AD110">
        <v>3</v>
      </c>
      <c r="AE110" t="s">
        <v>5934</v>
      </c>
      <c r="AF110">
        <v>1</v>
      </c>
      <c r="AG110" t="s">
        <v>5932</v>
      </c>
      <c r="AH110" t="s">
        <v>6187</v>
      </c>
      <c r="AI110">
        <v>200</v>
      </c>
      <c r="AJ110" t="s">
        <v>4213</v>
      </c>
      <c r="AK110" t="s">
        <v>4214</v>
      </c>
      <c r="AL110" t="s">
        <v>4215</v>
      </c>
      <c r="AM110">
        <v>8</v>
      </c>
      <c r="AN110">
        <v>2</v>
      </c>
      <c r="AO110" t="s">
        <v>3897</v>
      </c>
      <c r="AP110">
        <v>10</v>
      </c>
      <c r="AQ110">
        <v>2</v>
      </c>
      <c r="AR110">
        <v>5</v>
      </c>
      <c r="AS110" t="s">
        <v>3899</v>
      </c>
      <c r="AT110">
        <v>180</v>
      </c>
      <c r="AU110">
        <v>3</v>
      </c>
      <c r="AV110" t="s">
        <v>5934</v>
      </c>
      <c r="AW110" t="s">
        <v>6188</v>
      </c>
      <c r="AX110" t="s">
        <v>56</v>
      </c>
      <c r="AY110">
        <v>1</v>
      </c>
      <c r="AZ110" t="s">
        <v>3902</v>
      </c>
    </row>
    <row r="111" spans="1:52" x14ac:dyDescent="0.25">
      <c r="A111" t="str">
        <f>"20200128100017094445"</f>
        <v>20200128100017094445</v>
      </c>
      <c r="B111">
        <v>1</v>
      </c>
      <c r="C111">
        <v>2</v>
      </c>
      <c r="D111" t="s">
        <v>5776</v>
      </c>
      <c r="E111" t="s">
        <v>56</v>
      </c>
      <c r="F111" t="s">
        <v>1627</v>
      </c>
      <c r="G111" t="s">
        <v>56</v>
      </c>
      <c r="H111" t="s">
        <v>56</v>
      </c>
      <c r="I111" t="s">
        <v>56</v>
      </c>
      <c r="J111" t="s">
        <v>56</v>
      </c>
      <c r="K111" t="s">
        <v>56</v>
      </c>
      <c r="L111" t="s">
        <v>56</v>
      </c>
      <c r="M111" t="s">
        <v>56</v>
      </c>
      <c r="N111" t="s">
        <v>56</v>
      </c>
      <c r="O111" t="s">
        <v>56</v>
      </c>
      <c r="P111" t="s">
        <v>56</v>
      </c>
      <c r="Q111" t="s">
        <v>5928</v>
      </c>
      <c r="R111" t="s">
        <v>56</v>
      </c>
      <c r="S111" t="s">
        <v>5928</v>
      </c>
      <c r="T111" t="s">
        <v>56</v>
      </c>
      <c r="U111" t="s">
        <v>5928</v>
      </c>
      <c r="V111" t="s">
        <v>56</v>
      </c>
      <c r="W111" t="s">
        <v>5928</v>
      </c>
      <c r="X111" t="s">
        <v>56</v>
      </c>
      <c r="Y111" t="s">
        <v>5928</v>
      </c>
      <c r="Z111">
        <v>1701</v>
      </c>
      <c r="AA111" t="s">
        <v>5966</v>
      </c>
      <c r="AB111">
        <v>170147</v>
      </c>
      <c r="AC111" t="s">
        <v>6017</v>
      </c>
      <c r="AD111">
        <v>3</v>
      </c>
      <c r="AE111" t="s">
        <v>5934</v>
      </c>
      <c r="AF111">
        <v>1</v>
      </c>
      <c r="AG111" t="s">
        <v>5932</v>
      </c>
      <c r="AH111" t="s">
        <v>6189</v>
      </c>
      <c r="AI111">
        <v>1</v>
      </c>
      <c r="AJ111">
        <v>9000</v>
      </c>
      <c r="AK111" t="s">
        <v>3956</v>
      </c>
      <c r="AL111" t="s">
        <v>3956</v>
      </c>
      <c r="AM111">
        <v>24</v>
      </c>
      <c r="AN111">
        <v>2</v>
      </c>
      <c r="AO111" t="s">
        <v>3897</v>
      </c>
      <c r="AP111">
        <v>10</v>
      </c>
      <c r="AQ111">
        <v>90</v>
      </c>
      <c r="AR111">
        <v>3</v>
      </c>
      <c r="AS111" t="s">
        <v>3911</v>
      </c>
      <c r="AT111">
        <v>90</v>
      </c>
      <c r="AU111">
        <v>3</v>
      </c>
      <c r="AV111" t="s">
        <v>5934</v>
      </c>
      <c r="AW111" t="s">
        <v>6190</v>
      </c>
      <c r="AX111" t="s">
        <v>56</v>
      </c>
      <c r="AY111">
        <v>2</v>
      </c>
      <c r="AZ111" t="s">
        <v>4776</v>
      </c>
    </row>
    <row r="112" spans="1:52" x14ac:dyDescent="0.25">
      <c r="A112" t="str">
        <f>"20200130140017152892"</f>
        <v>20200130140017152892</v>
      </c>
      <c r="B112">
        <v>1</v>
      </c>
      <c r="C112">
        <v>2</v>
      </c>
      <c r="D112" t="s">
        <v>5776</v>
      </c>
      <c r="E112" t="s">
        <v>56</v>
      </c>
      <c r="F112" t="s">
        <v>1627</v>
      </c>
      <c r="G112" t="s">
        <v>56</v>
      </c>
      <c r="H112" t="s">
        <v>56</v>
      </c>
      <c r="I112" t="s">
        <v>56</v>
      </c>
      <c r="J112" t="s">
        <v>56</v>
      </c>
      <c r="K112" t="s">
        <v>56</v>
      </c>
      <c r="L112" t="s">
        <v>56</v>
      </c>
      <c r="M112" t="s">
        <v>56</v>
      </c>
      <c r="N112" t="s">
        <v>56</v>
      </c>
      <c r="O112" t="s">
        <v>56</v>
      </c>
      <c r="P112" t="s">
        <v>56</v>
      </c>
      <c r="Q112" t="s">
        <v>5928</v>
      </c>
      <c r="R112" t="s">
        <v>56</v>
      </c>
      <c r="S112" t="s">
        <v>5928</v>
      </c>
      <c r="T112" t="s">
        <v>56</v>
      </c>
      <c r="U112" t="s">
        <v>5928</v>
      </c>
      <c r="V112" t="s">
        <v>56</v>
      </c>
      <c r="W112" t="s">
        <v>5928</v>
      </c>
      <c r="X112" t="s">
        <v>56</v>
      </c>
      <c r="Y112" t="s">
        <v>5928</v>
      </c>
      <c r="Z112">
        <v>1102</v>
      </c>
      <c r="AA112" t="s">
        <v>5936</v>
      </c>
      <c r="AB112">
        <v>110202</v>
      </c>
      <c r="AC112" t="s">
        <v>5937</v>
      </c>
      <c r="AD112">
        <v>3</v>
      </c>
      <c r="AE112" t="s">
        <v>5934</v>
      </c>
      <c r="AF112">
        <v>1</v>
      </c>
      <c r="AG112" t="s">
        <v>5932</v>
      </c>
      <c r="AH112" t="s">
        <v>6191</v>
      </c>
      <c r="AI112">
        <v>237</v>
      </c>
      <c r="AJ112" t="s">
        <v>4213</v>
      </c>
      <c r="AK112" t="s">
        <v>4214</v>
      </c>
      <c r="AL112" t="s">
        <v>4215</v>
      </c>
      <c r="AM112">
        <v>12</v>
      </c>
      <c r="AN112">
        <v>2</v>
      </c>
      <c r="AO112" t="s">
        <v>3897</v>
      </c>
      <c r="AP112">
        <v>10</v>
      </c>
      <c r="AQ112">
        <v>6</v>
      </c>
      <c r="AR112">
        <v>5</v>
      </c>
      <c r="AS112" t="s">
        <v>3899</v>
      </c>
      <c r="AT112">
        <v>360</v>
      </c>
      <c r="AU112">
        <v>3</v>
      </c>
      <c r="AV112" t="s">
        <v>5934</v>
      </c>
      <c r="AW112" t="s">
        <v>6192</v>
      </c>
      <c r="AX112" t="s">
        <v>56</v>
      </c>
      <c r="AY112">
        <v>2</v>
      </c>
      <c r="AZ112" t="s">
        <v>4776</v>
      </c>
    </row>
    <row r="113" spans="1:52" x14ac:dyDescent="0.25">
      <c r="A113" t="str">
        <f>"20200201113017184902"</f>
        <v>20200201113017184902</v>
      </c>
      <c r="B113">
        <v>1</v>
      </c>
      <c r="C113">
        <v>2</v>
      </c>
      <c r="D113" t="s">
        <v>5776</v>
      </c>
      <c r="E113" t="s">
        <v>56</v>
      </c>
      <c r="F113" t="s">
        <v>1627</v>
      </c>
      <c r="G113" t="s">
        <v>56</v>
      </c>
      <c r="H113" t="s">
        <v>56</v>
      </c>
      <c r="I113" t="s">
        <v>56</v>
      </c>
      <c r="J113" t="s">
        <v>56</v>
      </c>
      <c r="K113" t="s">
        <v>56</v>
      </c>
      <c r="L113" t="s">
        <v>56</v>
      </c>
      <c r="M113" t="s">
        <v>56</v>
      </c>
      <c r="N113" t="s">
        <v>56</v>
      </c>
      <c r="O113" t="s">
        <v>56</v>
      </c>
      <c r="P113" t="s">
        <v>56</v>
      </c>
      <c r="Q113" t="s">
        <v>5928</v>
      </c>
      <c r="R113">
        <v>1</v>
      </c>
      <c r="S113" t="s">
        <v>5941</v>
      </c>
      <c r="T113" t="s">
        <v>56</v>
      </c>
      <c r="U113" t="s">
        <v>5928</v>
      </c>
      <c r="V113" t="s">
        <v>56</v>
      </c>
      <c r="W113" t="s">
        <v>5928</v>
      </c>
      <c r="X113" t="s">
        <v>56</v>
      </c>
      <c r="Y113" t="s">
        <v>5928</v>
      </c>
      <c r="Z113">
        <v>1503</v>
      </c>
      <c r="AA113" t="s">
        <v>5994</v>
      </c>
      <c r="AB113">
        <v>150305</v>
      </c>
      <c r="AC113" t="s">
        <v>6193</v>
      </c>
      <c r="AD113">
        <v>3</v>
      </c>
      <c r="AE113" t="s">
        <v>5934</v>
      </c>
      <c r="AF113">
        <v>1</v>
      </c>
      <c r="AG113" t="s">
        <v>5932</v>
      </c>
      <c r="AH113" t="s">
        <v>6194</v>
      </c>
      <c r="AI113">
        <v>1</v>
      </c>
      <c r="AJ113" t="s">
        <v>4026</v>
      </c>
      <c r="AK113" t="s">
        <v>4027</v>
      </c>
      <c r="AL113" t="s">
        <v>4028</v>
      </c>
      <c r="AM113">
        <v>12</v>
      </c>
      <c r="AN113">
        <v>2</v>
      </c>
      <c r="AO113" t="s">
        <v>3897</v>
      </c>
      <c r="AP113">
        <v>10</v>
      </c>
      <c r="AQ113">
        <v>60</v>
      </c>
      <c r="AR113">
        <v>3</v>
      </c>
      <c r="AS113" t="s">
        <v>3911</v>
      </c>
      <c r="AT113">
        <v>120</v>
      </c>
      <c r="AU113">
        <v>3</v>
      </c>
      <c r="AV113" t="s">
        <v>5934</v>
      </c>
      <c r="AW113" t="s">
        <v>6195</v>
      </c>
      <c r="AX113" t="s">
        <v>56</v>
      </c>
      <c r="AY113">
        <v>1</v>
      </c>
      <c r="AZ113" t="s">
        <v>3902</v>
      </c>
    </row>
    <row r="114" spans="1:52" x14ac:dyDescent="0.25">
      <c r="A114" t="str">
        <f>"20200201143017187668"</f>
        <v>20200201143017187668</v>
      </c>
      <c r="B114">
        <v>1</v>
      </c>
      <c r="C114">
        <v>1</v>
      </c>
      <c r="D114" t="s">
        <v>5751</v>
      </c>
      <c r="E114" t="s">
        <v>56</v>
      </c>
      <c r="F114" t="s">
        <v>1627</v>
      </c>
      <c r="G114" t="s">
        <v>56</v>
      </c>
      <c r="H114" t="s">
        <v>56</v>
      </c>
      <c r="I114" t="s">
        <v>56</v>
      </c>
      <c r="J114" t="s">
        <v>56</v>
      </c>
      <c r="K114" t="s">
        <v>56</v>
      </c>
      <c r="L114" t="s">
        <v>56</v>
      </c>
      <c r="M114" t="s">
        <v>56</v>
      </c>
      <c r="N114" t="s">
        <v>56</v>
      </c>
      <c r="O114" t="s">
        <v>56</v>
      </c>
      <c r="P114" t="s">
        <v>56</v>
      </c>
      <c r="Q114" t="s">
        <v>5928</v>
      </c>
      <c r="R114" t="s">
        <v>56</v>
      </c>
      <c r="S114" t="s">
        <v>5928</v>
      </c>
      <c r="T114" t="s">
        <v>56</v>
      </c>
      <c r="U114" t="s">
        <v>5928</v>
      </c>
      <c r="V114" t="s">
        <v>56</v>
      </c>
      <c r="W114" t="s">
        <v>5928</v>
      </c>
      <c r="X114" t="s">
        <v>56</v>
      </c>
      <c r="Y114" t="s">
        <v>5928</v>
      </c>
      <c r="Z114">
        <v>1504</v>
      </c>
      <c r="AA114" t="s">
        <v>5929</v>
      </c>
      <c r="AB114">
        <v>150416</v>
      </c>
      <c r="AC114" t="s">
        <v>5953</v>
      </c>
      <c r="AD114">
        <v>5</v>
      </c>
      <c r="AE114" t="s">
        <v>5931</v>
      </c>
      <c r="AF114">
        <v>1</v>
      </c>
      <c r="AG114" t="s">
        <v>5932</v>
      </c>
      <c r="AH114" t="s">
        <v>6196</v>
      </c>
      <c r="AI114">
        <v>30</v>
      </c>
      <c r="AJ114" t="s">
        <v>3929</v>
      </c>
      <c r="AK114" t="s">
        <v>3930</v>
      </c>
      <c r="AL114" t="s">
        <v>3931</v>
      </c>
      <c r="AM114">
        <v>8</v>
      </c>
      <c r="AN114">
        <v>2</v>
      </c>
      <c r="AO114" t="s">
        <v>3897</v>
      </c>
      <c r="AP114">
        <v>10</v>
      </c>
      <c r="AQ114">
        <v>3</v>
      </c>
      <c r="AR114">
        <v>5</v>
      </c>
      <c r="AS114" t="s">
        <v>3899</v>
      </c>
      <c r="AT114">
        <v>9</v>
      </c>
      <c r="AU114">
        <v>5</v>
      </c>
      <c r="AV114" t="s">
        <v>5931</v>
      </c>
      <c r="AW114" t="s">
        <v>6197</v>
      </c>
      <c r="AX114" t="s">
        <v>56</v>
      </c>
      <c r="AY114">
        <v>2</v>
      </c>
      <c r="AZ114" t="s">
        <v>4776</v>
      </c>
    </row>
    <row r="115" spans="1:52" x14ac:dyDescent="0.25">
      <c r="A115" t="str">
        <f>"20200202193017191638"</f>
        <v>20200202193017191638</v>
      </c>
      <c r="B115">
        <v>1</v>
      </c>
      <c r="C115">
        <v>2</v>
      </c>
      <c r="D115" t="s">
        <v>5776</v>
      </c>
      <c r="E115" t="s">
        <v>56</v>
      </c>
      <c r="F115" t="s">
        <v>1627</v>
      </c>
      <c r="G115" t="s">
        <v>56</v>
      </c>
      <c r="H115" t="s">
        <v>56</v>
      </c>
      <c r="I115" t="s">
        <v>56</v>
      </c>
      <c r="J115" t="s">
        <v>56</v>
      </c>
      <c r="K115" t="s">
        <v>56</v>
      </c>
      <c r="L115" t="s">
        <v>56</v>
      </c>
      <c r="M115" t="s">
        <v>56</v>
      </c>
      <c r="N115" t="s">
        <v>56</v>
      </c>
      <c r="O115" t="s">
        <v>56</v>
      </c>
      <c r="P115" t="s">
        <v>56</v>
      </c>
      <c r="Q115" t="s">
        <v>5928</v>
      </c>
      <c r="R115" t="s">
        <v>56</v>
      </c>
      <c r="S115" t="s">
        <v>5928</v>
      </c>
      <c r="T115" t="s">
        <v>56</v>
      </c>
      <c r="U115" t="s">
        <v>5928</v>
      </c>
      <c r="V115" t="s">
        <v>56</v>
      </c>
      <c r="W115" t="s">
        <v>5928</v>
      </c>
      <c r="X115" t="s">
        <v>56</v>
      </c>
      <c r="Y115" t="s">
        <v>5928</v>
      </c>
      <c r="Z115">
        <v>1410</v>
      </c>
      <c r="AA115" t="s">
        <v>5961</v>
      </c>
      <c r="AB115">
        <v>141001</v>
      </c>
      <c r="AC115" t="s">
        <v>5962</v>
      </c>
      <c r="AD115">
        <v>5</v>
      </c>
      <c r="AE115" t="s">
        <v>5931</v>
      </c>
      <c r="AF115">
        <v>1</v>
      </c>
      <c r="AG115" t="s">
        <v>5932</v>
      </c>
      <c r="AH115" t="s">
        <v>6198</v>
      </c>
      <c r="AI115">
        <v>237</v>
      </c>
      <c r="AJ115" t="s">
        <v>4213</v>
      </c>
      <c r="AK115" t="s">
        <v>4214</v>
      </c>
      <c r="AL115" t="s">
        <v>4215</v>
      </c>
      <c r="AM115">
        <v>6</v>
      </c>
      <c r="AN115">
        <v>2</v>
      </c>
      <c r="AO115" t="s">
        <v>3897</v>
      </c>
      <c r="AP115">
        <v>10</v>
      </c>
      <c r="AQ115">
        <v>30</v>
      </c>
      <c r="AR115">
        <v>3</v>
      </c>
      <c r="AS115" t="s">
        <v>3911</v>
      </c>
      <c r="AT115">
        <v>120</v>
      </c>
      <c r="AU115">
        <v>5</v>
      </c>
      <c r="AV115" t="s">
        <v>5931</v>
      </c>
      <c r="AW115" t="s">
        <v>6199</v>
      </c>
      <c r="AX115" t="s">
        <v>56</v>
      </c>
      <c r="AY115">
        <v>1</v>
      </c>
      <c r="AZ115" t="s">
        <v>3902</v>
      </c>
    </row>
    <row r="116" spans="1:52" x14ac:dyDescent="0.25">
      <c r="A116" t="str">
        <f>"20200202183017191862"</f>
        <v>20200202183017191862</v>
      </c>
      <c r="B116">
        <v>1</v>
      </c>
      <c r="C116">
        <v>2</v>
      </c>
      <c r="D116" t="s">
        <v>5776</v>
      </c>
      <c r="E116" t="s">
        <v>56</v>
      </c>
      <c r="F116" t="s">
        <v>1627</v>
      </c>
      <c r="G116" t="s">
        <v>56</v>
      </c>
      <c r="H116" t="s">
        <v>56</v>
      </c>
      <c r="I116" t="s">
        <v>56</v>
      </c>
      <c r="J116" t="s">
        <v>56</v>
      </c>
      <c r="K116" t="s">
        <v>56</v>
      </c>
      <c r="L116" t="s">
        <v>56</v>
      </c>
      <c r="M116" t="s">
        <v>56</v>
      </c>
      <c r="N116" t="s">
        <v>56</v>
      </c>
      <c r="O116" t="s">
        <v>56</v>
      </c>
      <c r="P116" t="s">
        <v>56</v>
      </c>
      <c r="Q116" t="s">
        <v>5928</v>
      </c>
      <c r="R116" t="s">
        <v>56</v>
      </c>
      <c r="S116" t="s">
        <v>5928</v>
      </c>
      <c r="T116" t="s">
        <v>56</v>
      </c>
      <c r="U116" t="s">
        <v>5928</v>
      </c>
      <c r="V116" t="s">
        <v>56</v>
      </c>
      <c r="W116" t="s">
        <v>5928</v>
      </c>
      <c r="X116" t="s">
        <v>56</v>
      </c>
      <c r="Y116" t="s">
        <v>5928</v>
      </c>
      <c r="Z116">
        <v>1501</v>
      </c>
      <c r="AA116" t="s">
        <v>5949</v>
      </c>
      <c r="AB116">
        <v>150101</v>
      </c>
      <c r="AC116" t="s">
        <v>5950</v>
      </c>
      <c r="AD116">
        <v>3</v>
      </c>
      <c r="AE116" t="s">
        <v>5934</v>
      </c>
      <c r="AF116">
        <v>1</v>
      </c>
      <c r="AG116" t="s">
        <v>5932</v>
      </c>
      <c r="AH116" t="s">
        <v>6200</v>
      </c>
      <c r="AI116">
        <v>220</v>
      </c>
      <c r="AJ116" t="s">
        <v>4213</v>
      </c>
      <c r="AK116" t="s">
        <v>4214</v>
      </c>
      <c r="AL116" t="s">
        <v>4215</v>
      </c>
      <c r="AM116">
        <v>8</v>
      </c>
      <c r="AN116">
        <v>2</v>
      </c>
      <c r="AO116" t="s">
        <v>3897</v>
      </c>
      <c r="AP116">
        <v>10</v>
      </c>
      <c r="AQ116">
        <v>30</v>
      </c>
      <c r="AR116">
        <v>3</v>
      </c>
      <c r="AS116" t="s">
        <v>3911</v>
      </c>
      <c r="AT116">
        <v>90</v>
      </c>
      <c r="AU116">
        <v>3</v>
      </c>
      <c r="AV116" t="s">
        <v>5934</v>
      </c>
      <c r="AW116" t="s">
        <v>6199</v>
      </c>
      <c r="AX116" t="s">
        <v>56</v>
      </c>
      <c r="AY116">
        <v>1</v>
      </c>
      <c r="AZ116" t="s">
        <v>3902</v>
      </c>
    </row>
    <row r="117" spans="1:52" x14ac:dyDescent="0.25">
      <c r="A117" t="str">
        <f>"20200202198017192339"</f>
        <v>20200202198017192339</v>
      </c>
      <c r="B117">
        <v>1</v>
      </c>
      <c r="C117">
        <v>2</v>
      </c>
      <c r="D117" t="s">
        <v>5776</v>
      </c>
      <c r="E117" t="s">
        <v>56</v>
      </c>
      <c r="F117" t="s">
        <v>1627</v>
      </c>
      <c r="G117" t="s">
        <v>56</v>
      </c>
      <c r="H117" t="s">
        <v>56</v>
      </c>
      <c r="I117" t="s">
        <v>56</v>
      </c>
      <c r="J117" t="s">
        <v>56</v>
      </c>
      <c r="K117" t="s">
        <v>56</v>
      </c>
      <c r="L117" t="s">
        <v>56</v>
      </c>
      <c r="M117" t="s">
        <v>56</v>
      </c>
      <c r="N117" t="s">
        <v>56</v>
      </c>
      <c r="O117" t="s">
        <v>56</v>
      </c>
      <c r="P117" t="s">
        <v>56</v>
      </c>
      <c r="Q117" t="s">
        <v>5928</v>
      </c>
      <c r="R117" t="s">
        <v>56</v>
      </c>
      <c r="S117" t="s">
        <v>5928</v>
      </c>
      <c r="T117" t="s">
        <v>56</v>
      </c>
      <c r="U117" t="s">
        <v>5928</v>
      </c>
      <c r="V117" t="s">
        <v>56</v>
      </c>
      <c r="W117" t="s">
        <v>5928</v>
      </c>
      <c r="X117" t="s">
        <v>56</v>
      </c>
      <c r="Y117" t="s">
        <v>5928</v>
      </c>
      <c r="Z117">
        <v>1410</v>
      </c>
      <c r="AA117" t="s">
        <v>5961</v>
      </c>
      <c r="AB117">
        <v>141001</v>
      </c>
      <c r="AC117" t="s">
        <v>5962</v>
      </c>
      <c r="AD117">
        <v>5</v>
      </c>
      <c r="AE117" t="s">
        <v>5931</v>
      </c>
      <c r="AF117">
        <v>1</v>
      </c>
      <c r="AG117" t="s">
        <v>5932</v>
      </c>
      <c r="AH117" t="s">
        <v>6201</v>
      </c>
      <c r="AI117">
        <v>1</v>
      </c>
      <c r="AJ117" t="s">
        <v>4026</v>
      </c>
      <c r="AK117" t="s">
        <v>4027</v>
      </c>
      <c r="AL117" t="s">
        <v>4028</v>
      </c>
      <c r="AM117">
        <v>6</v>
      </c>
      <c r="AN117">
        <v>2</v>
      </c>
      <c r="AO117" t="s">
        <v>3897</v>
      </c>
      <c r="AP117">
        <v>10</v>
      </c>
      <c r="AQ117">
        <v>30</v>
      </c>
      <c r="AR117">
        <v>3</v>
      </c>
      <c r="AS117" t="s">
        <v>3911</v>
      </c>
      <c r="AT117">
        <v>120</v>
      </c>
      <c r="AU117">
        <v>5</v>
      </c>
      <c r="AV117" t="s">
        <v>5931</v>
      </c>
      <c r="AW117" t="s">
        <v>6199</v>
      </c>
      <c r="AX117" t="s">
        <v>56</v>
      </c>
      <c r="AY117">
        <v>1</v>
      </c>
      <c r="AZ117" t="s">
        <v>3902</v>
      </c>
    </row>
    <row r="118" spans="1:52" x14ac:dyDescent="0.25">
      <c r="A118" t="str">
        <f>"20200202181017192356"</f>
        <v>20200202181017192356</v>
      </c>
      <c r="B118">
        <v>1</v>
      </c>
      <c r="C118">
        <v>2</v>
      </c>
      <c r="D118" t="s">
        <v>5776</v>
      </c>
      <c r="E118" t="s">
        <v>56</v>
      </c>
      <c r="F118" t="s">
        <v>1627</v>
      </c>
      <c r="G118" t="s">
        <v>56</v>
      </c>
      <c r="H118" t="s">
        <v>56</v>
      </c>
      <c r="I118" t="s">
        <v>56</v>
      </c>
      <c r="J118" t="s">
        <v>56</v>
      </c>
      <c r="K118" t="s">
        <v>56</v>
      </c>
      <c r="L118" t="s">
        <v>56</v>
      </c>
      <c r="M118" t="s">
        <v>56</v>
      </c>
      <c r="N118" t="s">
        <v>56</v>
      </c>
      <c r="O118" t="s">
        <v>56</v>
      </c>
      <c r="P118" t="s">
        <v>56</v>
      </c>
      <c r="Q118" t="s">
        <v>5928</v>
      </c>
      <c r="R118" t="s">
        <v>56</v>
      </c>
      <c r="S118" t="s">
        <v>5928</v>
      </c>
      <c r="T118" t="s">
        <v>56</v>
      </c>
      <c r="U118" t="s">
        <v>5928</v>
      </c>
      <c r="V118" t="s">
        <v>56</v>
      </c>
      <c r="W118" t="s">
        <v>5928</v>
      </c>
      <c r="X118" t="s">
        <v>56</v>
      </c>
      <c r="Y118" t="s">
        <v>5928</v>
      </c>
      <c r="Z118">
        <v>1501</v>
      </c>
      <c r="AA118" t="s">
        <v>5949</v>
      </c>
      <c r="AB118">
        <v>150101</v>
      </c>
      <c r="AC118" t="s">
        <v>5950</v>
      </c>
      <c r="AD118">
        <v>3</v>
      </c>
      <c r="AE118" t="s">
        <v>5934</v>
      </c>
      <c r="AF118">
        <v>1</v>
      </c>
      <c r="AG118" t="s">
        <v>5932</v>
      </c>
      <c r="AH118" t="s">
        <v>6200</v>
      </c>
      <c r="AI118">
        <v>1</v>
      </c>
      <c r="AJ118" t="s">
        <v>4026</v>
      </c>
      <c r="AK118" t="s">
        <v>4027</v>
      </c>
      <c r="AL118" t="s">
        <v>4028</v>
      </c>
      <c r="AM118">
        <v>8</v>
      </c>
      <c r="AN118">
        <v>2</v>
      </c>
      <c r="AO118" t="s">
        <v>3897</v>
      </c>
      <c r="AP118">
        <v>10</v>
      </c>
      <c r="AQ118">
        <v>30</v>
      </c>
      <c r="AR118">
        <v>3</v>
      </c>
      <c r="AS118" t="s">
        <v>3911</v>
      </c>
      <c r="AT118">
        <v>90</v>
      </c>
      <c r="AU118">
        <v>3</v>
      </c>
      <c r="AV118" t="s">
        <v>5934</v>
      </c>
      <c r="AW118" t="s">
        <v>6199</v>
      </c>
      <c r="AX118" t="s">
        <v>56</v>
      </c>
      <c r="AY118">
        <v>1</v>
      </c>
      <c r="AZ118" t="s">
        <v>3902</v>
      </c>
    </row>
    <row r="119" spans="1:52" x14ac:dyDescent="0.25">
      <c r="A119" t="str">
        <f>"20200131157017157758"</f>
        <v>20200131157017157758</v>
      </c>
      <c r="B119">
        <v>1</v>
      </c>
      <c r="C119">
        <v>2</v>
      </c>
      <c r="D119" t="s">
        <v>5776</v>
      </c>
      <c r="E119" t="s">
        <v>56</v>
      </c>
      <c r="F119" t="s">
        <v>1627</v>
      </c>
      <c r="G119" t="s">
        <v>56</v>
      </c>
      <c r="H119" t="s">
        <v>56</v>
      </c>
      <c r="I119" t="s">
        <v>56</v>
      </c>
      <c r="J119" t="s">
        <v>56</v>
      </c>
      <c r="K119" t="s">
        <v>56</v>
      </c>
      <c r="L119" t="s">
        <v>56</v>
      </c>
      <c r="M119" t="s">
        <v>56</v>
      </c>
      <c r="N119" t="s">
        <v>56</v>
      </c>
      <c r="O119" t="s">
        <v>56</v>
      </c>
      <c r="P119" t="s">
        <v>56</v>
      </c>
      <c r="Q119" t="s">
        <v>5928</v>
      </c>
      <c r="R119" t="s">
        <v>56</v>
      </c>
      <c r="S119" t="s">
        <v>5928</v>
      </c>
      <c r="T119" t="s">
        <v>56</v>
      </c>
      <c r="U119" t="s">
        <v>5928</v>
      </c>
      <c r="V119" t="s">
        <v>56</v>
      </c>
      <c r="W119" t="s">
        <v>5928</v>
      </c>
      <c r="X119" t="s">
        <v>56</v>
      </c>
      <c r="Y119" t="s">
        <v>5928</v>
      </c>
      <c r="Z119">
        <v>1503</v>
      </c>
      <c r="AA119" t="s">
        <v>5994</v>
      </c>
      <c r="AB119">
        <v>150301</v>
      </c>
      <c r="AC119" t="s">
        <v>5995</v>
      </c>
      <c r="AD119">
        <v>3</v>
      </c>
      <c r="AE119" t="s">
        <v>5934</v>
      </c>
      <c r="AF119">
        <v>1</v>
      </c>
      <c r="AG119" t="s">
        <v>5932</v>
      </c>
      <c r="AH119" t="s">
        <v>6202</v>
      </c>
      <c r="AI119">
        <v>237</v>
      </c>
      <c r="AJ119" t="s">
        <v>4213</v>
      </c>
      <c r="AK119" t="s">
        <v>4214</v>
      </c>
      <c r="AL119" t="s">
        <v>4215</v>
      </c>
      <c r="AM119">
        <v>12</v>
      </c>
      <c r="AN119">
        <v>2</v>
      </c>
      <c r="AO119" t="s">
        <v>3897</v>
      </c>
      <c r="AP119">
        <v>10</v>
      </c>
      <c r="AQ119">
        <v>5</v>
      </c>
      <c r="AR119">
        <v>3</v>
      </c>
      <c r="AS119" t="s">
        <v>3911</v>
      </c>
      <c r="AT119">
        <v>10</v>
      </c>
      <c r="AU119">
        <v>3</v>
      </c>
      <c r="AV119" t="s">
        <v>5934</v>
      </c>
      <c r="AW119" t="s">
        <v>6203</v>
      </c>
      <c r="AX119" t="s">
        <v>56</v>
      </c>
      <c r="AY119">
        <v>1</v>
      </c>
      <c r="AZ119" t="s">
        <v>3902</v>
      </c>
    </row>
    <row r="120" spans="1:52" x14ac:dyDescent="0.25">
      <c r="A120" t="str">
        <f>"20200131156017158155"</f>
        <v>20200131156017158155</v>
      </c>
      <c r="B120">
        <v>1</v>
      </c>
      <c r="C120">
        <v>2</v>
      </c>
      <c r="D120" t="s">
        <v>5776</v>
      </c>
      <c r="E120" t="s">
        <v>56</v>
      </c>
      <c r="F120" t="s">
        <v>1627</v>
      </c>
      <c r="G120" t="s">
        <v>56</v>
      </c>
      <c r="H120" t="s">
        <v>56</v>
      </c>
      <c r="I120" t="s">
        <v>56</v>
      </c>
      <c r="J120" t="s">
        <v>56</v>
      </c>
      <c r="K120" t="s">
        <v>56</v>
      </c>
      <c r="L120" t="s">
        <v>56</v>
      </c>
      <c r="M120" t="s">
        <v>56</v>
      </c>
      <c r="N120" t="s">
        <v>56</v>
      </c>
      <c r="O120" t="s">
        <v>56</v>
      </c>
      <c r="P120" t="s">
        <v>56</v>
      </c>
      <c r="Q120" t="s">
        <v>5928</v>
      </c>
      <c r="R120" t="s">
        <v>56</v>
      </c>
      <c r="S120" t="s">
        <v>5928</v>
      </c>
      <c r="T120" t="s">
        <v>56</v>
      </c>
      <c r="U120" t="s">
        <v>5928</v>
      </c>
      <c r="V120" t="s">
        <v>56</v>
      </c>
      <c r="W120" t="s">
        <v>5928</v>
      </c>
      <c r="X120" t="s">
        <v>56</v>
      </c>
      <c r="Y120" t="s">
        <v>5928</v>
      </c>
      <c r="Z120">
        <v>1102</v>
      </c>
      <c r="AA120" t="s">
        <v>5936</v>
      </c>
      <c r="AB120">
        <v>110202</v>
      </c>
      <c r="AC120" t="s">
        <v>5937</v>
      </c>
      <c r="AD120">
        <v>3</v>
      </c>
      <c r="AE120" t="s">
        <v>5934</v>
      </c>
      <c r="AF120">
        <v>2</v>
      </c>
      <c r="AG120" t="s">
        <v>5963</v>
      </c>
      <c r="AH120" t="s">
        <v>6204</v>
      </c>
      <c r="AI120">
        <v>5</v>
      </c>
      <c r="AJ120">
        <v>9000</v>
      </c>
      <c r="AK120" t="s">
        <v>3956</v>
      </c>
      <c r="AL120" t="s">
        <v>3956</v>
      </c>
      <c r="AM120">
        <v>24</v>
      </c>
      <c r="AN120">
        <v>2</v>
      </c>
      <c r="AO120" t="s">
        <v>3897</v>
      </c>
      <c r="AP120">
        <v>10</v>
      </c>
      <c r="AQ120">
        <v>3</v>
      </c>
      <c r="AR120">
        <v>5</v>
      </c>
      <c r="AS120" t="s">
        <v>3899</v>
      </c>
      <c r="AT120">
        <v>450</v>
      </c>
      <c r="AU120">
        <v>3</v>
      </c>
      <c r="AV120" t="s">
        <v>5934</v>
      </c>
      <c r="AW120" t="s">
        <v>6205</v>
      </c>
      <c r="AX120" t="s">
        <v>56</v>
      </c>
      <c r="AY120">
        <v>2</v>
      </c>
      <c r="AZ120" t="s">
        <v>4776</v>
      </c>
    </row>
    <row r="121" spans="1:52" x14ac:dyDescent="0.25">
      <c r="A121" t="str">
        <f>"20200131152017160820"</f>
        <v>20200131152017160820</v>
      </c>
      <c r="B121">
        <v>1</v>
      </c>
      <c r="C121">
        <v>2</v>
      </c>
      <c r="D121" t="s">
        <v>5776</v>
      </c>
      <c r="E121" t="s">
        <v>56</v>
      </c>
      <c r="F121" t="s">
        <v>1627</v>
      </c>
      <c r="G121" t="s">
        <v>56</v>
      </c>
      <c r="H121" t="s">
        <v>56</v>
      </c>
      <c r="I121" t="s">
        <v>56</v>
      </c>
      <c r="J121" t="s">
        <v>56</v>
      </c>
      <c r="K121" t="s">
        <v>56</v>
      </c>
      <c r="L121" t="s">
        <v>56</v>
      </c>
      <c r="M121" t="s">
        <v>56</v>
      </c>
      <c r="N121" t="s">
        <v>56</v>
      </c>
      <c r="O121" t="s">
        <v>56</v>
      </c>
      <c r="P121" t="s">
        <v>56</v>
      </c>
      <c r="Q121" t="s">
        <v>5928</v>
      </c>
      <c r="R121" t="s">
        <v>56</v>
      </c>
      <c r="S121" t="s">
        <v>5928</v>
      </c>
      <c r="T121" t="s">
        <v>56</v>
      </c>
      <c r="U121" t="s">
        <v>5928</v>
      </c>
      <c r="V121" t="s">
        <v>56</v>
      </c>
      <c r="W121" t="s">
        <v>5928</v>
      </c>
      <c r="X121" t="s">
        <v>56</v>
      </c>
      <c r="Y121" t="s">
        <v>5928</v>
      </c>
      <c r="Z121">
        <v>1503</v>
      </c>
      <c r="AA121" t="s">
        <v>5994</v>
      </c>
      <c r="AB121">
        <v>150314</v>
      </c>
      <c r="AC121" t="s">
        <v>6147</v>
      </c>
      <c r="AD121">
        <v>3</v>
      </c>
      <c r="AE121" t="s">
        <v>5934</v>
      </c>
      <c r="AF121">
        <v>1</v>
      </c>
      <c r="AG121" t="s">
        <v>5932</v>
      </c>
      <c r="AH121" t="s">
        <v>6206</v>
      </c>
      <c r="AI121">
        <v>125</v>
      </c>
      <c r="AJ121" t="s">
        <v>4213</v>
      </c>
      <c r="AK121" t="s">
        <v>4214</v>
      </c>
      <c r="AL121" t="s">
        <v>4215</v>
      </c>
      <c r="AM121">
        <v>12</v>
      </c>
      <c r="AN121">
        <v>2</v>
      </c>
      <c r="AO121" t="s">
        <v>3897</v>
      </c>
      <c r="AP121">
        <v>10</v>
      </c>
      <c r="AQ121">
        <v>90</v>
      </c>
      <c r="AR121">
        <v>3</v>
      </c>
      <c r="AS121" t="s">
        <v>3911</v>
      </c>
      <c r="AT121">
        <v>180</v>
      </c>
      <c r="AU121">
        <v>3</v>
      </c>
      <c r="AV121" t="s">
        <v>5934</v>
      </c>
      <c r="AW121" t="s">
        <v>6207</v>
      </c>
      <c r="AX121" t="s">
        <v>56</v>
      </c>
      <c r="AY121">
        <v>2</v>
      </c>
      <c r="AZ121" t="s">
        <v>4776</v>
      </c>
    </row>
    <row r="122" spans="1:52" x14ac:dyDescent="0.25">
      <c r="A122" t="str">
        <f>"20200131194017163573"</f>
        <v>20200131194017163573</v>
      </c>
      <c r="B122">
        <v>1</v>
      </c>
      <c r="C122">
        <v>2</v>
      </c>
      <c r="D122" t="s">
        <v>5776</v>
      </c>
      <c r="E122" t="s">
        <v>56</v>
      </c>
      <c r="F122" t="s">
        <v>1627</v>
      </c>
      <c r="G122" t="s">
        <v>56</v>
      </c>
      <c r="H122" t="s">
        <v>56</v>
      </c>
      <c r="I122" t="s">
        <v>56</v>
      </c>
      <c r="J122" t="s">
        <v>56</v>
      </c>
      <c r="K122" t="s">
        <v>56</v>
      </c>
      <c r="L122" t="s">
        <v>56</v>
      </c>
      <c r="M122" t="s">
        <v>56</v>
      </c>
      <c r="N122" t="s">
        <v>56</v>
      </c>
      <c r="O122" t="s">
        <v>56</v>
      </c>
      <c r="P122" t="s">
        <v>56</v>
      </c>
      <c r="Q122" t="s">
        <v>5928</v>
      </c>
      <c r="R122" t="s">
        <v>56</v>
      </c>
      <c r="S122" t="s">
        <v>5928</v>
      </c>
      <c r="T122" t="s">
        <v>56</v>
      </c>
      <c r="U122" t="s">
        <v>5928</v>
      </c>
      <c r="V122" t="s">
        <v>56</v>
      </c>
      <c r="W122" t="s">
        <v>5928</v>
      </c>
      <c r="X122" t="s">
        <v>56</v>
      </c>
      <c r="Y122" t="s">
        <v>5928</v>
      </c>
      <c r="Z122">
        <v>1503</v>
      </c>
      <c r="AA122" t="s">
        <v>5994</v>
      </c>
      <c r="AB122">
        <v>150301</v>
      </c>
      <c r="AC122" t="s">
        <v>5995</v>
      </c>
      <c r="AD122">
        <v>3</v>
      </c>
      <c r="AE122" t="s">
        <v>5934</v>
      </c>
      <c r="AF122">
        <v>1</v>
      </c>
      <c r="AG122" t="s">
        <v>5932</v>
      </c>
      <c r="AH122" t="s">
        <v>6208</v>
      </c>
      <c r="AI122">
        <v>237</v>
      </c>
      <c r="AJ122" t="s">
        <v>4213</v>
      </c>
      <c r="AK122" t="s">
        <v>4214</v>
      </c>
      <c r="AL122" t="s">
        <v>4215</v>
      </c>
      <c r="AM122">
        <v>12</v>
      </c>
      <c r="AN122">
        <v>2</v>
      </c>
      <c r="AO122" t="s">
        <v>3897</v>
      </c>
      <c r="AP122">
        <v>10</v>
      </c>
      <c r="AQ122">
        <v>90</v>
      </c>
      <c r="AR122">
        <v>3</v>
      </c>
      <c r="AS122" t="s">
        <v>3911</v>
      </c>
      <c r="AT122">
        <v>180</v>
      </c>
      <c r="AU122">
        <v>3</v>
      </c>
      <c r="AV122" t="s">
        <v>5934</v>
      </c>
      <c r="AW122" t="s">
        <v>6209</v>
      </c>
      <c r="AX122" t="s">
        <v>56</v>
      </c>
      <c r="AY122">
        <v>2</v>
      </c>
      <c r="AZ122" t="s">
        <v>4776</v>
      </c>
    </row>
    <row r="123" spans="1:52" x14ac:dyDescent="0.25">
      <c r="A123" t="str">
        <f>"20200131129017164373"</f>
        <v>20200131129017164373</v>
      </c>
      <c r="B123">
        <v>1</v>
      </c>
      <c r="C123">
        <v>2</v>
      </c>
      <c r="D123" t="s">
        <v>5776</v>
      </c>
      <c r="E123" t="s">
        <v>56</v>
      </c>
      <c r="F123" t="s">
        <v>1627</v>
      </c>
      <c r="G123" t="s">
        <v>56</v>
      </c>
      <c r="H123" t="s">
        <v>56</v>
      </c>
      <c r="I123" t="s">
        <v>56</v>
      </c>
      <c r="J123" t="s">
        <v>56</v>
      </c>
      <c r="K123" t="s">
        <v>56</v>
      </c>
      <c r="L123" t="s">
        <v>56</v>
      </c>
      <c r="M123" t="s">
        <v>56</v>
      </c>
      <c r="N123" t="s">
        <v>56</v>
      </c>
      <c r="O123" t="s">
        <v>56</v>
      </c>
      <c r="P123" t="s">
        <v>56</v>
      </c>
      <c r="Q123" t="s">
        <v>5928</v>
      </c>
      <c r="R123" t="s">
        <v>56</v>
      </c>
      <c r="S123" t="s">
        <v>5928</v>
      </c>
      <c r="T123" t="s">
        <v>56</v>
      </c>
      <c r="U123" t="s">
        <v>5928</v>
      </c>
      <c r="V123" t="s">
        <v>56</v>
      </c>
      <c r="W123" t="s">
        <v>5928</v>
      </c>
      <c r="X123" t="s">
        <v>56</v>
      </c>
      <c r="Y123" t="s">
        <v>5928</v>
      </c>
      <c r="Z123">
        <v>1401</v>
      </c>
      <c r="AA123" t="s">
        <v>5956</v>
      </c>
      <c r="AB123">
        <v>140118</v>
      </c>
      <c r="AC123" t="s">
        <v>6030</v>
      </c>
      <c r="AD123">
        <v>5</v>
      </c>
      <c r="AE123" t="s">
        <v>5931</v>
      </c>
      <c r="AF123">
        <v>2</v>
      </c>
      <c r="AG123" t="s">
        <v>5963</v>
      </c>
      <c r="AH123" t="s">
        <v>6210</v>
      </c>
      <c r="AI123">
        <v>1</v>
      </c>
      <c r="AJ123" t="s">
        <v>4026</v>
      </c>
      <c r="AK123" t="s">
        <v>4027</v>
      </c>
      <c r="AL123" t="s">
        <v>4028</v>
      </c>
      <c r="AM123">
        <v>6</v>
      </c>
      <c r="AN123">
        <v>2</v>
      </c>
      <c r="AO123" t="s">
        <v>3897</v>
      </c>
      <c r="AP123">
        <v>10</v>
      </c>
      <c r="AQ123">
        <v>30</v>
      </c>
      <c r="AR123">
        <v>3</v>
      </c>
      <c r="AS123" t="s">
        <v>3911</v>
      </c>
      <c r="AT123">
        <v>120</v>
      </c>
      <c r="AU123">
        <v>5</v>
      </c>
      <c r="AV123" t="s">
        <v>5931</v>
      </c>
      <c r="AW123" t="s">
        <v>6211</v>
      </c>
      <c r="AX123" t="s">
        <v>56</v>
      </c>
      <c r="AY123">
        <v>1</v>
      </c>
      <c r="AZ123" t="s">
        <v>3902</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1"/>
  <sheetViews>
    <sheetView workbookViewId="0"/>
  </sheetViews>
  <sheetFormatPr baseColWidth="10" defaultColWidth="9.140625" defaultRowHeight="15" x14ac:dyDescent="0.25"/>
  <cols>
    <col min="1" max="1" width="24.7109375" bestFit="1" customWidth="1"/>
    <col min="2" max="2" width="10.5703125" bestFit="1" customWidth="1"/>
    <col min="3" max="3" width="11.7109375" bestFit="1" customWidth="1"/>
    <col min="4" max="4" width="17.5703125" bestFit="1" customWidth="1"/>
    <col min="5" max="6" width="9.28515625" bestFit="1" customWidth="1"/>
    <col min="7" max="7" width="11.7109375" bestFit="1" customWidth="1"/>
    <col min="8" max="8" width="9.28515625" bestFit="1" customWidth="1"/>
    <col min="9" max="9" width="194.5703125" bestFit="1" customWidth="1"/>
    <col min="10" max="10" width="11.7109375" bestFit="1" customWidth="1"/>
    <col min="11" max="11" width="12.85546875" bestFit="1" customWidth="1"/>
    <col min="12" max="12" width="67.140625" bestFit="1" customWidth="1"/>
    <col min="13" max="13" width="191" bestFit="1" customWidth="1"/>
    <col min="14" max="14" width="9.28515625" bestFit="1" customWidth="1"/>
    <col min="15" max="15" width="12.85546875" bestFit="1" customWidth="1"/>
    <col min="16" max="16" width="11.7109375" bestFit="1" customWidth="1"/>
    <col min="17" max="17" width="17.5703125" bestFit="1" customWidth="1"/>
    <col min="18" max="19" width="11.7109375" bestFit="1" customWidth="1"/>
    <col min="20" max="20" width="16.42578125" bestFit="1" customWidth="1"/>
    <col min="21" max="21" width="22.28515625" bestFit="1" customWidth="1"/>
    <col min="22" max="22" width="11.7109375" bestFit="1" customWidth="1"/>
    <col min="23" max="23" width="17.5703125" bestFit="1" customWidth="1"/>
    <col min="24" max="24" width="11.7109375" bestFit="1" customWidth="1"/>
    <col min="25" max="25" width="16.42578125" bestFit="1" customWidth="1"/>
    <col min="26" max="26" width="22.28515625" bestFit="1" customWidth="1"/>
    <col min="27" max="27" width="15.28515625" bestFit="1" customWidth="1"/>
    <col min="28" max="28" width="16.42578125" bestFit="1" customWidth="1"/>
    <col min="29" max="29" width="22.28515625" bestFit="1" customWidth="1"/>
    <col min="30" max="30" width="11.7109375" bestFit="1" customWidth="1"/>
    <col min="31" max="32" width="15.28515625" bestFit="1" customWidth="1"/>
    <col min="33" max="33" width="592.140625" bestFit="1" customWidth="1"/>
    <col min="34" max="34" width="189.85546875" bestFit="1" customWidth="1"/>
    <col min="35" max="35" width="7" bestFit="1" customWidth="1"/>
    <col min="36" max="36" width="64.85546875" bestFit="1" customWidth="1"/>
  </cols>
  <sheetData>
    <row r="1" spans="1:36" x14ac:dyDescent="0.25">
      <c r="A1" t="s">
        <v>0</v>
      </c>
      <c r="B1" t="s">
        <v>3825</v>
      </c>
      <c r="C1" t="s">
        <v>3828</v>
      </c>
      <c r="D1" t="s">
        <v>5729</v>
      </c>
      <c r="E1" t="s">
        <v>3829</v>
      </c>
      <c r="F1" t="s">
        <v>3831</v>
      </c>
      <c r="G1" t="s">
        <v>3833</v>
      </c>
      <c r="H1" t="s">
        <v>3842</v>
      </c>
      <c r="I1" t="s">
        <v>6212</v>
      </c>
      <c r="J1" t="s">
        <v>3857</v>
      </c>
      <c r="K1" t="s">
        <v>6213</v>
      </c>
      <c r="L1" t="s">
        <v>6214</v>
      </c>
      <c r="M1" t="s">
        <v>6215</v>
      </c>
      <c r="N1" t="s">
        <v>5743</v>
      </c>
      <c r="O1" t="s">
        <v>5744</v>
      </c>
      <c r="P1" t="s">
        <v>5745</v>
      </c>
      <c r="Q1" t="s">
        <v>5746</v>
      </c>
      <c r="R1" t="s">
        <v>5747</v>
      </c>
      <c r="S1" t="s">
        <v>5748</v>
      </c>
      <c r="T1" t="s">
        <v>5749</v>
      </c>
      <c r="U1" t="s">
        <v>5750</v>
      </c>
      <c r="V1" t="s">
        <v>6216</v>
      </c>
      <c r="W1" t="s">
        <v>6217</v>
      </c>
      <c r="X1" t="s">
        <v>6218</v>
      </c>
      <c r="Y1" t="s">
        <v>6219</v>
      </c>
      <c r="Z1" t="s">
        <v>6220</v>
      </c>
      <c r="AA1" t="s">
        <v>6221</v>
      </c>
      <c r="AB1" t="s">
        <v>6222</v>
      </c>
      <c r="AC1" t="s">
        <v>6223</v>
      </c>
      <c r="AD1" t="s">
        <v>6224</v>
      </c>
      <c r="AE1" t="s">
        <v>6225</v>
      </c>
      <c r="AF1" t="s">
        <v>6226</v>
      </c>
      <c r="AG1" t="s">
        <v>3868</v>
      </c>
      <c r="AH1" t="s">
        <v>3883</v>
      </c>
      <c r="AI1" t="s">
        <v>3884</v>
      </c>
      <c r="AJ1" t="s">
        <v>3885</v>
      </c>
    </row>
    <row r="2" spans="1:36" x14ac:dyDescent="0.25">
      <c r="A2" t="str">
        <f>"20200124177016997524"</f>
        <v>20200124177016997524</v>
      </c>
      <c r="B2">
        <v>1</v>
      </c>
      <c r="C2">
        <v>2</v>
      </c>
      <c r="D2" t="s">
        <v>5776</v>
      </c>
      <c r="E2" t="s">
        <v>66</v>
      </c>
      <c r="F2" t="s">
        <v>1627</v>
      </c>
      <c r="G2" t="s">
        <v>56</v>
      </c>
      <c r="H2" t="s">
        <v>1627</v>
      </c>
      <c r="I2" t="s">
        <v>6227</v>
      </c>
      <c r="J2" t="s">
        <v>56</v>
      </c>
      <c r="K2">
        <v>139</v>
      </c>
      <c r="L2" t="s">
        <v>6228</v>
      </c>
      <c r="M2" t="s">
        <v>6229</v>
      </c>
      <c r="N2">
        <v>1</v>
      </c>
      <c r="O2">
        <v>8</v>
      </c>
      <c r="P2">
        <v>2</v>
      </c>
      <c r="Q2" t="s">
        <v>3897</v>
      </c>
      <c r="R2">
        <v>3</v>
      </c>
      <c r="S2">
        <v>270</v>
      </c>
      <c r="T2">
        <v>5</v>
      </c>
      <c r="U2" t="s">
        <v>3899</v>
      </c>
      <c r="V2" t="s">
        <v>56</v>
      </c>
      <c r="W2" t="s">
        <v>56</v>
      </c>
      <c r="X2" t="s">
        <v>56</v>
      </c>
      <c r="Y2" t="s">
        <v>56</v>
      </c>
      <c r="Z2" t="s">
        <v>56</v>
      </c>
      <c r="AA2" t="s">
        <v>56</v>
      </c>
      <c r="AB2" t="s">
        <v>56</v>
      </c>
      <c r="AC2" t="s">
        <v>56</v>
      </c>
      <c r="AD2" t="s">
        <v>56</v>
      </c>
      <c r="AE2" t="s">
        <v>56</v>
      </c>
      <c r="AF2" t="s">
        <v>56</v>
      </c>
      <c r="AG2" t="s">
        <v>6227</v>
      </c>
      <c r="AH2" t="s">
        <v>6230</v>
      </c>
      <c r="AI2">
        <v>1</v>
      </c>
      <c r="AJ2" t="s">
        <v>3902</v>
      </c>
    </row>
    <row r="3" spans="1:36" x14ac:dyDescent="0.25">
      <c r="A3" t="str">
        <f>"20200124124016997544"</f>
        <v>20200124124016997544</v>
      </c>
      <c r="B3">
        <v>1</v>
      </c>
      <c r="C3">
        <v>2</v>
      </c>
      <c r="D3" t="s">
        <v>5776</v>
      </c>
      <c r="E3" t="s">
        <v>66</v>
      </c>
      <c r="F3" t="s">
        <v>1627</v>
      </c>
      <c r="G3" t="s">
        <v>56</v>
      </c>
      <c r="H3" t="s">
        <v>1627</v>
      </c>
      <c r="I3" t="s">
        <v>6227</v>
      </c>
      <c r="J3" t="s">
        <v>56</v>
      </c>
      <c r="K3">
        <v>139</v>
      </c>
      <c r="L3" t="s">
        <v>6228</v>
      </c>
      <c r="M3" t="s">
        <v>6231</v>
      </c>
      <c r="N3">
        <v>1</v>
      </c>
      <c r="O3">
        <v>8</v>
      </c>
      <c r="P3">
        <v>2</v>
      </c>
      <c r="Q3" t="s">
        <v>3897</v>
      </c>
      <c r="R3">
        <v>3</v>
      </c>
      <c r="S3">
        <v>270</v>
      </c>
      <c r="T3">
        <v>5</v>
      </c>
      <c r="U3" t="s">
        <v>3899</v>
      </c>
      <c r="V3" t="s">
        <v>56</v>
      </c>
      <c r="W3" t="s">
        <v>56</v>
      </c>
      <c r="X3" t="s">
        <v>56</v>
      </c>
      <c r="Y3" t="s">
        <v>56</v>
      </c>
      <c r="Z3" t="s">
        <v>56</v>
      </c>
      <c r="AA3" t="s">
        <v>56</v>
      </c>
      <c r="AB3" t="s">
        <v>56</v>
      </c>
      <c r="AC3" t="s">
        <v>56</v>
      </c>
      <c r="AD3" t="s">
        <v>56</v>
      </c>
      <c r="AE3" t="s">
        <v>56</v>
      </c>
      <c r="AF3" t="s">
        <v>56</v>
      </c>
      <c r="AG3" t="s">
        <v>6227</v>
      </c>
      <c r="AH3" t="s">
        <v>6232</v>
      </c>
      <c r="AI3">
        <v>1</v>
      </c>
      <c r="AJ3" t="s">
        <v>3902</v>
      </c>
    </row>
    <row r="4" spans="1:36" x14ac:dyDescent="0.25">
      <c r="A4" t="str">
        <f>"20200127188017042205"</f>
        <v>20200127188017042205</v>
      </c>
      <c r="B4">
        <v>1</v>
      </c>
      <c r="C4">
        <v>2</v>
      </c>
      <c r="D4" t="s">
        <v>5776</v>
      </c>
      <c r="E4" t="s">
        <v>66</v>
      </c>
      <c r="F4" t="s">
        <v>1627</v>
      </c>
      <c r="G4" t="s">
        <v>56</v>
      </c>
      <c r="H4" t="s">
        <v>1627</v>
      </c>
      <c r="I4" t="s">
        <v>6233</v>
      </c>
      <c r="J4" t="s">
        <v>56</v>
      </c>
      <c r="K4">
        <v>139</v>
      </c>
      <c r="L4" t="s">
        <v>6228</v>
      </c>
      <c r="M4" t="s">
        <v>6234</v>
      </c>
      <c r="N4">
        <v>3</v>
      </c>
      <c r="O4">
        <v>24</v>
      </c>
      <c r="P4">
        <v>2</v>
      </c>
      <c r="Q4" t="s">
        <v>3897</v>
      </c>
      <c r="R4">
        <v>120</v>
      </c>
      <c r="S4">
        <v>360</v>
      </c>
      <c r="T4">
        <v>3</v>
      </c>
      <c r="U4" t="s">
        <v>3911</v>
      </c>
      <c r="V4" t="s">
        <v>56</v>
      </c>
      <c r="W4" t="s">
        <v>56</v>
      </c>
      <c r="X4" t="s">
        <v>56</v>
      </c>
      <c r="Y4" t="s">
        <v>56</v>
      </c>
      <c r="Z4" t="s">
        <v>56</v>
      </c>
      <c r="AA4" t="s">
        <v>56</v>
      </c>
      <c r="AB4" t="s">
        <v>56</v>
      </c>
      <c r="AC4" t="s">
        <v>56</v>
      </c>
      <c r="AD4" t="s">
        <v>56</v>
      </c>
      <c r="AE4" t="s">
        <v>56</v>
      </c>
      <c r="AF4" t="s">
        <v>56</v>
      </c>
      <c r="AG4" t="s">
        <v>6235</v>
      </c>
      <c r="AH4" t="s">
        <v>6236</v>
      </c>
      <c r="AI4">
        <v>1</v>
      </c>
      <c r="AJ4" t="s">
        <v>3902</v>
      </c>
    </row>
    <row r="5" spans="1:36" x14ac:dyDescent="0.25">
      <c r="A5" t="str">
        <f>"20200127119017041700"</f>
        <v>20200127119017041700</v>
      </c>
      <c r="B5">
        <v>1</v>
      </c>
      <c r="C5">
        <v>2</v>
      </c>
      <c r="D5" t="s">
        <v>5776</v>
      </c>
      <c r="E5" t="s">
        <v>66</v>
      </c>
      <c r="F5" t="s">
        <v>1627</v>
      </c>
      <c r="G5" t="s">
        <v>56</v>
      </c>
      <c r="H5" t="s">
        <v>1627</v>
      </c>
      <c r="I5" t="s">
        <v>6237</v>
      </c>
      <c r="J5" t="s">
        <v>56</v>
      </c>
      <c r="K5">
        <v>139</v>
      </c>
      <c r="L5" t="s">
        <v>6228</v>
      </c>
      <c r="M5" t="s">
        <v>6238</v>
      </c>
      <c r="N5">
        <v>1</v>
      </c>
      <c r="O5">
        <v>8</v>
      </c>
      <c r="P5">
        <v>2</v>
      </c>
      <c r="Q5" t="s">
        <v>3897</v>
      </c>
      <c r="R5">
        <v>3</v>
      </c>
      <c r="S5">
        <v>270</v>
      </c>
      <c r="T5">
        <v>5</v>
      </c>
      <c r="U5" t="s">
        <v>3899</v>
      </c>
      <c r="V5" t="s">
        <v>56</v>
      </c>
      <c r="W5" t="s">
        <v>56</v>
      </c>
      <c r="X5" t="s">
        <v>56</v>
      </c>
      <c r="Y5" t="s">
        <v>56</v>
      </c>
      <c r="Z5" t="s">
        <v>56</v>
      </c>
      <c r="AA5" t="s">
        <v>56</v>
      </c>
      <c r="AB5" t="s">
        <v>56</v>
      </c>
      <c r="AC5" t="s">
        <v>56</v>
      </c>
      <c r="AD5" t="s">
        <v>56</v>
      </c>
      <c r="AE5" t="s">
        <v>56</v>
      </c>
      <c r="AF5" t="s">
        <v>56</v>
      </c>
      <c r="AG5" t="s">
        <v>6239</v>
      </c>
      <c r="AH5" t="s">
        <v>6240</v>
      </c>
      <c r="AI5">
        <v>1</v>
      </c>
      <c r="AJ5" t="s">
        <v>3902</v>
      </c>
    </row>
    <row r="6" spans="1:36" x14ac:dyDescent="0.25">
      <c r="A6" t="str">
        <f>"20200127167017041862"</f>
        <v>20200127167017041862</v>
      </c>
      <c r="B6">
        <v>1</v>
      </c>
      <c r="C6">
        <v>2</v>
      </c>
      <c r="D6" t="s">
        <v>5776</v>
      </c>
      <c r="E6" t="s">
        <v>66</v>
      </c>
      <c r="F6" t="s">
        <v>1627</v>
      </c>
      <c r="G6" t="s">
        <v>56</v>
      </c>
      <c r="H6" t="s">
        <v>1627</v>
      </c>
      <c r="I6" t="s">
        <v>6241</v>
      </c>
      <c r="J6" t="s">
        <v>56</v>
      </c>
      <c r="K6">
        <v>139</v>
      </c>
      <c r="L6" t="s">
        <v>6228</v>
      </c>
      <c r="M6" t="s">
        <v>6242</v>
      </c>
      <c r="N6">
        <v>1</v>
      </c>
      <c r="O6">
        <v>8</v>
      </c>
      <c r="P6">
        <v>2</v>
      </c>
      <c r="Q6" t="s">
        <v>3897</v>
      </c>
      <c r="R6">
        <v>3</v>
      </c>
      <c r="S6">
        <v>270</v>
      </c>
      <c r="T6">
        <v>5</v>
      </c>
      <c r="U6" t="s">
        <v>3899</v>
      </c>
      <c r="V6" t="s">
        <v>56</v>
      </c>
      <c r="W6" t="s">
        <v>56</v>
      </c>
      <c r="X6" t="s">
        <v>56</v>
      </c>
      <c r="Y6" t="s">
        <v>56</v>
      </c>
      <c r="Z6" t="s">
        <v>56</v>
      </c>
      <c r="AA6" t="s">
        <v>56</v>
      </c>
      <c r="AB6" t="s">
        <v>56</v>
      </c>
      <c r="AC6" t="s">
        <v>56</v>
      </c>
      <c r="AD6" t="s">
        <v>56</v>
      </c>
      <c r="AE6" t="s">
        <v>56</v>
      </c>
      <c r="AF6" t="s">
        <v>56</v>
      </c>
      <c r="AG6" t="s">
        <v>6243</v>
      </c>
      <c r="AH6" t="s">
        <v>6244</v>
      </c>
      <c r="AI6">
        <v>1</v>
      </c>
      <c r="AJ6" t="s">
        <v>3902</v>
      </c>
    </row>
    <row r="7" spans="1:36" x14ac:dyDescent="0.25">
      <c r="A7" t="str">
        <f>"20200124191016997592"</f>
        <v>20200124191016997592</v>
      </c>
      <c r="B7">
        <v>1</v>
      </c>
      <c r="C7">
        <v>2</v>
      </c>
      <c r="D7" t="s">
        <v>5776</v>
      </c>
      <c r="E7" t="s">
        <v>66</v>
      </c>
      <c r="F7" t="s">
        <v>1627</v>
      </c>
      <c r="G7" t="s">
        <v>56</v>
      </c>
      <c r="H7" t="s">
        <v>1627</v>
      </c>
      <c r="I7" t="s">
        <v>6227</v>
      </c>
      <c r="J7" t="s">
        <v>56</v>
      </c>
      <c r="K7">
        <v>139</v>
      </c>
      <c r="L7" t="s">
        <v>6228</v>
      </c>
      <c r="M7" t="s">
        <v>6245</v>
      </c>
      <c r="N7">
        <v>1</v>
      </c>
      <c r="O7">
        <v>6</v>
      </c>
      <c r="P7">
        <v>2</v>
      </c>
      <c r="Q7" t="s">
        <v>3897</v>
      </c>
      <c r="R7">
        <v>3</v>
      </c>
      <c r="S7">
        <v>360</v>
      </c>
      <c r="T7">
        <v>5</v>
      </c>
      <c r="U7" t="s">
        <v>3899</v>
      </c>
      <c r="V7" t="s">
        <v>56</v>
      </c>
      <c r="W7" t="s">
        <v>56</v>
      </c>
      <c r="X7" t="s">
        <v>56</v>
      </c>
      <c r="Y7" t="s">
        <v>56</v>
      </c>
      <c r="Z7" t="s">
        <v>56</v>
      </c>
      <c r="AA7" t="s">
        <v>56</v>
      </c>
      <c r="AB7" t="s">
        <v>56</v>
      </c>
      <c r="AC7" t="s">
        <v>56</v>
      </c>
      <c r="AD7" t="s">
        <v>56</v>
      </c>
      <c r="AE7" t="s">
        <v>56</v>
      </c>
      <c r="AF7" t="s">
        <v>56</v>
      </c>
      <c r="AG7" t="s">
        <v>6227</v>
      </c>
      <c r="AH7" t="s">
        <v>6246</v>
      </c>
      <c r="AI7">
        <v>1</v>
      </c>
      <c r="AJ7" t="s">
        <v>3902</v>
      </c>
    </row>
    <row r="8" spans="1:36" x14ac:dyDescent="0.25">
      <c r="A8" t="str">
        <f>"20200124121016997609"</f>
        <v>20200124121016997609</v>
      </c>
      <c r="B8">
        <v>1</v>
      </c>
      <c r="C8">
        <v>2</v>
      </c>
      <c r="D8" t="s">
        <v>5776</v>
      </c>
      <c r="E8" t="s">
        <v>66</v>
      </c>
      <c r="F8" t="s">
        <v>1627</v>
      </c>
      <c r="G8" t="s">
        <v>56</v>
      </c>
      <c r="H8" t="s">
        <v>1627</v>
      </c>
      <c r="I8" t="s">
        <v>6227</v>
      </c>
      <c r="J8" t="s">
        <v>56</v>
      </c>
      <c r="K8">
        <v>139</v>
      </c>
      <c r="L8" t="s">
        <v>6228</v>
      </c>
      <c r="M8" t="s">
        <v>6247</v>
      </c>
      <c r="N8">
        <v>1</v>
      </c>
      <c r="O8">
        <v>8</v>
      </c>
      <c r="P8">
        <v>2</v>
      </c>
      <c r="Q8" t="s">
        <v>3897</v>
      </c>
      <c r="R8">
        <v>3</v>
      </c>
      <c r="S8">
        <v>270</v>
      </c>
      <c r="T8">
        <v>5</v>
      </c>
      <c r="U8" t="s">
        <v>3899</v>
      </c>
      <c r="V8" t="s">
        <v>56</v>
      </c>
      <c r="W8" t="s">
        <v>56</v>
      </c>
      <c r="X8" t="s">
        <v>56</v>
      </c>
      <c r="Y8" t="s">
        <v>56</v>
      </c>
      <c r="Z8" t="s">
        <v>56</v>
      </c>
      <c r="AA8" t="s">
        <v>56</v>
      </c>
      <c r="AB8" t="s">
        <v>56</v>
      </c>
      <c r="AC8" t="s">
        <v>56</v>
      </c>
      <c r="AD8" t="s">
        <v>56</v>
      </c>
      <c r="AE8" t="s">
        <v>56</v>
      </c>
      <c r="AF8" t="s">
        <v>56</v>
      </c>
      <c r="AG8" t="s">
        <v>6227</v>
      </c>
      <c r="AH8" t="s">
        <v>6248</v>
      </c>
      <c r="AI8">
        <v>1</v>
      </c>
      <c r="AJ8" t="s">
        <v>3902</v>
      </c>
    </row>
    <row r="9" spans="1:36" x14ac:dyDescent="0.25">
      <c r="A9" t="str">
        <f>"20200124115016997663"</f>
        <v>20200124115016997663</v>
      </c>
      <c r="B9">
        <v>1</v>
      </c>
      <c r="C9">
        <v>2</v>
      </c>
      <c r="D9" t="s">
        <v>5776</v>
      </c>
      <c r="E9" t="s">
        <v>66</v>
      </c>
      <c r="F9" t="s">
        <v>1627</v>
      </c>
      <c r="G9" t="s">
        <v>56</v>
      </c>
      <c r="H9" t="s">
        <v>1627</v>
      </c>
      <c r="I9" t="s">
        <v>6227</v>
      </c>
      <c r="J9" t="s">
        <v>56</v>
      </c>
      <c r="K9">
        <v>139</v>
      </c>
      <c r="L9" t="s">
        <v>6228</v>
      </c>
      <c r="M9" t="s">
        <v>6249</v>
      </c>
      <c r="N9">
        <v>1</v>
      </c>
      <c r="O9">
        <v>5</v>
      </c>
      <c r="P9">
        <v>2</v>
      </c>
      <c r="Q9" t="s">
        <v>3897</v>
      </c>
      <c r="R9">
        <v>3</v>
      </c>
      <c r="S9">
        <v>450</v>
      </c>
      <c r="T9">
        <v>5</v>
      </c>
      <c r="U9" t="s">
        <v>3899</v>
      </c>
      <c r="V9" t="s">
        <v>56</v>
      </c>
      <c r="W9" t="s">
        <v>56</v>
      </c>
      <c r="X9" t="s">
        <v>56</v>
      </c>
      <c r="Y9" t="s">
        <v>56</v>
      </c>
      <c r="Z9" t="s">
        <v>56</v>
      </c>
      <c r="AA9" t="s">
        <v>56</v>
      </c>
      <c r="AB9" t="s">
        <v>56</v>
      </c>
      <c r="AC9" t="s">
        <v>56</v>
      </c>
      <c r="AD9" t="s">
        <v>56</v>
      </c>
      <c r="AE9" t="s">
        <v>56</v>
      </c>
      <c r="AF9" t="s">
        <v>56</v>
      </c>
      <c r="AG9" t="s">
        <v>6227</v>
      </c>
      <c r="AH9" t="s">
        <v>6250</v>
      </c>
      <c r="AI9">
        <v>3</v>
      </c>
      <c r="AJ9" t="s">
        <v>5993</v>
      </c>
    </row>
    <row r="10" spans="1:36" x14ac:dyDescent="0.25">
      <c r="A10" t="str">
        <f>"20200124167016999576"</f>
        <v>20200124167016999576</v>
      </c>
      <c r="B10">
        <v>1</v>
      </c>
      <c r="C10">
        <v>2</v>
      </c>
      <c r="D10" t="s">
        <v>5776</v>
      </c>
      <c r="E10" t="s">
        <v>66</v>
      </c>
      <c r="F10" t="s">
        <v>1627</v>
      </c>
      <c r="G10" t="s">
        <v>56</v>
      </c>
      <c r="H10" t="s">
        <v>1627</v>
      </c>
      <c r="I10" t="s">
        <v>6251</v>
      </c>
      <c r="J10" t="s">
        <v>56</v>
      </c>
      <c r="K10">
        <v>139</v>
      </c>
      <c r="L10" t="s">
        <v>6228</v>
      </c>
      <c r="M10" t="s">
        <v>6252</v>
      </c>
      <c r="N10">
        <v>4</v>
      </c>
      <c r="O10">
        <v>1</v>
      </c>
      <c r="P10">
        <v>3</v>
      </c>
      <c r="Q10" t="s">
        <v>3911</v>
      </c>
      <c r="R10">
        <v>6</v>
      </c>
      <c r="S10">
        <v>720</v>
      </c>
      <c r="T10">
        <v>5</v>
      </c>
      <c r="U10" t="s">
        <v>3899</v>
      </c>
      <c r="V10" t="s">
        <v>56</v>
      </c>
      <c r="W10" t="s">
        <v>56</v>
      </c>
      <c r="X10" t="s">
        <v>56</v>
      </c>
      <c r="Y10" t="s">
        <v>56</v>
      </c>
      <c r="Z10" t="s">
        <v>56</v>
      </c>
      <c r="AA10" t="s">
        <v>56</v>
      </c>
      <c r="AB10" t="s">
        <v>56</v>
      </c>
      <c r="AC10" t="s">
        <v>56</v>
      </c>
      <c r="AD10" t="s">
        <v>56</v>
      </c>
      <c r="AE10" t="s">
        <v>56</v>
      </c>
      <c r="AF10" t="s">
        <v>56</v>
      </c>
      <c r="AG10" t="s">
        <v>6253</v>
      </c>
      <c r="AH10" t="s">
        <v>6254</v>
      </c>
      <c r="AI10">
        <v>1</v>
      </c>
      <c r="AJ10" t="s">
        <v>3902</v>
      </c>
    </row>
    <row r="11" spans="1:36" x14ac:dyDescent="0.25">
      <c r="A11" t="str">
        <f>"20200124167016999576"</f>
        <v>20200124167016999576</v>
      </c>
      <c r="B11">
        <v>2</v>
      </c>
      <c r="C11">
        <v>2</v>
      </c>
      <c r="D11" t="s">
        <v>5776</v>
      </c>
      <c r="E11" t="s">
        <v>66</v>
      </c>
      <c r="F11" t="s">
        <v>1627</v>
      </c>
      <c r="G11" t="s">
        <v>56</v>
      </c>
      <c r="H11" t="s">
        <v>1627</v>
      </c>
      <c r="I11" t="s">
        <v>6255</v>
      </c>
      <c r="J11" t="s">
        <v>56</v>
      </c>
      <c r="K11">
        <v>109</v>
      </c>
      <c r="L11" t="s">
        <v>6256</v>
      </c>
      <c r="M11" t="s">
        <v>6257</v>
      </c>
      <c r="N11">
        <v>1</v>
      </c>
      <c r="O11">
        <v>1</v>
      </c>
      <c r="P11">
        <v>5</v>
      </c>
      <c r="Q11" t="s">
        <v>3899</v>
      </c>
      <c r="R11">
        <v>6</v>
      </c>
      <c r="S11">
        <v>6</v>
      </c>
      <c r="T11">
        <v>5</v>
      </c>
      <c r="U11" t="s">
        <v>3899</v>
      </c>
      <c r="V11" t="s">
        <v>56</v>
      </c>
      <c r="W11" t="s">
        <v>56</v>
      </c>
      <c r="X11" t="s">
        <v>56</v>
      </c>
      <c r="Y11" t="s">
        <v>56</v>
      </c>
      <c r="Z11" t="s">
        <v>56</v>
      </c>
      <c r="AA11" t="s">
        <v>56</v>
      </c>
      <c r="AB11" t="s">
        <v>56</v>
      </c>
      <c r="AC11" t="s">
        <v>56</v>
      </c>
      <c r="AD11" t="s">
        <v>56</v>
      </c>
      <c r="AE11" t="s">
        <v>56</v>
      </c>
      <c r="AF11" t="s">
        <v>56</v>
      </c>
      <c r="AG11" t="s">
        <v>6258</v>
      </c>
      <c r="AH11" t="s">
        <v>6259</v>
      </c>
      <c r="AI11">
        <v>2</v>
      </c>
      <c r="AJ11" t="s">
        <v>4776</v>
      </c>
    </row>
    <row r="12" spans="1:36" x14ac:dyDescent="0.25">
      <c r="A12" t="str">
        <f>"20200124167016999576"</f>
        <v>20200124167016999576</v>
      </c>
      <c r="B12">
        <v>3</v>
      </c>
      <c r="C12">
        <v>2</v>
      </c>
      <c r="D12" t="s">
        <v>5776</v>
      </c>
      <c r="E12" t="s">
        <v>66</v>
      </c>
      <c r="F12" t="s">
        <v>1627</v>
      </c>
      <c r="G12" t="s">
        <v>56</v>
      </c>
      <c r="H12" t="s">
        <v>1627</v>
      </c>
      <c r="I12" t="s">
        <v>6260</v>
      </c>
      <c r="J12" t="s">
        <v>56</v>
      </c>
      <c r="K12">
        <v>109</v>
      </c>
      <c r="L12" t="s">
        <v>6256</v>
      </c>
      <c r="M12" t="s">
        <v>6261</v>
      </c>
      <c r="N12">
        <v>1</v>
      </c>
      <c r="O12">
        <v>1</v>
      </c>
      <c r="P12">
        <v>5</v>
      </c>
      <c r="Q12" t="s">
        <v>3899</v>
      </c>
      <c r="R12">
        <v>1</v>
      </c>
      <c r="S12">
        <v>1</v>
      </c>
      <c r="T12">
        <v>5</v>
      </c>
      <c r="U12" t="s">
        <v>3899</v>
      </c>
      <c r="V12" t="s">
        <v>56</v>
      </c>
      <c r="W12" t="s">
        <v>56</v>
      </c>
      <c r="X12" t="s">
        <v>56</v>
      </c>
      <c r="Y12" t="s">
        <v>56</v>
      </c>
      <c r="Z12" t="s">
        <v>56</v>
      </c>
      <c r="AA12" t="s">
        <v>56</v>
      </c>
      <c r="AB12" t="s">
        <v>56</v>
      </c>
      <c r="AC12" t="s">
        <v>56</v>
      </c>
      <c r="AD12" t="s">
        <v>56</v>
      </c>
      <c r="AE12" t="s">
        <v>56</v>
      </c>
      <c r="AF12" t="s">
        <v>56</v>
      </c>
      <c r="AG12" t="s">
        <v>6262</v>
      </c>
      <c r="AH12" t="s">
        <v>6263</v>
      </c>
      <c r="AI12">
        <v>2</v>
      </c>
      <c r="AJ12" t="s">
        <v>4776</v>
      </c>
    </row>
    <row r="13" spans="1:36" x14ac:dyDescent="0.25">
      <c r="A13" t="str">
        <f>"20200124154017012962"</f>
        <v>20200124154017012962</v>
      </c>
      <c r="B13">
        <v>1</v>
      </c>
      <c r="C13">
        <v>2</v>
      </c>
      <c r="D13" t="s">
        <v>5776</v>
      </c>
      <c r="E13" t="s">
        <v>66</v>
      </c>
      <c r="F13" t="s">
        <v>1627</v>
      </c>
      <c r="G13" t="s">
        <v>56</v>
      </c>
      <c r="H13" t="s">
        <v>1627</v>
      </c>
      <c r="I13" t="s">
        <v>6264</v>
      </c>
      <c r="J13" t="s">
        <v>56</v>
      </c>
      <c r="K13">
        <v>139</v>
      </c>
      <c r="L13" t="s">
        <v>6228</v>
      </c>
      <c r="M13" t="s">
        <v>6265</v>
      </c>
      <c r="N13">
        <v>270</v>
      </c>
      <c r="O13">
        <v>6</v>
      </c>
      <c r="P13">
        <v>2</v>
      </c>
      <c r="Q13" t="s">
        <v>3897</v>
      </c>
      <c r="R13">
        <v>90</v>
      </c>
      <c r="S13">
        <v>270</v>
      </c>
      <c r="T13">
        <v>3</v>
      </c>
      <c r="U13" t="s">
        <v>3911</v>
      </c>
      <c r="V13" t="s">
        <v>56</v>
      </c>
      <c r="W13" t="s">
        <v>56</v>
      </c>
      <c r="X13" t="s">
        <v>56</v>
      </c>
      <c r="Y13" t="s">
        <v>56</v>
      </c>
      <c r="Z13" t="s">
        <v>56</v>
      </c>
      <c r="AA13" t="s">
        <v>56</v>
      </c>
      <c r="AB13" t="s">
        <v>56</v>
      </c>
      <c r="AC13" t="s">
        <v>56</v>
      </c>
      <c r="AD13" t="s">
        <v>56</v>
      </c>
      <c r="AE13" t="s">
        <v>56</v>
      </c>
      <c r="AF13" t="s">
        <v>56</v>
      </c>
      <c r="AG13" t="s">
        <v>6266</v>
      </c>
      <c r="AH13" t="s">
        <v>6267</v>
      </c>
      <c r="AI13">
        <v>1</v>
      </c>
      <c r="AJ13" t="s">
        <v>3902</v>
      </c>
    </row>
    <row r="14" spans="1:36" x14ac:dyDescent="0.25">
      <c r="A14" t="str">
        <f>"20200124117017013493"</f>
        <v>20200124117017013493</v>
      </c>
      <c r="B14">
        <v>1</v>
      </c>
      <c r="C14">
        <v>2</v>
      </c>
      <c r="D14" t="s">
        <v>5776</v>
      </c>
      <c r="E14" t="s">
        <v>66</v>
      </c>
      <c r="F14" t="s">
        <v>1627</v>
      </c>
      <c r="G14" t="s">
        <v>56</v>
      </c>
      <c r="H14" t="s">
        <v>1627</v>
      </c>
      <c r="I14" t="s">
        <v>6268</v>
      </c>
      <c r="J14" t="s">
        <v>56</v>
      </c>
      <c r="K14">
        <v>139</v>
      </c>
      <c r="L14" t="s">
        <v>6228</v>
      </c>
      <c r="M14" t="s">
        <v>6269</v>
      </c>
      <c r="N14">
        <v>1</v>
      </c>
      <c r="O14">
        <v>8</v>
      </c>
      <c r="P14">
        <v>2</v>
      </c>
      <c r="Q14" t="s">
        <v>3897</v>
      </c>
      <c r="R14">
        <v>90</v>
      </c>
      <c r="S14">
        <v>270</v>
      </c>
      <c r="T14">
        <v>3</v>
      </c>
      <c r="U14" t="s">
        <v>3911</v>
      </c>
      <c r="V14" t="s">
        <v>56</v>
      </c>
      <c r="W14" t="s">
        <v>56</v>
      </c>
      <c r="X14" t="s">
        <v>56</v>
      </c>
      <c r="Y14" t="s">
        <v>56</v>
      </c>
      <c r="Z14" t="s">
        <v>56</v>
      </c>
      <c r="AA14" t="s">
        <v>56</v>
      </c>
      <c r="AB14" t="s">
        <v>56</v>
      </c>
      <c r="AC14" t="s">
        <v>56</v>
      </c>
      <c r="AD14" t="s">
        <v>56</v>
      </c>
      <c r="AE14" t="s">
        <v>56</v>
      </c>
      <c r="AF14" t="s">
        <v>56</v>
      </c>
      <c r="AG14" t="s">
        <v>6268</v>
      </c>
      <c r="AH14" t="s">
        <v>6270</v>
      </c>
      <c r="AI14">
        <v>1</v>
      </c>
      <c r="AJ14" t="s">
        <v>3902</v>
      </c>
    </row>
    <row r="15" spans="1:36" x14ac:dyDescent="0.25">
      <c r="A15" t="str">
        <f>"20200124193017013723"</f>
        <v>20200124193017013723</v>
      </c>
      <c r="B15">
        <v>1</v>
      </c>
      <c r="C15">
        <v>2</v>
      </c>
      <c r="D15" t="s">
        <v>5776</v>
      </c>
      <c r="E15" t="s">
        <v>66</v>
      </c>
      <c r="F15" t="s">
        <v>1627</v>
      </c>
      <c r="G15" t="s">
        <v>56</v>
      </c>
      <c r="H15" t="s">
        <v>1627</v>
      </c>
      <c r="I15" t="s">
        <v>6271</v>
      </c>
      <c r="J15" t="s">
        <v>56</v>
      </c>
      <c r="K15">
        <v>139</v>
      </c>
      <c r="L15" t="s">
        <v>6228</v>
      </c>
      <c r="M15" t="s">
        <v>6272</v>
      </c>
      <c r="N15">
        <v>4</v>
      </c>
      <c r="O15">
        <v>24</v>
      </c>
      <c r="P15">
        <v>2</v>
      </c>
      <c r="Q15" t="s">
        <v>3897</v>
      </c>
      <c r="R15">
        <v>30</v>
      </c>
      <c r="S15">
        <v>120</v>
      </c>
      <c r="T15">
        <v>3</v>
      </c>
      <c r="U15" t="s">
        <v>3911</v>
      </c>
      <c r="V15" t="s">
        <v>56</v>
      </c>
      <c r="W15" t="s">
        <v>56</v>
      </c>
      <c r="X15" t="s">
        <v>56</v>
      </c>
      <c r="Y15" t="s">
        <v>56</v>
      </c>
      <c r="Z15" t="s">
        <v>56</v>
      </c>
      <c r="AA15" t="s">
        <v>56</v>
      </c>
      <c r="AB15" t="s">
        <v>56</v>
      </c>
      <c r="AC15" t="s">
        <v>56</v>
      </c>
      <c r="AD15" t="s">
        <v>56</v>
      </c>
      <c r="AE15" t="s">
        <v>56</v>
      </c>
      <c r="AF15" t="s">
        <v>56</v>
      </c>
      <c r="AG15" t="s">
        <v>6273</v>
      </c>
      <c r="AH15" t="s">
        <v>6274</v>
      </c>
      <c r="AI15">
        <v>1</v>
      </c>
      <c r="AJ15" t="s">
        <v>3902</v>
      </c>
    </row>
    <row r="16" spans="1:36" x14ac:dyDescent="0.25">
      <c r="A16" t="str">
        <f>"20200124111017014124"</f>
        <v>20200124111017014124</v>
      </c>
      <c r="B16">
        <v>1</v>
      </c>
      <c r="C16">
        <v>2</v>
      </c>
      <c r="D16" t="s">
        <v>5776</v>
      </c>
      <c r="E16" t="s">
        <v>66</v>
      </c>
      <c r="F16" t="s">
        <v>1627</v>
      </c>
      <c r="G16" t="s">
        <v>56</v>
      </c>
      <c r="H16" t="s">
        <v>1627</v>
      </c>
      <c r="I16" t="s">
        <v>6275</v>
      </c>
      <c r="J16" t="s">
        <v>56</v>
      </c>
      <c r="K16">
        <v>139</v>
      </c>
      <c r="L16" t="s">
        <v>6228</v>
      </c>
      <c r="M16" t="s">
        <v>6276</v>
      </c>
      <c r="N16">
        <v>1</v>
      </c>
      <c r="O16">
        <v>6</v>
      </c>
      <c r="P16">
        <v>2</v>
      </c>
      <c r="Q16" t="s">
        <v>3897</v>
      </c>
      <c r="R16">
        <v>3</v>
      </c>
      <c r="S16">
        <v>360</v>
      </c>
      <c r="T16">
        <v>5</v>
      </c>
      <c r="U16" t="s">
        <v>3899</v>
      </c>
      <c r="V16" t="s">
        <v>56</v>
      </c>
      <c r="W16" t="s">
        <v>56</v>
      </c>
      <c r="X16" t="s">
        <v>56</v>
      </c>
      <c r="Y16" t="s">
        <v>56</v>
      </c>
      <c r="Z16" t="s">
        <v>56</v>
      </c>
      <c r="AA16" t="s">
        <v>56</v>
      </c>
      <c r="AB16" t="s">
        <v>56</v>
      </c>
      <c r="AC16" t="s">
        <v>56</v>
      </c>
      <c r="AD16" t="s">
        <v>56</v>
      </c>
      <c r="AE16" t="s">
        <v>56</v>
      </c>
      <c r="AF16" t="s">
        <v>56</v>
      </c>
      <c r="AG16" t="s">
        <v>6277</v>
      </c>
      <c r="AH16" t="s">
        <v>6278</v>
      </c>
      <c r="AI16">
        <v>1</v>
      </c>
      <c r="AJ16" t="s">
        <v>3902</v>
      </c>
    </row>
    <row r="17" spans="1:36" x14ac:dyDescent="0.25">
      <c r="A17" t="str">
        <f>"20200124166017015432"</f>
        <v>20200124166017015432</v>
      </c>
      <c r="B17">
        <v>1</v>
      </c>
      <c r="C17">
        <v>2</v>
      </c>
      <c r="D17" t="s">
        <v>5776</v>
      </c>
      <c r="E17" t="s">
        <v>66</v>
      </c>
      <c r="F17" t="s">
        <v>1627</v>
      </c>
      <c r="G17" t="s">
        <v>56</v>
      </c>
      <c r="H17" t="s">
        <v>1627</v>
      </c>
      <c r="I17" t="s">
        <v>6279</v>
      </c>
      <c r="J17" t="s">
        <v>56</v>
      </c>
      <c r="K17">
        <v>139</v>
      </c>
      <c r="L17" t="s">
        <v>6228</v>
      </c>
      <c r="M17" t="s">
        <v>6280</v>
      </c>
      <c r="N17">
        <v>1</v>
      </c>
      <c r="O17">
        <v>12</v>
      </c>
      <c r="P17">
        <v>2</v>
      </c>
      <c r="Q17" t="s">
        <v>3897</v>
      </c>
      <c r="R17">
        <v>90</v>
      </c>
      <c r="S17">
        <v>180</v>
      </c>
      <c r="T17">
        <v>3</v>
      </c>
      <c r="U17" t="s">
        <v>3911</v>
      </c>
      <c r="V17" t="s">
        <v>56</v>
      </c>
      <c r="W17" t="s">
        <v>56</v>
      </c>
      <c r="X17" t="s">
        <v>56</v>
      </c>
      <c r="Y17" t="s">
        <v>56</v>
      </c>
      <c r="Z17" t="s">
        <v>56</v>
      </c>
      <c r="AA17" t="s">
        <v>56</v>
      </c>
      <c r="AB17" t="s">
        <v>56</v>
      </c>
      <c r="AC17" t="s">
        <v>56</v>
      </c>
      <c r="AD17" t="s">
        <v>56</v>
      </c>
      <c r="AE17" t="s">
        <v>56</v>
      </c>
      <c r="AF17" t="s">
        <v>56</v>
      </c>
      <c r="AG17" t="s">
        <v>6281</v>
      </c>
      <c r="AH17" t="s">
        <v>6282</v>
      </c>
      <c r="AI17">
        <v>1</v>
      </c>
      <c r="AJ17" t="s">
        <v>3902</v>
      </c>
    </row>
    <row r="18" spans="1:36" x14ac:dyDescent="0.25">
      <c r="A18" t="str">
        <f>"20200124160017016097"</f>
        <v>20200124160017016097</v>
      </c>
      <c r="B18">
        <v>1</v>
      </c>
      <c r="C18">
        <v>1</v>
      </c>
      <c r="D18" t="s">
        <v>5751</v>
      </c>
      <c r="E18" t="s">
        <v>66</v>
      </c>
      <c r="F18" t="s">
        <v>1627</v>
      </c>
      <c r="G18" t="s">
        <v>56</v>
      </c>
      <c r="H18" t="s">
        <v>1627</v>
      </c>
      <c r="I18" t="s">
        <v>6283</v>
      </c>
      <c r="J18" t="s">
        <v>56</v>
      </c>
      <c r="K18">
        <v>150</v>
      </c>
      <c r="L18" t="s">
        <v>6284</v>
      </c>
      <c r="M18" t="s">
        <v>6285</v>
      </c>
      <c r="N18">
        <v>1</v>
      </c>
      <c r="O18">
        <v>1</v>
      </c>
      <c r="P18">
        <v>8</v>
      </c>
      <c r="Q18" t="s">
        <v>5751</v>
      </c>
      <c r="R18" t="s">
        <v>56</v>
      </c>
      <c r="S18">
        <v>1</v>
      </c>
      <c r="T18" t="s">
        <v>56</v>
      </c>
      <c r="U18" t="s">
        <v>56</v>
      </c>
      <c r="V18">
        <v>1</v>
      </c>
      <c r="W18" t="s">
        <v>6286</v>
      </c>
      <c r="X18" t="s">
        <v>56</v>
      </c>
      <c r="Y18" t="s">
        <v>56</v>
      </c>
      <c r="Z18" t="s">
        <v>56</v>
      </c>
      <c r="AA18" t="s">
        <v>56</v>
      </c>
      <c r="AB18" t="s">
        <v>56</v>
      </c>
      <c r="AC18" t="s">
        <v>56</v>
      </c>
      <c r="AD18" t="s">
        <v>56</v>
      </c>
      <c r="AE18" t="s">
        <v>56</v>
      </c>
      <c r="AF18" t="s">
        <v>56</v>
      </c>
      <c r="AG18" t="s">
        <v>6287</v>
      </c>
      <c r="AH18" t="s">
        <v>6288</v>
      </c>
      <c r="AI18">
        <v>3</v>
      </c>
      <c r="AJ18" t="s">
        <v>5993</v>
      </c>
    </row>
    <row r="19" spans="1:36" x14ac:dyDescent="0.25">
      <c r="A19" t="str">
        <f>"20200124178017018380"</f>
        <v>20200124178017018380</v>
      </c>
      <c r="B19">
        <v>1</v>
      </c>
      <c r="C19">
        <v>2</v>
      </c>
      <c r="D19" t="s">
        <v>5776</v>
      </c>
      <c r="E19" t="s">
        <v>66</v>
      </c>
      <c r="F19" t="s">
        <v>1627</v>
      </c>
      <c r="G19" t="s">
        <v>56</v>
      </c>
      <c r="H19" t="s">
        <v>1627</v>
      </c>
      <c r="I19" t="s">
        <v>6289</v>
      </c>
      <c r="J19" t="s">
        <v>56</v>
      </c>
      <c r="K19">
        <v>139</v>
      </c>
      <c r="L19" t="s">
        <v>6228</v>
      </c>
      <c r="M19" t="s">
        <v>6290</v>
      </c>
      <c r="N19">
        <v>4</v>
      </c>
      <c r="O19">
        <v>1</v>
      </c>
      <c r="P19">
        <v>3</v>
      </c>
      <c r="Q19" t="s">
        <v>3911</v>
      </c>
      <c r="R19">
        <v>3</v>
      </c>
      <c r="S19">
        <v>360</v>
      </c>
      <c r="T19">
        <v>5</v>
      </c>
      <c r="U19" t="s">
        <v>3899</v>
      </c>
      <c r="V19" t="s">
        <v>56</v>
      </c>
      <c r="W19" t="s">
        <v>56</v>
      </c>
      <c r="X19" t="s">
        <v>56</v>
      </c>
      <c r="Y19" t="s">
        <v>56</v>
      </c>
      <c r="Z19" t="s">
        <v>56</v>
      </c>
      <c r="AA19" t="s">
        <v>56</v>
      </c>
      <c r="AB19" t="s">
        <v>56</v>
      </c>
      <c r="AC19" t="s">
        <v>56</v>
      </c>
      <c r="AD19" t="s">
        <v>56</v>
      </c>
      <c r="AE19" t="s">
        <v>56</v>
      </c>
      <c r="AF19" t="s">
        <v>56</v>
      </c>
      <c r="AG19" t="s">
        <v>6291</v>
      </c>
      <c r="AH19" t="s">
        <v>6292</v>
      </c>
      <c r="AI19">
        <v>1</v>
      </c>
      <c r="AJ19" t="s">
        <v>3902</v>
      </c>
    </row>
    <row r="20" spans="1:36" x14ac:dyDescent="0.25">
      <c r="A20" t="str">
        <f>"20200124110017020080"</f>
        <v>20200124110017020080</v>
      </c>
      <c r="B20">
        <v>1</v>
      </c>
      <c r="C20">
        <v>2</v>
      </c>
      <c r="D20" t="s">
        <v>5776</v>
      </c>
      <c r="E20" t="s">
        <v>66</v>
      </c>
      <c r="F20" t="s">
        <v>1627</v>
      </c>
      <c r="G20" t="s">
        <v>56</v>
      </c>
      <c r="H20" t="s">
        <v>1627</v>
      </c>
      <c r="I20" t="s">
        <v>6293</v>
      </c>
      <c r="J20" t="s">
        <v>56</v>
      </c>
      <c r="K20">
        <v>139</v>
      </c>
      <c r="L20" t="s">
        <v>6228</v>
      </c>
      <c r="M20" t="s">
        <v>6294</v>
      </c>
      <c r="N20">
        <v>1</v>
      </c>
      <c r="O20">
        <v>6</v>
      </c>
      <c r="P20">
        <v>2</v>
      </c>
      <c r="Q20" t="s">
        <v>3897</v>
      </c>
      <c r="R20">
        <v>90</v>
      </c>
      <c r="S20">
        <v>360</v>
      </c>
      <c r="T20">
        <v>3</v>
      </c>
      <c r="U20" t="s">
        <v>3911</v>
      </c>
      <c r="V20" t="s">
        <v>56</v>
      </c>
      <c r="W20" t="s">
        <v>56</v>
      </c>
      <c r="X20" t="s">
        <v>56</v>
      </c>
      <c r="Y20" t="s">
        <v>56</v>
      </c>
      <c r="Z20" t="s">
        <v>56</v>
      </c>
      <c r="AA20" t="s">
        <v>56</v>
      </c>
      <c r="AB20" t="s">
        <v>56</v>
      </c>
      <c r="AC20" t="s">
        <v>56</v>
      </c>
      <c r="AD20" t="s">
        <v>56</v>
      </c>
      <c r="AE20" t="s">
        <v>56</v>
      </c>
      <c r="AF20" t="s">
        <v>56</v>
      </c>
      <c r="AG20" t="s">
        <v>6295</v>
      </c>
      <c r="AH20" t="s">
        <v>6296</v>
      </c>
      <c r="AI20">
        <v>1</v>
      </c>
      <c r="AJ20" t="s">
        <v>3902</v>
      </c>
    </row>
    <row r="21" spans="1:36" x14ac:dyDescent="0.25">
      <c r="A21" t="str">
        <f>"20200124124017020895"</f>
        <v>20200124124017020895</v>
      </c>
      <c r="B21">
        <v>1</v>
      </c>
      <c r="C21">
        <v>2</v>
      </c>
      <c r="D21" t="s">
        <v>5776</v>
      </c>
      <c r="E21" t="s">
        <v>66</v>
      </c>
      <c r="F21" t="s">
        <v>1627</v>
      </c>
      <c r="G21" t="s">
        <v>56</v>
      </c>
      <c r="H21" t="s">
        <v>1627</v>
      </c>
      <c r="I21" t="s">
        <v>6297</v>
      </c>
      <c r="J21" t="s">
        <v>56</v>
      </c>
      <c r="K21">
        <v>139</v>
      </c>
      <c r="L21" t="s">
        <v>6228</v>
      </c>
      <c r="M21" t="s">
        <v>6298</v>
      </c>
      <c r="N21">
        <v>1</v>
      </c>
      <c r="O21">
        <v>8</v>
      </c>
      <c r="P21">
        <v>2</v>
      </c>
      <c r="Q21" t="s">
        <v>3897</v>
      </c>
      <c r="R21">
        <v>30</v>
      </c>
      <c r="S21">
        <v>90</v>
      </c>
      <c r="T21">
        <v>3</v>
      </c>
      <c r="U21" t="s">
        <v>3911</v>
      </c>
      <c r="V21" t="s">
        <v>56</v>
      </c>
      <c r="W21" t="s">
        <v>56</v>
      </c>
      <c r="X21" t="s">
        <v>56</v>
      </c>
      <c r="Y21" t="s">
        <v>56</v>
      </c>
      <c r="Z21" t="s">
        <v>56</v>
      </c>
      <c r="AA21" t="s">
        <v>56</v>
      </c>
      <c r="AB21" t="s">
        <v>56</v>
      </c>
      <c r="AC21" t="s">
        <v>56</v>
      </c>
      <c r="AD21" t="s">
        <v>56</v>
      </c>
      <c r="AE21" t="s">
        <v>56</v>
      </c>
      <c r="AF21" t="s">
        <v>56</v>
      </c>
      <c r="AG21" t="s">
        <v>6299</v>
      </c>
      <c r="AH21" t="s">
        <v>6300</v>
      </c>
      <c r="AI21">
        <v>1</v>
      </c>
      <c r="AJ21" t="s">
        <v>3902</v>
      </c>
    </row>
    <row r="22" spans="1:36" x14ac:dyDescent="0.25">
      <c r="A22" t="str">
        <f>"20200124151017021518"</f>
        <v>20200124151017021518</v>
      </c>
      <c r="B22">
        <v>1</v>
      </c>
      <c r="C22">
        <v>2</v>
      </c>
      <c r="D22" t="s">
        <v>5776</v>
      </c>
      <c r="E22" t="s">
        <v>66</v>
      </c>
      <c r="F22" t="s">
        <v>1627</v>
      </c>
      <c r="G22" t="s">
        <v>56</v>
      </c>
      <c r="H22" t="s">
        <v>1627</v>
      </c>
      <c r="I22" t="s">
        <v>6301</v>
      </c>
      <c r="J22" t="s">
        <v>56</v>
      </c>
      <c r="K22">
        <v>139</v>
      </c>
      <c r="L22" t="s">
        <v>6228</v>
      </c>
      <c r="M22" t="s">
        <v>6302</v>
      </c>
      <c r="N22">
        <v>1</v>
      </c>
      <c r="O22">
        <v>8</v>
      </c>
      <c r="P22">
        <v>2</v>
      </c>
      <c r="Q22" t="s">
        <v>3897</v>
      </c>
      <c r="R22">
        <v>3</v>
      </c>
      <c r="S22">
        <v>270</v>
      </c>
      <c r="T22">
        <v>2</v>
      </c>
      <c r="U22" t="s">
        <v>3897</v>
      </c>
      <c r="V22" t="s">
        <v>56</v>
      </c>
      <c r="W22" t="s">
        <v>56</v>
      </c>
      <c r="X22" t="s">
        <v>56</v>
      </c>
      <c r="Y22" t="s">
        <v>56</v>
      </c>
      <c r="Z22" t="s">
        <v>56</v>
      </c>
      <c r="AA22" t="s">
        <v>56</v>
      </c>
      <c r="AB22" t="s">
        <v>56</v>
      </c>
      <c r="AC22" t="s">
        <v>56</v>
      </c>
      <c r="AD22" t="s">
        <v>56</v>
      </c>
      <c r="AE22" t="s">
        <v>56</v>
      </c>
      <c r="AF22" t="s">
        <v>56</v>
      </c>
      <c r="AG22" t="s">
        <v>6303</v>
      </c>
      <c r="AH22" t="s">
        <v>6304</v>
      </c>
      <c r="AI22">
        <v>3</v>
      </c>
      <c r="AJ22" t="s">
        <v>5993</v>
      </c>
    </row>
    <row r="23" spans="1:36" x14ac:dyDescent="0.25">
      <c r="A23" t="str">
        <f>"20200125176017026687"</f>
        <v>20200125176017026687</v>
      </c>
      <c r="B23">
        <v>1</v>
      </c>
      <c r="C23">
        <v>2</v>
      </c>
      <c r="D23" t="s">
        <v>5776</v>
      </c>
      <c r="E23" t="s">
        <v>66</v>
      </c>
      <c r="F23" t="s">
        <v>1627</v>
      </c>
      <c r="G23" t="s">
        <v>56</v>
      </c>
      <c r="H23" t="s">
        <v>1627</v>
      </c>
      <c r="I23" t="s">
        <v>6305</v>
      </c>
      <c r="J23" t="s">
        <v>56</v>
      </c>
      <c r="K23">
        <v>139</v>
      </c>
      <c r="L23" t="s">
        <v>6228</v>
      </c>
      <c r="M23" t="s">
        <v>6306</v>
      </c>
      <c r="N23">
        <v>1</v>
      </c>
      <c r="O23">
        <v>8</v>
      </c>
      <c r="P23">
        <v>2</v>
      </c>
      <c r="Q23" t="s">
        <v>3897</v>
      </c>
      <c r="R23">
        <v>180</v>
      </c>
      <c r="S23">
        <v>540</v>
      </c>
      <c r="T23">
        <v>3</v>
      </c>
      <c r="U23" t="s">
        <v>3911</v>
      </c>
      <c r="V23" t="s">
        <v>56</v>
      </c>
      <c r="W23" t="s">
        <v>56</v>
      </c>
      <c r="X23" t="s">
        <v>56</v>
      </c>
      <c r="Y23" t="s">
        <v>56</v>
      </c>
      <c r="Z23" t="s">
        <v>56</v>
      </c>
      <c r="AA23" t="s">
        <v>56</v>
      </c>
      <c r="AB23" t="s">
        <v>56</v>
      </c>
      <c r="AC23" t="s">
        <v>56</v>
      </c>
      <c r="AD23" t="s">
        <v>56</v>
      </c>
      <c r="AE23" t="s">
        <v>56</v>
      </c>
      <c r="AF23" t="s">
        <v>56</v>
      </c>
      <c r="AG23" t="s">
        <v>6307</v>
      </c>
      <c r="AH23" t="s">
        <v>6308</v>
      </c>
      <c r="AI23">
        <v>1</v>
      </c>
      <c r="AJ23" t="s">
        <v>3902</v>
      </c>
    </row>
    <row r="24" spans="1:36" x14ac:dyDescent="0.25">
      <c r="A24" t="str">
        <f>"20200125154017027008"</f>
        <v>20200125154017027008</v>
      </c>
      <c r="B24">
        <v>1</v>
      </c>
      <c r="C24">
        <v>1</v>
      </c>
      <c r="D24" t="s">
        <v>5751</v>
      </c>
      <c r="E24" t="s">
        <v>66</v>
      </c>
      <c r="F24" t="s">
        <v>1627</v>
      </c>
      <c r="G24" t="s">
        <v>56</v>
      </c>
      <c r="H24" t="s">
        <v>1627</v>
      </c>
      <c r="I24" t="s">
        <v>6309</v>
      </c>
      <c r="J24" t="s">
        <v>56</v>
      </c>
      <c r="K24">
        <v>108</v>
      </c>
      <c r="L24" t="s">
        <v>6310</v>
      </c>
      <c r="M24" t="s">
        <v>6311</v>
      </c>
      <c r="N24">
        <v>1</v>
      </c>
      <c r="O24">
        <v>4</v>
      </c>
      <c r="P24">
        <v>2</v>
      </c>
      <c r="Q24" t="s">
        <v>3897</v>
      </c>
      <c r="R24">
        <v>30</v>
      </c>
      <c r="S24">
        <v>1</v>
      </c>
      <c r="T24">
        <v>3</v>
      </c>
      <c r="U24" t="s">
        <v>3911</v>
      </c>
      <c r="V24" t="s">
        <v>56</v>
      </c>
      <c r="W24" t="s">
        <v>56</v>
      </c>
      <c r="X24" t="s">
        <v>56</v>
      </c>
      <c r="Y24" t="s">
        <v>56</v>
      </c>
      <c r="Z24" t="s">
        <v>56</v>
      </c>
      <c r="AA24" t="s">
        <v>56</v>
      </c>
      <c r="AB24" t="s">
        <v>56</v>
      </c>
      <c r="AC24" t="s">
        <v>56</v>
      </c>
      <c r="AD24" t="s">
        <v>56</v>
      </c>
      <c r="AE24" t="s">
        <v>56</v>
      </c>
      <c r="AF24" t="s">
        <v>56</v>
      </c>
      <c r="AG24" t="s">
        <v>6312</v>
      </c>
      <c r="AH24" t="s">
        <v>6313</v>
      </c>
      <c r="AI24">
        <v>3</v>
      </c>
      <c r="AJ24" t="s">
        <v>5993</v>
      </c>
    </row>
    <row r="25" spans="1:36" x14ac:dyDescent="0.25">
      <c r="A25" t="str">
        <f>"20200125152017030037"</f>
        <v>20200125152017030037</v>
      </c>
      <c r="B25">
        <v>1</v>
      </c>
      <c r="C25">
        <v>2</v>
      </c>
      <c r="D25" t="s">
        <v>5776</v>
      </c>
      <c r="E25" t="s">
        <v>66</v>
      </c>
      <c r="F25" t="s">
        <v>1627</v>
      </c>
      <c r="G25" t="s">
        <v>56</v>
      </c>
      <c r="H25" t="s">
        <v>1627</v>
      </c>
      <c r="I25" t="s">
        <v>6314</v>
      </c>
      <c r="J25" t="s">
        <v>56</v>
      </c>
      <c r="K25">
        <v>139</v>
      </c>
      <c r="L25" t="s">
        <v>6228</v>
      </c>
      <c r="M25" t="s">
        <v>6315</v>
      </c>
      <c r="N25">
        <v>1</v>
      </c>
      <c r="O25">
        <v>8</v>
      </c>
      <c r="P25">
        <v>2</v>
      </c>
      <c r="Q25" t="s">
        <v>3897</v>
      </c>
      <c r="R25">
        <v>180</v>
      </c>
      <c r="S25">
        <v>540</v>
      </c>
      <c r="T25">
        <v>3</v>
      </c>
      <c r="U25" t="s">
        <v>3911</v>
      </c>
      <c r="V25" t="s">
        <v>56</v>
      </c>
      <c r="W25" t="s">
        <v>56</v>
      </c>
      <c r="X25" t="s">
        <v>56</v>
      </c>
      <c r="Y25" t="s">
        <v>56</v>
      </c>
      <c r="Z25" t="s">
        <v>56</v>
      </c>
      <c r="AA25" t="s">
        <v>56</v>
      </c>
      <c r="AB25" t="s">
        <v>56</v>
      </c>
      <c r="AC25" t="s">
        <v>56</v>
      </c>
      <c r="AD25" t="s">
        <v>56</v>
      </c>
      <c r="AE25" t="s">
        <v>56</v>
      </c>
      <c r="AF25" t="s">
        <v>56</v>
      </c>
      <c r="AG25" t="s">
        <v>6316</v>
      </c>
      <c r="AH25" t="s">
        <v>6317</v>
      </c>
      <c r="AI25">
        <v>1</v>
      </c>
      <c r="AJ25" t="s">
        <v>3902</v>
      </c>
    </row>
    <row r="26" spans="1:36" x14ac:dyDescent="0.25">
      <c r="A26" t="str">
        <f>"20200201168017188462"</f>
        <v>20200201168017188462</v>
      </c>
      <c r="B26">
        <v>1</v>
      </c>
      <c r="C26">
        <v>2</v>
      </c>
      <c r="D26" t="s">
        <v>5776</v>
      </c>
      <c r="E26" t="s">
        <v>66</v>
      </c>
      <c r="F26" t="s">
        <v>1627</v>
      </c>
      <c r="G26" t="s">
        <v>56</v>
      </c>
      <c r="H26" t="s">
        <v>1627</v>
      </c>
      <c r="I26" t="s">
        <v>6318</v>
      </c>
      <c r="J26" t="s">
        <v>56</v>
      </c>
      <c r="K26">
        <v>139</v>
      </c>
      <c r="L26" t="s">
        <v>6228</v>
      </c>
      <c r="M26" t="s">
        <v>6319</v>
      </c>
      <c r="N26">
        <v>1</v>
      </c>
      <c r="O26">
        <v>6</v>
      </c>
      <c r="P26">
        <v>2</v>
      </c>
      <c r="Q26" t="s">
        <v>3897</v>
      </c>
      <c r="R26">
        <v>3</v>
      </c>
      <c r="S26">
        <v>360</v>
      </c>
      <c r="T26">
        <v>5</v>
      </c>
      <c r="U26" t="s">
        <v>3899</v>
      </c>
      <c r="V26" t="s">
        <v>56</v>
      </c>
      <c r="W26" t="s">
        <v>56</v>
      </c>
      <c r="X26" t="s">
        <v>56</v>
      </c>
      <c r="Y26" t="s">
        <v>56</v>
      </c>
      <c r="Z26" t="s">
        <v>56</v>
      </c>
      <c r="AA26" t="s">
        <v>56</v>
      </c>
      <c r="AB26" t="s">
        <v>56</v>
      </c>
      <c r="AC26" t="s">
        <v>56</v>
      </c>
      <c r="AD26" t="s">
        <v>56</v>
      </c>
      <c r="AE26" t="s">
        <v>56</v>
      </c>
      <c r="AF26" t="s">
        <v>56</v>
      </c>
      <c r="AG26" t="s">
        <v>6320</v>
      </c>
      <c r="AH26" t="s">
        <v>6304</v>
      </c>
      <c r="AI26">
        <v>1</v>
      </c>
      <c r="AJ26" t="s">
        <v>3902</v>
      </c>
    </row>
    <row r="27" spans="1:36" x14ac:dyDescent="0.25">
      <c r="A27" t="str">
        <f>"20200127147017042389"</f>
        <v>20200127147017042389</v>
      </c>
      <c r="B27">
        <v>1</v>
      </c>
      <c r="C27">
        <v>2</v>
      </c>
      <c r="D27" t="s">
        <v>5776</v>
      </c>
      <c r="E27" t="s">
        <v>66</v>
      </c>
      <c r="F27" t="s">
        <v>1627</v>
      </c>
      <c r="G27" t="s">
        <v>56</v>
      </c>
      <c r="H27" t="s">
        <v>1627</v>
      </c>
      <c r="I27" t="s">
        <v>6321</v>
      </c>
      <c r="J27" t="s">
        <v>56</v>
      </c>
      <c r="K27">
        <v>139</v>
      </c>
      <c r="L27" t="s">
        <v>6228</v>
      </c>
      <c r="M27" t="s">
        <v>6322</v>
      </c>
      <c r="N27">
        <v>2</v>
      </c>
      <c r="O27">
        <v>24</v>
      </c>
      <c r="P27">
        <v>2</v>
      </c>
      <c r="Q27" t="s">
        <v>3897</v>
      </c>
      <c r="R27">
        <v>60</v>
      </c>
      <c r="S27">
        <v>120</v>
      </c>
      <c r="T27">
        <v>3</v>
      </c>
      <c r="U27" t="s">
        <v>3911</v>
      </c>
      <c r="V27" t="s">
        <v>56</v>
      </c>
      <c r="W27" t="s">
        <v>56</v>
      </c>
      <c r="X27" t="s">
        <v>56</v>
      </c>
      <c r="Y27" t="s">
        <v>56</v>
      </c>
      <c r="Z27" t="s">
        <v>56</v>
      </c>
      <c r="AA27" t="s">
        <v>56</v>
      </c>
      <c r="AB27" t="s">
        <v>56</v>
      </c>
      <c r="AC27" t="s">
        <v>56</v>
      </c>
      <c r="AD27" t="s">
        <v>56</v>
      </c>
      <c r="AE27" t="s">
        <v>56</v>
      </c>
      <c r="AF27" t="s">
        <v>56</v>
      </c>
      <c r="AG27" t="s">
        <v>6323</v>
      </c>
      <c r="AH27" t="s">
        <v>6324</v>
      </c>
      <c r="AI27">
        <v>1</v>
      </c>
      <c r="AJ27" t="s">
        <v>3902</v>
      </c>
    </row>
    <row r="28" spans="1:36" x14ac:dyDescent="0.25">
      <c r="A28" t="str">
        <f>"20200201149017188299"</f>
        <v>20200201149017188299</v>
      </c>
      <c r="B28">
        <v>1</v>
      </c>
      <c r="C28">
        <v>2</v>
      </c>
      <c r="D28" t="s">
        <v>5776</v>
      </c>
      <c r="E28" t="s">
        <v>66</v>
      </c>
      <c r="F28" t="s">
        <v>1627</v>
      </c>
      <c r="G28" t="s">
        <v>56</v>
      </c>
      <c r="H28" t="s">
        <v>1627</v>
      </c>
      <c r="I28" t="s">
        <v>6325</v>
      </c>
      <c r="J28" t="s">
        <v>56</v>
      </c>
      <c r="K28">
        <v>139</v>
      </c>
      <c r="L28" t="s">
        <v>6228</v>
      </c>
      <c r="M28" t="s">
        <v>6326</v>
      </c>
      <c r="N28">
        <v>1</v>
      </c>
      <c r="O28">
        <v>8</v>
      </c>
      <c r="P28">
        <v>2</v>
      </c>
      <c r="Q28" t="s">
        <v>3897</v>
      </c>
      <c r="R28">
        <v>3</v>
      </c>
      <c r="S28">
        <v>270</v>
      </c>
      <c r="T28">
        <v>5</v>
      </c>
      <c r="U28" t="s">
        <v>3899</v>
      </c>
      <c r="V28" t="s">
        <v>56</v>
      </c>
      <c r="W28" t="s">
        <v>56</v>
      </c>
      <c r="X28" t="s">
        <v>56</v>
      </c>
      <c r="Y28" t="s">
        <v>56</v>
      </c>
      <c r="Z28" t="s">
        <v>56</v>
      </c>
      <c r="AA28" t="s">
        <v>56</v>
      </c>
      <c r="AB28" t="s">
        <v>56</v>
      </c>
      <c r="AC28" t="s">
        <v>56</v>
      </c>
      <c r="AD28" t="s">
        <v>56</v>
      </c>
      <c r="AE28" t="s">
        <v>56</v>
      </c>
      <c r="AF28" t="s">
        <v>56</v>
      </c>
      <c r="AG28" t="s">
        <v>6327</v>
      </c>
      <c r="AH28" t="s">
        <v>6328</v>
      </c>
      <c r="AI28">
        <v>1</v>
      </c>
      <c r="AJ28" t="s">
        <v>3902</v>
      </c>
    </row>
    <row r="29" spans="1:36" x14ac:dyDescent="0.25">
      <c r="A29" t="str">
        <f>"20200202152017191438"</f>
        <v>20200202152017191438</v>
      </c>
      <c r="B29">
        <v>1</v>
      </c>
      <c r="C29">
        <v>2</v>
      </c>
      <c r="D29" t="s">
        <v>5776</v>
      </c>
      <c r="E29" t="s">
        <v>66</v>
      </c>
      <c r="F29" t="s">
        <v>1627</v>
      </c>
      <c r="G29" t="s">
        <v>56</v>
      </c>
      <c r="H29" t="s">
        <v>1627</v>
      </c>
      <c r="I29" t="s">
        <v>6329</v>
      </c>
      <c r="J29" t="s">
        <v>56</v>
      </c>
      <c r="K29">
        <v>139</v>
      </c>
      <c r="L29" t="s">
        <v>6228</v>
      </c>
      <c r="M29" t="s">
        <v>6290</v>
      </c>
      <c r="N29">
        <v>3</v>
      </c>
      <c r="O29">
        <v>1</v>
      </c>
      <c r="P29">
        <v>3</v>
      </c>
      <c r="Q29" t="s">
        <v>3911</v>
      </c>
      <c r="R29">
        <v>30</v>
      </c>
      <c r="S29">
        <v>90</v>
      </c>
      <c r="T29">
        <v>3</v>
      </c>
      <c r="U29" t="s">
        <v>3911</v>
      </c>
      <c r="V29" t="s">
        <v>56</v>
      </c>
      <c r="W29" t="s">
        <v>56</v>
      </c>
      <c r="X29" t="s">
        <v>56</v>
      </c>
      <c r="Y29" t="s">
        <v>56</v>
      </c>
      <c r="Z29" t="s">
        <v>56</v>
      </c>
      <c r="AA29" t="s">
        <v>56</v>
      </c>
      <c r="AB29" t="s">
        <v>56</v>
      </c>
      <c r="AC29" t="s">
        <v>56</v>
      </c>
      <c r="AD29" t="s">
        <v>56</v>
      </c>
      <c r="AE29" t="s">
        <v>56</v>
      </c>
      <c r="AF29" t="s">
        <v>56</v>
      </c>
      <c r="AG29" t="s">
        <v>6329</v>
      </c>
      <c r="AH29" t="s">
        <v>6330</v>
      </c>
      <c r="AI29">
        <v>1</v>
      </c>
      <c r="AJ29" t="s">
        <v>3902</v>
      </c>
    </row>
    <row r="30" spans="1:36" x14ac:dyDescent="0.25">
      <c r="A30" t="str">
        <f>"20200202198017191921"</f>
        <v>20200202198017191921</v>
      </c>
      <c r="B30">
        <v>1</v>
      </c>
      <c r="C30">
        <v>2</v>
      </c>
      <c r="D30" t="s">
        <v>5776</v>
      </c>
      <c r="E30" t="s">
        <v>66</v>
      </c>
      <c r="F30" t="s">
        <v>1627</v>
      </c>
      <c r="G30" t="s">
        <v>56</v>
      </c>
      <c r="H30" t="s">
        <v>1627</v>
      </c>
      <c r="I30" t="s">
        <v>6331</v>
      </c>
      <c r="J30" t="s">
        <v>56</v>
      </c>
      <c r="K30">
        <v>139</v>
      </c>
      <c r="L30" t="s">
        <v>6228</v>
      </c>
      <c r="M30" t="s">
        <v>6332</v>
      </c>
      <c r="N30">
        <v>1</v>
      </c>
      <c r="O30">
        <v>8</v>
      </c>
      <c r="P30">
        <v>2</v>
      </c>
      <c r="Q30" t="s">
        <v>3897</v>
      </c>
      <c r="R30">
        <v>90</v>
      </c>
      <c r="S30">
        <v>270</v>
      </c>
      <c r="T30">
        <v>3</v>
      </c>
      <c r="U30" t="s">
        <v>3911</v>
      </c>
      <c r="V30" t="s">
        <v>56</v>
      </c>
      <c r="W30" t="s">
        <v>56</v>
      </c>
      <c r="X30" t="s">
        <v>56</v>
      </c>
      <c r="Y30" t="s">
        <v>56</v>
      </c>
      <c r="Z30" t="s">
        <v>56</v>
      </c>
      <c r="AA30" t="s">
        <v>56</v>
      </c>
      <c r="AB30" t="s">
        <v>56</v>
      </c>
      <c r="AC30" t="s">
        <v>56</v>
      </c>
      <c r="AD30" t="s">
        <v>56</v>
      </c>
      <c r="AE30" t="s">
        <v>56</v>
      </c>
      <c r="AF30" t="s">
        <v>56</v>
      </c>
      <c r="AG30" t="s">
        <v>6333</v>
      </c>
      <c r="AH30" t="s">
        <v>6334</v>
      </c>
      <c r="AI30">
        <v>1</v>
      </c>
      <c r="AJ30" t="s">
        <v>3902</v>
      </c>
    </row>
    <row r="31" spans="1:36" x14ac:dyDescent="0.25">
      <c r="A31" t="str">
        <f>"20200131156017158155"</f>
        <v>20200131156017158155</v>
      </c>
      <c r="B31">
        <v>1</v>
      </c>
      <c r="C31">
        <v>2</v>
      </c>
      <c r="D31" t="s">
        <v>5776</v>
      </c>
      <c r="E31" t="s">
        <v>66</v>
      </c>
      <c r="F31" t="s">
        <v>1627</v>
      </c>
      <c r="G31" t="s">
        <v>56</v>
      </c>
      <c r="H31" t="s">
        <v>1627</v>
      </c>
      <c r="I31" t="s">
        <v>6335</v>
      </c>
      <c r="J31" t="s">
        <v>56</v>
      </c>
      <c r="K31">
        <v>139</v>
      </c>
      <c r="L31" t="s">
        <v>6228</v>
      </c>
      <c r="M31" t="s">
        <v>6336</v>
      </c>
      <c r="N31">
        <v>3</v>
      </c>
      <c r="O31">
        <v>24</v>
      </c>
      <c r="P31">
        <v>2</v>
      </c>
      <c r="Q31" t="s">
        <v>3897</v>
      </c>
      <c r="R31">
        <v>3</v>
      </c>
      <c r="S31">
        <v>270</v>
      </c>
      <c r="T31">
        <v>5</v>
      </c>
      <c r="U31" t="s">
        <v>3899</v>
      </c>
      <c r="V31" t="s">
        <v>56</v>
      </c>
      <c r="W31" t="s">
        <v>56</v>
      </c>
      <c r="X31" t="s">
        <v>56</v>
      </c>
      <c r="Y31" t="s">
        <v>56</v>
      </c>
      <c r="Z31" t="s">
        <v>56</v>
      </c>
      <c r="AA31" t="s">
        <v>56</v>
      </c>
      <c r="AB31" t="s">
        <v>56</v>
      </c>
      <c r="AC31" t="s">
        <v>56</v>
      </c>
      <c r="AD31" t="s">
        <v>56</v>
      </c>
      <c r="AE31" t="s">
        <v>56</v>
      </c>
      <c r="AF31" t="s">
        <v>56</v>
      </c>
      <c r="AG31" t="s">
        <v>6337</v>
      </c>
      <c r="AH31" t="s">
        <v>6338</v>
      </c>
      <c r="AI31">
        <v>1</v>
      </c>
      <c r="AJ31" t="s">
        <v>3902</v>
      </c>
    </row>
    <row r="32" spans="1:36" x14ac:dyDescent="0.25">
      <c r="A32" t="str">
        <f>"20200131140017158366"</f>
        <v>20200131140017158366</v>
      </c>
      <c r="B32">
        <v>1</v>
      </c>
      <c r="C32">
        <v>2</v>
      </c>
      <c r="D32" t="s">
        <v>5776</v>
      </c>
      <c r="E32" t="s">
        <v>66</v>
      </c>
      <c r="F32" t="s">
        <v>1627</v>
      </c>
      <c r="G32" t="s">
        <v>56</v>
      </c>
      <c r="H32" t="s">
        <v>1627</v>
      </c>
      <c r="I32" t="s">
        <v>6339</v>
      </c>
      <c r="J32" t="s">
        <v>56</v>
      </c>
      <c r="K32">
        <v>139</v>
      </c>
      <c r="L32" t="s">
        <v>6228</v>
      </c>
      <c r="M32" t="s">
        <v>6340</v>
      </c>
      <c r="N32">
        <v>4</v>
      </c>
      <c r="O32">
        <v>1</v>
      </c>
      <c r="P32">
        <v>3</v>
      </c>
      <c r="Q32" t="s">
        <v>3911</v>
      </c>
      <c r="R32">
        <v>6</v>
      </c>
      <c r="S32">
        <v>720</v>
      </c>
      <c r="T32">
        <v>5</v>
      </c>
      <c r="U32" t="s">
        <v>3899</v>
      </c>
      <c r="V32" t="s">
        <v>56</v>
      </c>
      <c r="W32" t="s">
        <v>56</v>
      </c>
      <c r="X32" t="s">
        <v>56</v>
      </c>
      <c r="Y32" t="s">
        <v>56</v>
      </c>
      <c r="Z32" t="s">
        <v>56</v>
      </c>
      <c r="AA32" t="s">
        <v>56</v>
      </c>
      <c r="AB32" t="s">
        <v>56</v>
      </c>
      <c r="AC32" t="s">
        <v>56</v>
      </c>
      <c r="AD32" t="s">
        <v>56</v>
      </c>
      <c r="AE32" t="s">
        <v>56</v>
      </c>
      <c r="AF32" t="s">
        <v>56</v>
      </c>
      <c r="AG32" t="s">
        <v>6341</v>
      </c>
      <c r="AH32" t="s">
        <v>6342</v>
      </c>
      <c r="AI32">
        <v>1</v>
      </c>
      <c r="AJ32" t="s">
        <v>3902</v>
      </c>
    </row>
    <row r="33" spans="1:36" x14ac:dyDescent="0.25">
      <c r="A33" t="str">
        <f>"20200131140017158366"</f>
        <v>20200131140017158366</v>
      </c>
      <c r="B33">
        <v>2</v>
      </c>
      <c r="C33">
        <v>2</v>
      </c>
      <c r="D33" t="s">
        <v>5776</v>
      </c>
      <c r="E33" t="s">
        <v>66</v>
      </c>
      <c r="F33" t="s">
        <v>1627</v>
      </c>
      <c r="G33" t="s">
        <v>56</v>
      </c>
      <c r="H33" t="s">
        <v>1627</v>
      </c>
      <c r="I33" t="s">
        <v>6343</v>
      </c>
      <c r="J33" t="s">
        <v>56</v>
      </c>
      <c r="K33">
        <v>109</v>
      </c>
      <c r="L33" t="s">
        <v>6256</v>
      </c>
      <c r="M33" t="s">
        <v>6257</v>
      </c>
      <c r="N33">
        <v>1</v>
      </c>
      <c r="O33">
        <v>1</v>
      </c>
      <c r="P33">
        <v>5</v>
      </c>
      <c r="Q33" t="s">
        <v>3899</v>
      </c>
      <c r="R33">
        <v>6</v>
      </c>
      <c r="S33">
        <v>6</v>
      </c>
      <c r="T33">
        <v>5</v>
      </c>
      <c r="U33" t="s">
        <v>3899</v>
      </c>
      <c r="V33" t="s">
        <v>56</v>
      </c>
      <c r="W33" t="s">
        <v>56</v>
      </c>
      <c r="X33" t="s">
        <v>56</v>
      </c>
      <c r="Y33" t="s">
        <v>56</v>
      </c>
      <c r="Z33" t="s">
        <v>56</v>
      </c>
      <c r="AA33" t="s">
        <v>56</v>
      </c>
      <c r="AB33" t="s">
        <v>56</v>
      </c>
      <c r="AC33" t="s">
        <v>56</v>
      </c>
      <c r="AD33" t="s">
        <v>56</v>
      </c>
      <c r="AE33" t="s">
        <v>56</v>
      </c>
      <c r="AF33" t="s">
        <v>56</v>
      </c>
      <c r="AG33" t="s">
        <v>6344</v>
      </c>
      <c r="AH33" t="s">
        <v>6345</v>
      </c>
      <c r="AI33">
        <v>2</v>
      </c>
      <c r="AJ33" t="s">
        <v>4776</v>
      </c>
    </row>
    <row r="34" spans="1:36" x14ac:dyDescent="0.25">
      <c r="A34" t="str">
        <f>"20200131141017158560"</f>
        <v>20200131141017158560</v>
      </c>
      <c r="B34">
        <v>1</v>
      </c>
      <c r="C34">
        <v>2</v>
      </c>
      <c r="D34" t="s">
        <v>5776</v>
      </c>
      <c r="E34" t="s">
        <v>66</v>
      </c>
      <c r="F34" t="s">
        <v>1627</v>
      </c>
      <c r="G34" t="s">
        <v>56</v>
      </c>
      <c r="H34" t="s">
        <v>1627</v>
      </c>
      <c r="I34" t="s">
        <v>6346</v>
      </c>
      <c r="J34" t="s">
        <v>56</v>
      </c>
      <c r="K34">
        <v>139</v>
      </c>
      <c r="L34" t="s">
        <v>6228</v>
      </c>
      <c r="M34" t="s">
        <v>6347</v>
      </c>
      <c r="N34">
        <v>4</v>
      </c>
      <c r="O34">
        <v>1</v>
      </c>
      <c r="P34">
        <v>3</v>
      </c>
      <c r="Q34" t="s">
        <v>3911</v>
      </c>
      <c r="R34">
        <v>6</v>
      </c>
      <c r="S34">
        <v>720</v>
      </c>
      <c r="T34">
        <v>5</v>
      </c>
      <c r="U34" t="s">
        <v>3899</v>
      </c>
      <c r="V34" t="s">
        <v>56</v>
      </c>
      <c r="W34" t="s">
        <v>56</v>
      </c>
      <c r="X34" t="s">
        <v>56</v>
      </c>
      <c r="Y34" t="s">
        <v>56</v>
      </c>
      <c r="Z34" t="s">
        <v>56</v>
      </c>
      <c r="AA34" t="s">
        <v>56</v>
      </c>
      <c r="AB34" t="s">
        <v>56</v>
      </c>
      <c r="AC34" t="s">
        <v>56</v>
      </c>
      <c r="AD34" t="s">
        <v>56</v>
      </c>
      <c r="AE34" t="s">
        <v>56</v>
      </c>
      <c r="AF34" t="s">
        <v>56</v>
      </c>
      <c r="AG34" t="s">
        <v>6348</v>
      </c>
      <c r="AH34" t="s">
        <v>6342</v>
      </c>
      <c r="AI34">
        <v>1</v>
      </c>
      <c r="AJ34" t="s">
        <v>3902</v>
      </c>
    </row>
    <row r="35" spans="1:36" x14ac:dyDescent="0.25">
      <c r="A35" t="str">
        <f>"20200131141017158560"</f>
        <v>20200131141017158560</v>
      </c>
      <c r="B35">
        <v>2</v>
      </c>
      <c r="C35">
        <v>2</v>
      </c>
      <c r="D35" t="s">
        <v>5776</v>
      </c>
      <c r="E35" t="s">
        <v>66</v>
      </c>
      <c r="F35" t="s">
        <v>1627</v>
      </c>
      <c r="G35" t="s">
        <v>56</v>
      </c>
      <c r="H35" t="s">
        <v>1627</v>
      </c>
      <c r="I35" t="s">
        <v>6349</v>
      </c>
      <c r="J35" t="s">
        <v>56</v>
      </c>
      <c r="K35">
        <v>109</v>
      </c>
      <c r="L35" t="s">
        <v>6256</v>
      </c>
      <c r="M35" t="s">
        <v>6257</v>
      </c>
      <c r="N35">
        <v>1</v>
      </c>
      <c r="O35">
        <v>1</v>
      </c>
      <c r="P35">
        <v>5</v>
      </c>
      <c r="Q35" t="s">
        <v>3899</v>
      </c>
      <c r="R35">
        <v>6</v>
      </c>
      <c r="S35">
        <v>6</v>
      </c>
      <c r="T35">
        <v>5</v>
      </c>
      <c r="U35" t="s">
        <v>3899</v>
      </c>
      <c r="V35" t="s">
        <v>56</v>
      </c>
      <c r="W35" t="s">
        <v>56</v>
      </c>
      <c r="X35" t="s">
        <v>56</v>
      </c>
      <c r="Y35" t="s">
        <v>56</v>
      </c>
      <c r="Z35" t="s">
        <v>56</v>
      </c>
      <c r="AA35" t="s">
        <v>56</v>
      </c>
      <c r="AB35" t="s">
        <v>56</v>
      </c>
      <c r="AC35" t="s">
        <v>56</v>
      </c>
      <c r="AD35" t="s">
        <v>56</v>
      </c>
      <c r="AE35" t="s">
        <v>56</v>
      </c>
      <c r="AF35" t="s">
        <v>56</v>
      </c>
      <c r="AG35" t="s">
        <v>6350</v>
      </c>
      <c r="AH35" t="s">
        <v>6351</v>
      </c>
      <c r="AI35">
        <v>2</v>
      </c>
      <c r="AJ35" t="s">
        <v>4776</v>
      </c>
    </row>
    <row r="36" spans="1:36" x14ac:dyDescent="0.25">
      <c r="A36" t="str">
        <f>"20200131148017160745"</f>
        <v>20200131148017160745</v>
      </c>
      <c r="B36">
        <v>1</v>
      </c>
      <c r="C36">
        <v>2</v>
      </c>
      <c r="D36" t="s">
        <v>5776</v>
      </c>
      <c r="E36" t="s">
        <v>66</v>
      </c>
      <c r="F36" t="s">
        <v>1627</v>
      </c>
      <c r="G36" t="s">
        <v>56</v>
      </c>
      <c r="H36" t="s">
        <v>1627</v>
      </c>
      <c r="I36" t="s">
        <v>6352</v>
      </c>
      <c r="J36" t="s">
        <v>56</v>
      </c>
      <c r="K36">
        <v>139</v>
      </c>
      <c r="L36" t="s">
        <v>6228</v>
      </c>
      <c r="M36" t="s">
        <v>6353</v>
      </c>
      <c r="N36">
        <v>1</v>
      </c>
      <c r="O36">
        <v>6</v>
      </c>
      <c r="P36">
        <v>2</v>
      </c>
      <c r="Q36" t="s">
        <v>3897</v>
      </c>
      <c r="R36">
        <v>3</v>
      </c>
      <c r="S36">
        <v>360</v>
      </c>
      <c r="T36">
        <v>5</v>
      </c>
      <c r="U36" t="s">
        <v>3899</v>
      </c>
      <c r="V36" t="s">
        <v>56</v>
      </c>
      <c r="W36" t="s">
        <v>56</v>
      </c>
      <c r="X36" t="s">
        <v>56</v>
      </c>
      <c r="Y36" t="s">
        <v>56</v>
      </c>
      <c r="Z36" t="s">
        <v>56</v>
      </c>
      <c r="AA36" t="s">
        <v>56</v>
      </c>
      <c r="AB36" t="s">
        <v>56</v>
      </c>
      <c r="AC36" t="s">
        <v>56</v>
      </c>
      <c r="AD36" t="s">
        <v>56</v>
      </c>
      <c r="AE36" t="s">
        <v>56</v>
      </c>
      <c r="AF36" t="s">
        <v>56</v>
      </c>
      <c r="AG36" t="s">
        <v>6354</v>
      </c>
      <c r="AH36" t="s">
        <v>6355</v>
      </c>
      <c r="AI36">
        <v>1</v>
      </c>
      <c r="AJ36" t="s">
        <v>3902</v>
      </c>
    </row>
    <row r="37" spans="1:36" x14ac:dyDescent="0.25">
      <c r="A37" t="str">
        <f>"20200131123017161437"</f>
        <v>20200131123017161437</v>
      </c>
      <c r="B37">
        <v>1</v>
      </c>
      <c r="C37">
        <v>2</v>
      </c>
      <c r="D37" t="s">
        <v>5776</v>
      </c>
      <c r="E37" t="s">
        <v>66</v>
      </c>
      <c r="F37" t="s">
        <v>1627</v>
      </c>
      <c r="G37" t="s">
        <v>56</v>
      </c>
      <c r="H37" t="s">
        <v>1627</v>
      </c>
      <c r="I37" t="s">
        <v>6356</v>
      </c>
      <c r="J37" t="s">
        <v>56</v>
      </c>
      <c r="K37">
        <v>139</v>
      </c>
      <c r="L37" t="s">
        <v>6228</v>
      </c>
      <c r="M37" t="s">
        <v>6357</v>
      </c>
      <c r="N37">
        <v>1</v>
      </c>
      <c r="O37">
        <v>8</v>
      </c>
      <c r="P37">
        <v>2</v>
      </c>
      <c r="Q37" t="s">
        <v>3897</v>
      </c>
      <c r="R37">
        <v>1</v>
      </c>
      <c r="S37">
        <v>90</v>
      </c>
      <c r="T37">
        <v>5</v>
      </c>
      <c r="U37" t="s">
        <v>3899</v>
      </c>
      <c r="V37" t="s">
        <v>56</v>
      </c>
      <c r="W37" t="s">
        <v>56</v>
      </c>
      <c r="X37" t="s">
        <v>56</v>
      </c>
      <c r="Y37" t="s">
        <v>56</v>
      </c>
      <c r="Z37" t="s">
        <v>56</v>
      </c>
      <c r="AA37" t="s">
        <v>56</v>
      </c>
      <c r="AB37" t="s">
        <v>56</v>
      </c>
      <c r="AC37" t="s">
        <v>56</v>
      </c>
      <c r="AD37" t="s">
        <v>56</v>
      </c>
      <c r="AE37" t="s">
        <v>56</v>
      </c>
      <c r="AF37" t="s">
        <v>56</v>
      </c>
      <c r="AG37" t="s">
        <v>6358</v>
      </c>
      <c r="AH37" t="s">
        <v>6359</v>
      </c>
      <c r="AI37">
        <v>1</v>
      </c>
      <c r="AJ37" t="s">
        <v>3902</v>
      </c>
    </row>
    <row r="38" spans="1:36" x14ac:dyDescent="0.25">
      <c r="A38" t="str">
        <f>"20200131112017162801"</f>
        <v>20200131112017162801</v>
      </c>
      <c r="B38">
        <v>1</v>
      </c>
      <c r="C38">
        <v>2</v>
      </c>
      <c r="D38" t="s">
        <v>5776</v>
      </c>
      <c r="E38" t="s">
        <v>66</v>
      </c>
      <c r="F38" t="s">
        <v>1627</v>
      </c>
      <c r="G38" t="s">
        <v>56</v>
      </c>
      <c r="H38" t="s">
        <v>1627</v>
      </c>
      <c r="I38" t="s">
        <v>6360</v>
      </c>
      <c r="J38" t="s">
        <v>56</v>
      </c>
      <c r="K38">
        <v>139</v>
      </c>
      <c r="L38" t="s">
        <v>6228</v>
      </c>
      <c r="M38" t="s">
        <v>6361</v>
      </c>
      <c r="N38">
        <v>1</v>
      </c>
      <c r="O38">
        <v>6</v>
      </c>
      <c r="P38">
        <v>2</v>
      </c>
      <c r="Q38" t="s">
        <v>3897</v>
      </c>
      <c r="R38">
        <v>90</v>
      </c>
      <c r="S38">
        <v>360</v>
      </c>
      <c r="T38">
        <v>3</v>
      </c>
      <c r="U38" t="s">
        <v>3911</v>
      </c>
      <c r="V38" t="s">
        <v>56</v>
      </c>
      <c r="W38" t="s">
        <v>56</v>
      </c>
      <c r="X38" t="s">
        <v>56</v>
      </c>
      <c r="Y38" t="s">
        <v>56</v>
      </c>
      <c r="Z38" t="s">
        <v>56</v>
      </c>
      <c r="AA38" t="s">
        <v>56</v>
      </c>
      <c r="AB38" t="s">
        <v>56</v>
      </c>
      <c r="AC38" t="s">
        <v>56</v>
      </c>
      <c r="AD38" t="s">
        <v>56</v>
      </c>
      <c r="AE38" t="s">
        <v>56</v>
      </c>
      <c r="AF38" t="s">
        <v>56</v>
      </c>
      <c r="AG38" t="s">
        <v>6362</v>
      </c>
      <c r="AH38" t="s">
        <v>6363</v>
      </c>
      <c r="AI38">
        <v>1</v>
      </c>
      <c r="AJ38" t="s">
        <v>3902</v>
      </c>
    </row>
    <row r="39" spans="1:36" x14ac:dyDescent="0.25">
      <c r="A39" t="str">
        <f>"20200131135017167833"</f>
        <v>20200131135017167833</v>
      </c>
      <c r="B39">
        <v>1</v>
      </c>
      <c r="C39">
        <v>2</v>
      </c>
      <c r="D39" t="s">
        <v>5776</v>
      </c>
      <c r="E39" t="s">
        <v>66</v>
      </c>
      <c r="F39" t="s">
        <v>1627</v>
      </c>
      <c r="G39" t="s">
        <v>56</v>
      </c>
      <c r="H39" t="s">
        <v>1627</v>
      </c>
      <c r="I39" t="s">
        <v>6364</v>
      </c>
      <c r="J39" t="s">
        <v>56</v>
      </c>
      <c r="K39">
        <v>139</v>
      </c>
      <c r="L39" t="s">
        <v>6228</v>
      </c>
      <c r="M39" t="s">
        <v>6365</v>
      </c>
      <c r="N39">
        <v>1</v>
      </c>
      <c r="O39">
        <v>8</v>
      </c>
      <c r="P39">
        <v>2</v>
      </c>
      <c r="Q39" t="s">
        <v>3897</v>
      </c>
      <c r="R39">
        <v>3</v>
      </c>
      <c r="S39">
        <v>270</v>
      </c>
      <c r="T39">
        <v>5</v>
      </c>
      <c r="U39" t="s">
        <v>3899</v>
      </c>
      <c r="V39" t="s">
        <v>56</v>
      </c>
      <c r="W39" t="s">
        <v>56</v>
      </c>
      <c r="X39" t="s">
        <v>56</v>
      </c>
      <c r="Y39" t="s">
        <v>56</v>
      </c>
      <c r="Z39" t="s">
        <v>56</v>
      </c>
      <c r="AA39" t="s">
        <v>56</v>
      </c>
      <c r="AB39" t="s">
        <v>56</v>
      </c>
      <c r="AC39" t="s">
        <v>56</v>
      </c>
      <c r="AD39" t="s">
        <v>56</v>
      </c>
      <c r="AE39" t="s">
        <v>56</v>
      </c>
      <c r="AF39" t="s">
        <v>56</v>
      </c>
      <c r="AG39" t="s">
        <v>6366</v>
      </c>
      <c r="AH39" t="s">
        <v>6367</v>
      </c>
      <c r="AI39">
        <v>1</v>
      </c>
      <c r="AJ39" t="s">
        <v>3902</v>
      </c>
    </row>
    <row r="40" spans="1:36" x14ac:dyDescent="0.25">
      <c r="A40" t="str">
        <f>"20200131165017168897"</f>
        <v>20200131165017168897</v>
      </c>
      <c r="B40">
        <v>1</v>
      </c>
      <c r="C40">
        <v>2</v>
      </c>
      <c r="D40" t="s">
        <v>5776</v>
      </c>
      <c r="E40" t="s">
        <v>66</v>
      </c>
      <c r="F40" t="s">
        <v>1627</v>
      </c>
      <c r="G40" t="s">
        <v>56</v>
      </c>
      <c r="H40" t="s">
        <v>1627</v>
      </c>
      <c r="I40" t="s">
        <v>6368</v>
      </c>
      <c r="J40" t="s">
        <v>56</v>
      </c>
      <c r="K40">
        <v>139</v>
      </c>
      <c r="L40" t="s">
        <v>6228</v>
      </c>
      <c r="M40" t="s">
        <v>6369</v>
      </c>
      <c r="N40">
        <v>1</v>
      </c>
      <c r="O40">
        <v>8</v>
      </c>
      <c r="P40">
        <v>2</v>
      </c>
      <c r="Q40" t="s">
        <v>3897</v>
      </c>
      <c r="R40">
        <v>3</v>
      </c>
      <c r="S40">
        <v>270</v>
      </c>
      <c r="T40">
        <v>5</v>
      </c>
      <c r="U40" t="s">
        <v>3899</v>
      </c>
      <c r="V40" t="s">
        <v>56</v>
      </c>
      <c r="W40" t="s">
        <v>56</v>
      </c>
      <c r="X40" t="s">
        <v>56</v>
      </c>
      <c r="Y40" t="s">
        <v>56</v>
      </c>
      <c r="Z40" t="s">
        <v>56</v>
      </c>
      <c r="AA40" t="s">
        <v>56</v>
      </c>
      <c r="AB40" t="s">
        <v>56</v>
      </c>
      <c r="AC40" t="s">
        <v>56</v>
      </c>
      <c r="AD40" t="s">
        <v>56</v>
      </c>
      <c r="AE40" t="s">
        <v>56</v>
      </c>
      <c r="AF40" t="s">
        <v>56</v>
      </c>
      <c r="AG40" t="s">
        <v>6370</v>
      </c>
      <c r="AH40" t="s">
        <v>6371</v>
      </c>
      <c r="AI40">
        <v>1</v>
      </c>
      <c r="AJ40" t="s">
        <v>3902</v>
      </c>
    </row>
    <row r="41" spans="1:36" x14ac:dyDescent="0.25">
      <c r="A41" t="str">
        <f>"20200131112017170768"</f>
        <v>20200131112017170768</v>
      </c>
      <c r="B41">
        <v>1</v>
      </c>
      <c r="C41">
        <v>2</v>
      </c>
      <c r="D41" t="s">
        <v>5776</v>
      </c>
      <c r="E41" t="s">
        <v>66</v>
      </c>
      <c r="F41" t="s">
        <v>1627</v>
      </c>
      <c r="G41" t="s">
        <v>56</v>
      </c>
      <c r="H41" t="s">
        <v>1627</v>
      </c>
      <c r="I41" t="s">
        <v>6372</v>
      </c>
      <c r="J41" t="s">
        <v>56</v>
      </c>
      <c r="K41">
        <v>139</v>
      </c>
      <c r="L41" t="s">
        <v>6228</v>
      </c>
      <c r="M41" t="s">
        <v>6347</v>
      </c>
      <c r="N41">
        <v>4</v>
      </c>
      <c r="O41">
        <v>1</v>
      </c>
      <c r="P41">
        <v>3</v>
      </c>
      <c r="Q41" t="s">
        <v>3911</v>
      </c>
      <c r="R41">
        <v>6</v>
      </c>
      <c r="S41">
        <v>720</v>
      </c>
      <c r="T41">
        <v>5</v>
      </c>
      <c r="U41" t="s">
        <v>3899</v>
      </c>
      <c r="V41" t="s">
        <v>56</v>
      </c>
      <c r="W41" t="s">
        <v>56</v>
      </c>
      <c r="X41" t="s">
        <v>56</v>
      </c>
      <c r="Y41" t="s">
        <v>56</v>
      </c>
      <c r="Z41" t="s">
        <v>56</v>
      </c>
      <c r="AA41" t="s">
        <v>56</v>
      </c>
      <c r="AB41" t="s">
        <v>56</v>
      </c>
      <c r="AC41" t="s">
        <v>56</v>
      </c>
      <c r="AD41" t="s">
        <v>56</v>
      </c>
      <c r="AE41" t="s">
        <v>56</v>
      </c>
      <c r="AF41" t="s">
        <v>56</v>
      </c>
      <c r="AG41" t="s">
        <v>6373</v>
      </c>
      <c r="AH41" t="s">
        <v>6374</v>
      </c>
      <c r="AI41">
        <v>1</v>
      </c>
      <c r="AJ41" t="s">
        <v>3902</v>
      </c>
    </row>
    <row r="42" spans="1:36" x14ac:dyDescent="0.25">
      <c r="A42" t="str">
        <f>"20200126196017037070"</f>
        <v>20200126196017037070</v>
      </c>
      <c r="B42">
        <v>1</v>
      </c>
      <c r="C42">
        <v>2</v>
      </c>
      <c r="D42" t="s">
        <v>5776</v>
      </c>
      <c r="E42" t="s">
        <v>66</v>
      </c>
      <c r="F42" t="s">
        <v>1627</v>
      </c>
      <c r="G42" t="s">
        <v>56</v>
      </c>
      <c r="H42" t="s">
        <v>1627</v>
      </c>
      <c r="I42" t="s">
        <v>6375</v>
      </c>
      <c r="J42" t="s">
        <v>56</v>
      </c>
      <c r="K42">
        <v>139</v>
      </c>
      <c r="L42" t="s">
        <v>6228</v>
      </c>
      <c r="M42" t="s">
        <v>6376</v>
      </c>
      <c r="N42">
        <v>1</v>
      </c>
      <c r="O42">
        <v>8</v>
      </c>
      <c r="P42">
        <v>2</v>
      </c>
      <c r="Q42" t="s">
        <v>3897</v>
      </c>
      <c r="R42">
        <v>3</v>
      </c>
      <c r="S42">
        <v>270</v>
      </c>
      <c r="T42">
        <v>5</v>
      </c>
      <c r="U42" t="s">
        <v>3899</v>
      </c>
      <c r="V42" t="s">
        <v>56</v>
      </c>
      <c r="W42" t="s">
        <v>56</v>
      </c>
      <c r="X42" t="s">
        <v>56</v>
      </c>
      <c r="Y42" t="s">
        <v>56</v>
      </c>
      <c r="Z42" t="s">
        <v>56</v>
      </c>
      <c r="AA42" t="s">
        <v>56</v>
      </c>
      <c r="AB42" t="s">
        <v>56</v>
      </c>
      <c r="AC42" t="s">
        <v>56</v>
      </c>
      <c r="AD42" t="s">
        <v>56</v>
      </c>
      <c r="AE42" t="s">
        <v>56</v>
      </c>
      <c r="AF42" t="s">
        <v>56</v>
      </c>
      <c r="AG42" t="s">
        <v>6377</v>
      </c>
      <c r="AH42" t="s">
        <v>6378</v>
      </c>
      <c r="AI42">
        <v>1</v>
      </c>
      <c r="AJ42" t="s">
        <v>3902</v>
      </c>
    </row>
    <row r="43" spans="1:36" x14ac:dyDescent="0.25">
      <c r="A43" t="str">
        <f>"20200126144017037111"</f>
        <v>20200126144017037111</v>
      </c>
      <c r="B43">
        <v>1</v>
      </c>
      <c r="C43">
        <v>2</v>
      </c>
      <c r="D43" t="s">
        <v>5776</v>
      </c>
      <c r="E43" t="s">
        <v>66</v>
      </c>
      <c r="F43" t="s">
        <v>1627</v>
      </c>
      <c r="G43" t="s">
        <v>56</v>
      </c>
      <c r="H43" t="s">
        <v>1627</v>
      </c>
      <c r="I43" t="s">
        <v>6379</v>
      </c>
      <c r="J43" t="s">
        <v>56</v>
      </c>
      <c r="K43">
        <v>139</v>
      </c>
      <c r="L43" t="s">
        <v>6228</v>
      </c>
      <c r="M43" t="s">
        <v>6380</v>
      </c>
      <c r="N43">
        <v>1</v>
      </c>
      <c r="O43">
        <v>6</v>
      </c>
      <c r="P43">
        <v>2</v>
      </c>
      <c r="Q43" t="s">
        <v>3897</v>
      </c>
      <c r="R43">
        <v>3</v>
      </c>
      <c r="S43">
        <v>360</v>
      </c>
      <c r="T43">
        <v>5</v>
      </c>
      <c r="U43" t="s">
        <v>3899</v>
      </c>
      <c r="V43" t="s">
        <v>56</v>
      </c>
      <c r="W43" t="s">
        <v>56</v>
      </c>
      <c r="X43" t="s">
        <v>56</v>
      </c>
      <c r="Y43" t="s">
        <v>56</v>
      </c>
      <c r="Z43" t="s">
        <v>56</v>
      </c>
      <c r="AA43" t="s">
        <v>56</v>
      </c>
      <c r="AB43" t="s">
        <v>56</v>
      </c>
      <c r="AC43" t="s">
        <v>56</v>
      </c>
      <c r="AD43" t="s">
        <v>56</v>
      </c>
      <c r="AE43" t="s">
        <v>56</v>
      </c>
      <c r="AF43" t="s">
        <v>56</v>
      </c>
      <c r="AG43" t="s">
        <v>6381</v>
      </c>
      <c r="AH43" t="s">
        <v>6382</v>
      </c>
      <c r="AI43">
        <v>1</v>
      </c>
      <c r="AJ43" t="s">
        <v>3902</v>
      </c>
    </row>
    <row r="44" spans="1:36" x14ac:dyDescent="0.25">
      <c r="A44" t="str">
        <f>"20200126177017037250"</f>
        <v>20200126177017037250</v>
      </c>
      <c r="B44">
        <v>1</v>
      </c>
      <c r="C44">
        <v>2</v>
      </c>
      <c r="D44" t="s">
        <v>5776</v>
      </c>
      <c r="E44" t="s">
        <v>66</v>
      </c>
      <c r="F44" t="s">
        <v>1627</v>
      </c>
      <c r="G44" t="s">
        <v>56</v>
      </c>
      <c r="H44" t="s">
        <v>1627</v>
      </c>
      <c r="I44" t="s">
        <v>6227</v>
      </c>
      <c r="J44" t="s">
        <v>56</v>
      </c>
      <c r="K44">
        <v>139</v>
      </c>
      <c r="L44" t="s">
        <v>6228</v>
      </c>
      <c r="M44" t="s">
        <v>6383</v>
      </c>
      <c r="N44">
        <v>1</v>
      </c>
      <c r="O44">
        <v>8</v>
      </c>
      <c r="P44">
        <v>2</v>
      </c>
      <c r="Q44" t="s">
        <v>3897</v>
      </c>
      <c r="R44">
        <v>3</v>
      </c>
      <c r="S44">
        <v>270</v>
      </c>
      <c r="T44">
        <v>5</v>
      </c>
      <c r="U44" t="s">
        <v>3899</v>
      </c>
      <c r="V44" t="s">
        <v>56</v>
      </c>
      <c r="W44" t="s">
        <v>56</v>
      </c>
      <c r="X44" t="s">
        <v>56</v>
      </c>
      <c r="Y44" t="s">
        <v>56</v>
      </c>
      <c r="Z44" t="s">
        <v>56</v>
      </c>
      <c r="AA44" t="s">
        <v>56</v>
      </c>
      <c r="AB44" t="s">
        <v>56</v>
      </c>
      <c r="AC44" t="s">
        <v>56</v>
      </c>
      <c r="AD44" t="s">
        <v>56</v>
      </c>
      <c r="AE44" t="s">
        <v>56</v>
      </c>
      <c r="AF44" t="s">
        <v>56</v>
      </c>
      <c r="AG44" t="s">
        <v>6227</v>
      </c>
      <c r="AH44" t="s">
        <v>6384</v>
      </c>
      <c r="AI44">
        <v>1</v>
      </c>
      <c r="AJ44" t="s">
        <v>3902</v>
      </c>
    </row>
    <row r="45" spans="1:36" x14ac:dyDescent="0.25">
      <c r="A45" t="str">
        <f>"20200126146017037286"</f>
        <v>20200126146017037286</v>
      </c>
      <c r="B45">
        <v>1</v>
      </c>
      <c r="C45">
        <v>2</v>
      </c>
      <c r="D45" t="s">
        <v>5776</v>
      </c>
      <c r="E45" t="s">
        <v>66</v>
      </c>
      <c r="F45" t="s">
        <v>1627</v>
      </c>
      <c r="G45" t="s">
        <v>56</v>
      </c>
      <c r="H45" t="s">
        <v>1627</v>
      </c>
      <c r="I45" t="s">
        <v>6227</v>
      </c>
      <c r="J45" t="s">
        <v>56</v>
      </c>
      <c r="K45">
        <v>139</v>
      </c>
      <c r="L45" t="s">
        <v>6228</v>
      </c>
      <c r="M45" t="s">
        <v>6247</v>
      </c>
      <c r="N45">
        <v>1</v>
      </c>
      <c r="O45">
        <v>8</v>
      </c>
      <c r="P45">
        <v>2</v>
      </c>
      <c r="Q45" t="s">
        <v>3897</v>
      </c>
      <c r="R45">
        <v>3</v>
      </c>
      <c r="S45">
        <v>270</v>
      </c>
      <c r="T45">
        <v>5</v>
      </c>
      <c r="U45" t="s">
        <v>3899</v>
      </c>
      <c r="V45" t="s">
        <v>56</v>
      </c>
      <c r="W45" t="s">
        <v>56</v>
      </c>
      <c r="X45" t="s">
        <v>56</v>
      </c>
      <c r="Y45" t="s">
        <v>56</v>
      </c>
      <c r="Z45" t="s">
        <v>56</v>
      </c>
      <c r="AA45" t="s">
        <v>56</v>
      </c>
      <c r="AB45" t="s">
        <v>56</v>
      </c>
      <c r="AC45" t="s">
        <v>56</v>
      </c>
      <c r="AD45" t="s">
        <v>56</v>
      </c>
      <c r="AE45" t="s">
        <v>56</v>
      </c>
      <c r="AF45" t="s">
        <v>56</v>
      </c>
      <c r="AG45" t="s">
        <v>6227</v>
      </c>
      <c r="AH45" t="s">
        <v>6248</v>
      </c>
      <c r="AI45">
        <v>1</v>
      </c>
      <c r="AJ45" t="s">
        <v>3902</v>
      </c>
    </row>
    <row r="46" spans="1:36" x14ac:dyDescent="0.25">
      <c r="A46" t="str">
        <f>"20200126110017037321"</f>
        <v>20200126110017037321</v>
      </c>
      <c r="B46">
        <v>1</v>
      </c>
      <c r="C46">
        <v>2</v>
      </c>
      <c r="D46" t="s">
        <v>5776</v>
      </c>
      <c r="E46" t="s">
        <v>66</v>
      </c>
      <c r="F46" t="s">
        <v>1627</v>
      </c>
      <c r="G46" t="s">
        <v>56</v>
      </c>
      <c r="H46" t="s">
        <v>1627</v>
      </c>
      <c r="I46" t="s">
        <v>6227</v>
      </c>
      <c r="J46" t="s">
        <v>56</v>
      </c>
      <c r="K46">
        <v>139</v>
      </c>
      <c r="L46" t="s">
        <v>6228</v>
      </c>
      <c r="M46" t="s">
        <v>6385</v>
      </c>
      <c r="N46">
        <v>1</v>
      </c>
      <c r="O46">
        <v>6</v>
      </c>
      <c r="P46">
        <v>2</v>
      </c>
      <c r="Q46" t="s">
        <v>3897</v>
      </c>
      <c r="R46">
        <v>3</v>
      </c>
      <c r="S46">
        <v>360</v>
      </c>
      <c r="T46">
        <v>5</v>
      </c>
      <c r="U46" t="s">
        <v>3899</v>
      </c>
      <c r="V46" t="s">
        <v>56</v>
      </c>
      <c r="W46" t="s">
        <v>56</v>
      </c>
      <c r="X46" t="s">
        <v>56</v>
      </c>
      <c r="Y46" t="s">
        <v>56</v>
      </c>
      <c r="Z46" t="s">
        <v>56</v>
      </c>
      <c r="AA46" t="s">
        <v>56</v>
      </c>
      <c r="AB46" t="s">
        <v>56</v>
      </c>
      <c r="AC46" t="s">
        <v>56</v>
      </c>
      <c r="AD46" t="s">
        <v>56</v>
      </c>
      <c r="AE46" t="s">
        <v>56</v>
      </c>
      <c r="AF46" t="s">
        <v>56</v>
      </c>
      <c r="AG46" t="s">
        <v>6227</v>
      </c>
      <c r="AH46" t="s">
        <v>6386</v>
      </c>
      <c r="AI46">
        <v>1</v>
      </c>
      <c r="AJ46" t="s">
        <v>3902</v>
      </c>
    </row>
    <row r="47" spans="1:36" x14ac:dyDescent="0.25">
      <c r="A47" t="str">
        <f>"20200126182017037358"</f>
        <v>20200126182017037358</v>
      </c>
      <c r="B47">
        <v>1</v>
      </c>
      <c r="C47">
        <v>2</v>
      </c>
      <c r="D47" t="s">
        <v>5776</v>
      </c>
      <c r="E47" t="s">
        <v>66</v>
      </c>
      <c r="F47" t="s">
        <v>1627</v>
      </c>
      <c r="G47" t="s">
        <v>56</v>
      </c>
      <c r="H47" t="s">
        <v>1627</v>
      </c>
      <c r="I47" t="s">
        <v>6227</v>
      </c>
      <c r="J47" t="s">
        <v>56</v>
      </c>
      <c r="K47">
        <v>139</v>
      </c>
      <c r="L47" t="s">
        <v>6228</v>
      </c>
      <c r="M47" t="s">
        <v>6387</v>
      </c>
      <c r="N47">
        <v>1</v>
      </c>
      <c r="O47">
        <v>8</v>
      </c>
      <c r="P47">
        <v>2</v>
      </c>
      <c r="Q47" t="s">
        <v>3897</v>
      </c>
      <c r="R47">
        <v>3</v>
      </c>
      <c r="S47">
        <v>270</v>
      </c>
      <c r="T47">
        <v>5</v>
      </c>
      <c r="U47" t="s">
        <v>3899</v>
      </c>
      <c r="V47" t="s">
        <v>56</v>
      </c>
      <c r="W47" t="s">
        <v>56</v>
      </c>
      <c r="X47" t="s">
        <v>56</v>
      </c>
      <c r="Y47" t="s">
        <v>56</v>
      </c>
      <c r="Z47" t="s">
        <v>56</v>
      </c>
      <c r="AA47" t="s">
        <v>56</v>
      </c>
      <c r="AB47" t="s">
        <v>56</v>
      </c>
      <c r="AC47" t="s">
        <v>56</v>
      </c>
      <c r="AD47" t="s">
        <v>56</v>
      </c>
      <c r="AE47" t="s">
        <v>56</v>
      </c>
      <c r="AF47" t="s">
        <v>56</v>
      </c>
      <c r="AG47" t="s">
        <v>6227</v>
      </c>
      <c r="AH47" t="s">
        <v>6388</v>
      </c>
      <c r="AI47">
        <v>1</v>
      </c>
      <c r="AJ47" t="s">
        <v>3902</v>
      </c>
    </row>
    <row r="48" spans="1:36" x14ac:dyDescent="0.25">
      <c r="A48" t="str">
        <f>"20200126126017037377"</f>
        <v>20200126126017037377</v>
      </c>
      <c r="B48">
        <v>1</v>
      </c>
      <c r="C48">
        <v>2</v>
      </c>
      <c r="D48" t="s">
        <v>5776</v>
      </c>
      <c r="E48" t="s">
        <v>66</v>
      </c>
      <c r="F48" t="s">
        <v>1627</v>
      </c>
      <c r="G48" t="s">
        <v>56</v>
      </c>
      <c r="H48" t="s">
        <v>1627</v>
      </c>
      <c r="I48" t="s">
        <v>6227</v>
      </c>
      <c r="J48" t="s">
        <v>56</v>
      </c>
      <c r="K48">
        <v>139</v>
      </c>
      <c r="L48" t="s">
        <v>6228</v>
      </c>
      <c r="M48" t="s">
        <v>6389</v>
      </c>
      <c r="N48">
        <v>1</v>
      </c>
      <c r="O48">
        <v>8</v>
      </c>
      <c r="P48">
        <v>2</v>
      </c>
      <c r="Q48" t="s">
        <v>3897</v>
      </c>
      <c r="R48">
        <v>3</v>
      </c>
      <c r="S48">
        <v>270</v>
      </c>
      <c r="T48">
        <v>5</v>
      </c>
      <c r="U48" t="s">
        <v>3899</v>
      </c>
      <c r="V48" t="s">
        <v>56</v>
      </c>
      <c r="W48" t="s">
        <v>56</v>
      </c>
      <c r="X48" t="s">
        <v>56</v>
      </c>
      <c r="Y48" t="s">
        <v>56</v>
      </c>
      <c r="Z48" t="s">
        <v>56</v>
      </c>
      <c r="AA48" t="s">
        <v>56</v>
      </c>
      <c r="AB48" t="s">
        <v>56</v>
      </c>
      <c r="AC48" t="s">
        <v>56</v>
      </c>
      <c r="AD48" t="s">
        <v>56</v>
      </c>
      <c r="AE48" t="s">
        <v>56</v>
      </c>
      <c r="AF48" t="s">
        <v>56</v>
      </c>
      <c r="AG48" t="s">
        <v>6227</v>
      </c>
      <c r="AH48" t="s">
        <v>6390</v>
      </c>
      <c r="AI48">
        <v>1</v>
      </c>
      <c r="AJ48" t="s">
        <v>3902</v>
      </c>
    </row>
    <row r="49" spans="1:36" x14ac:dyDescent="0.25">
      <c r="A49" t="str">
        <f>"20200126113017037412"</f>
        <v>20200126113017037412</v>
      </c>
      <c r="B49">
        <v>1</v>
      </c>
      <c r="C49">
        <v>2</v>
      </c>
      <c r="D49" t="s">
        <v>5776</v>
      </c>
      <c r="E49" t="s">
        <v>66</v>
      </c>
      <c r="F49" t="s">
        <v>1627</v>
      </c>
      <c r="G49" t="s">
        <v>56</v>
      </c>
      <c r="H49" t="s">
        <v>1627</v>
      </c>
      <c r="I49" t="s">
        <v>6227</v>
      </c>
      <c r="J49" t="s">
        <v>56</v>
      </c>
      <c r="K49">
        <v>139</v>
      </c>
      <c r="L49" t="s">
        <v>6228</v>
      </c>
      <c r="M49" t="s">
        <v>6391</v>
      </c>
      <c r="N49">
        <v>1</v>
      </c>
      <c r="O49">
        <v>8</v>
      </c>
      <c r="P49">
        <v>2</v>
      </c>
      <c r="Q49" t="s">
        <v>3897</v>
      </c>
      <c r="R49">
        <v>3</v>
      </c>
      <c r="S49">
        <v>270</v>
      </c>
      <c r="T49">
        <v>5</v>
      </c>
      <c r="U49" t="s">
        <v>3899</v>
      </c>
      <c r="V49" t="s">
        <v>56</v>
      </c>
      <c r="W49" t="s">
        <v>56</v>
      </c>
      <c r="X49" t="s">
        <v>56</v>
      </c>
      <c r="Y49" t="s">
        <v>56</v>
      </c>
      <c r="Z49" t="s">
        <v>56</v>
      </c>
      <c r="AA49" t="s">
        <v>56</v>
      </c>
      <c r="AB49" t="s">
        <v>56</v>
      </c>
      <c r="AC49" t="s">
        <v>56</v>
      </c>
      <c r="AD49" t="s">
        <v>56</v>
      </c>
      <c r="AE49" t="s">
        <v>56</v>
      </c>
      <c r="AF49" t="s">
        <v>56</v>
      </c>
      <c r="AG49" t="s">
        <v>6227</v>
      </c>
      <c r="AH49" t="s">
        <v>6392</v>
      </c>
      <c r="AI49">
        <v>1</v>
      </c>
      <c r="AJ49" t="s">
        <v>3902</v>
      </c>
    </row>
    <row r="50" spans="1:36" x14ac:dyDescent="0.25">
      <c r="A50" t="str">
        <f>"20200126125017037432"</f>
        <v>20200126125017037432</v>
      </c>
      <c r="B50">
        <v>1</v>
      </c>
      <c r="C50">
        <v>2</v>
      </c>
      <c r="D50" t="s">
        <v>5776</v>
      </c>
      <c r="E50" t="s">
        <v>66</v>
      </c>
      <c r="F50" t="s">
        <v>1627</v>
      </c>
      <c r="G50" t="s">
        <v>56</v>
      </c>
      <c r="H50" t="s">
        <v>1627</v>
      </c>
      <c r="I50" t="s">
        <v>6227</v>
      </c>
      <c r="J50" t="s">
        <v>56</v>
      </c>
      <c r="K50">
        <v>139</v>
      </c>
      <c r="L50" t="s">
        <v>6228</v>
      </c>
      <c r="M50" t="s">
        <v>6393</v>
      </c>
      <c r="N50">
        <v>1</v>
      </c>
      <c r="O50">
        <v>6</v>
      </c>
      <c r="P50">
        <v>2</v>
      </c>
      <c r="Q50" t="s">
        <v>3897</v>
      </c>
      <c r="R50">
        <v>3</v>
      </c>
      <c r="S50">
        <v>360</v>
      </c>
      <c r="T50">
        <v>5</v>
      </c>
      <c r="U50" t="s">
        <v>3899</v>
      </c>
      <c r="V50" t="s">
        <v>56</v>
      </c>
      <c r="W50" t="s">
        <v>56</v>
      </c>
      <c r="X50" t="s">
        <v>56</v>
      </c>
      <c r="Y50" t="s">
        <v>56</v>
      </c>
      <c r="Z50" t="s">
        <v>56</v>
      </c>
      <c r="AA50" t="s">
        <v>56</v>
      </c>
      <c r="AB50" t="s">
        <v>56</v>
      </c>
      <c r="AC50" t="s">
        <v>56</v>
      </c>
      <c r="AD50" t="s">
        <v>56</v>
      </c>
      <c r="AE50" t="s">
        <v>56</v>
      </c>
      <c r="AF50" t="s">
        <v>56</v>
      </c>
      <c r="AG50" t="s">
        <v>6227</v>
      </c>
      <c r="AH50" t="s">
        <v>6394</v>
      </c>
      <c r="AI50">
        <v>1</v>
      </c>
      <c r="AJ50" t="s">
        <v>3902</v>
      </c>
    </row>
    <row r="51" spans="1:36" x14ac:dyDescent="0.25">
      <c r="A51" t="str">
        <f>"20200126167017037449"</f>
        <v>20200126167017037449</v>
      </c>
      <c r="B51">
        <v>1</v>
      </c>
      <c r="C51">
        <v>2</v>
      </c>
      <c r="D51" t="s">
        <v>5776</v>
      </c>
      <c r="E51" t="s">
        <v>66</v>
      </c>
      <c r="F51" t="s">
        <v>1627</v>
      </c>
      <c r="G51" t="s">
        <v>56</v>
      </c>
      <c r="H51" t="s">
        <v>1627</v>
      </c>
      <c r="I51" t="s">
        <v>6227</v>
      </c>
      <c r="J51" t="s">
        <v>56</v>
      </c>
      <c r="K51">
        <v>139</v>
      </c>
      <c r="L51" t="s">
        <v>6228</v>
      </c>
      <c r="M51" t="s">
        <v>6395</v>
      </c>
      <c r="N51">
        <v>1</v>
      </c>
      <c r="O51">
        <v>8</v>
      </c>
      <c r="P51">
        <v>2</v>
      </c>
      <c r="Q51" t="s">
        <v>3897</v>
      </c>
      <c r="R51">
        <v>3</v>
      </c>
      <c r="S51">
        <v>270</v>
      </c>
      <c r="T51">
        <v>5</v>
      </c>
      <c r="U51" t="s">
        <v>3899</v>
      </c>
      <c r="V51" t="s">
        <v>56</v>
      </c>
      <c r="W51" t="s">
        <v>56</v>
      </c>
      <c r="X51" t="s">
        <v>56</v>
      </c>
      <c r="Y51" t="s">
        <v>56</v>
      </c>
      <c r="Z51" t="s">
        <v>56</v>
      </c>
      <c r="AA51" t="s">
        <v>56</v>
      </c>
      <c r="AB51" t="s">
        <v>56</v>
      </c>
      <c r="AC51" t="s">
        <v>56</v>
      </c>
      <c r="AD51" t="s">
        <v>56</v>
      </c>
      <c r="AE51" t="s">
        <v>56</v>
      </c>
      <c r="AF51" t="s">
        <v>56</v>
      </c>
      <c r="AG51" t="s">
        <v>6227</v>
      </c>
      <c r="AH51" t="s">
        <v>6396</v>
      </c>
      <c r="AI51">
        <v>1</v>
      </c>
      <c r="AJ51" t="s">
        <v>3902</v>
      </c>
    </row>
    <row r="52" spans="1:36" x14ac:dyDescent="0.25">
      <c r="A52" t="str">
        <f>"20200126188017037507"</f>
        <v>20200126188017037507</v>
      </c>
      <c r="B52">
        <v>1</v>
      </c>
      <c r="C52">
        <v>2</v>
      </c>
      <c r="D52" t="s">
        <v>5776</v>
      </c>
      <c r="E52" t="s">
        <v>66</v>
      </c>
      <c r="F52" t="s">
        <v>1627</v>
      </c>
      <c r="G52" t="s">
        <v>56</v>
      </c>
      <c r="H52" t="s">
        <v>1627</v>
      </c>
      <c r="I52" t="s">
        <v>6227</v>
      </c>
      <c r="J52" t="s">
        <v>56</v>
      </c>
      <c r="K52">
        <v>139</v>
      </c>
      <c r="L52" t="s">
        <v>6228</v>
      </c>
      <c r="M52" t="s">
        <v>6397</v>
      </c>
      <c r="N52">
        <v>1</v>
      </c>
      <c r="O52">
        <v>8</v>
      </c>
      <c r="P52">
        <v>2</v>
      </c>
      <c r="Q52" t="s">
        <v>3897</v>
      </c>
      <c r="R52">
        <v>3</v>
      </c>
      <c r="S52">
        <v>270</v>
      </c>
      <c r="T52">
        <v>5</v>
      </c>
      <c r="U52" t="s">
        <v>3899</v>
      </c>
      <c r="V52" t="s">
        <v>56</v>
      </c>
      <c r="W52" t="s">
        <v>56</v>
      </c>
      <c r="X52" t="s">
        <v>56</v>
      </c>
      <c r="Y52" t="s">
        <v>56</v>
      </c>
      <c r="Z52" t="s">
        <v>56</v>
      </c>
      <c r="AA52" t="s">
        <v>56</v>
      </c>
      <c r="AB52" t="s">
        <v>56</v>
      </c>
      <c r="AC52" t="s">
        <v>56</v>
      </c>
      <c r="AD52" t="s">
        <v>56</v>
      </c>
      <c r="AE52" t="s">
        <v>56</v>
      </c>
      <c r="AF52" t="s">
        <v>56</v>
      </c>
      <c r="AG52" t="s">
        <v>6227</v>
      </c>
      <c r="AH52" t="s">
        <v>6398</v>
      </c>
      <c r="AI52">
        <v>1</v>
      </c>
      <c r="AJ52" t="s">
        <v>3902</v>
      </c>
    </row>
    <row r="53" spans="1:36" x14ac:dyDescent="0.25">
      <c r="A53" t="str">
        <f>"20200126197017037530"</f>
        <v>20200126197017037530</v>
      </c>
      <c r="B53">
        <v>1</v>
      </c>
      <c r="C53">
        <v>2</v>
      </c>
      <c r="D53" t="s">
        <v>5776</v>
      </c>
      <c r="E53" t="s">
        <v>66</v>
      </c>
      <c r="F53" t="s">
        <v>1627</v>
      </c>
      <c r="G53" t="s">
        <v>56</v>
      </c>
      <c r="H53" t="s">
        <v>1627</v>
      </c>
      <c r="I53" t="s">
        <v>6227</v>
      </c>
      <c r="J53" t="s">
        <v>56</v>
      </c>
      <c r="K53">
        <v>139</v>
      </c>
      <c r="L53" t="s">
        <v>6228</v>
      </c>
      <c r="M53" t="s">
        <v>6399</v>
      </c>
      <c r="N53">
        <v>1</v>
      </c>
      <c r="O53">
        <v>6</v>
      </c>
      <c r="P53">
        <v>2</v>
      </c>
      <c r="Q53" t="s">
        <v>3897</v>
      </c>
      <c r="R53">
        <v>3</v>
      </c>
      <c r="S53">
        <v>360</v>
      </c>
      <c r="T53">
        <v>5</v>
      </c>
      <c r="U53" t="s">
        <v>3899</v>
      </c>
      <c r="V53" t="s">
        <v>56</v>
      </c>
      <c r="W53" t="s">
        <v>56</v>
      </c>
      <c r="X53" t="s">
        <v>56</v>
      </c>
      <c r="Y53" t="s">
        <v>56</v>
      </c>
      <c r="Z53" t="s">
        <v>56</v>
      </c>
      <c r="AA53" t="s">
        <v>56</v>
      </c>
      <c r="AB53" t="s">
        <v>56</v>
      </c>
      <c r="AC53" t="s">
        <v>56</v>
      </c>
      <c r="AD53" t="s">
        <v>56</v>
      </c>
      <c r="AE53" t="s">
        <v>56</v>
      </c>
      <c r="AF53" t="s">
        <v>56</v>
      </c>
      <c r="AG53" t="s">
        <v>6227</v>
      </c>
      <c r="AH53" t="s">
        <v>6400</v>
      </c>
      <c r="AI53">
        <v>1</v>
      </c>
      <c r="AJ53" t="s">
        <v>3902</v>
      </c>
    </row>
    <row r="54" spans="1:36" x14ac:dyDescent="0.25">
      <c r="A54" t="str">
        <f>"20200129110017098644"</f>
        <v>20200129110017098644</v>
      </c>
      <c r="B54">
        <v>1</v>
      </c>
      <c r="C54">
        <v>2</v>
      </c>
      <c r="D54" t="s">
        <v>5776</v>
      </c>
      <c r="E54" t="s">
        <v>66</v>
      </c>
      <c r="F54" t="s">
        <v>1627</v>
      </c>
      <c r="G54" t="s">
        <v>56</v>
      </c>
      <c r="H54" t="s">
        <v>1627</v>
      </c>
      <c r="I54" t="s">
        <v>6227</v>
      </c>
      <c r="J54" t="s">
        <v>56</v>
      </c>
      <c r="K54">
        <v>139</v>
      </c>
      <c r="L54" t="s">
        <v>6228</v>
      </c>
      <c r="M54" t="s">
        <v>6401</v>
      </c>
      <c r="N54">
        <v>1</v>
      </c>
      <c r="O54">
        <v>8</v>
      </c>
      <c r="P54">
        <v>2</v>
      </c>
      <c r="Q54" t="s">
        <v>3897</v>
      </c>
      <c r="R54">
        <v>3</v>
      </c>
      <c r="S54">
        <v>270</v>
      </c>
      <c r="T54">
        <v>5</v>
      </c>
      <c r="U54" t="s">
        <v>3899</v>
      </c>
      <c r="V54" t="s">
        <v>56</v>
      </c>
      <c r="W54" t="s">
        <v>56</v>
      </c>
      <c r="X54" t="s">
        <v>56</v>
      </c>
      <c r="Y54" t="s">
        <v>56</v>
      </c>
      <c r="Z54" t="s">
        <v>56</v>
      </c>
      <c r="AA54" t="s">
        <v>56</v>
      </c>
      <c r="AB54" t="s">
        <v>56</v>
      </c>
      <c r="AC54" t="s">
        <v>56</v>
      </c>
      <c r="AD54" t="s">
        <v>56</v>
      </c>
      <c r="AE54" t="s">
        <v>56</v>
      </c>
      <c r="AF54" t="s">
        <v>56</v>
      </c>
      <c r="AG54" t="s">
        <v>6227</v>
      </c>
      <c r="AH54" t="s">
        <v>6402</v>
      </c>
      <c r="AI54">
        <v>1</v>
      </c>
      <c r="AJ54" t="s">
        <v>3902</v>
      </c>
    </row>
    <row r="55" spans="1:36" x14ac:dyDescent="0.25">
      <c r="A55" t="str">
        <f>"20200129121017099160"</f>
        <v>20200129121017099160</v>
      </c>
      <c r="B55">
        <v>1</v>
      </c>
      <c r="C55">
        <v>2</v>
      </c>
      <c r="D55" t="s">
        <v>5776</v>
      </c>
      <c r="E55" t="s">
        <v>66</v>
      </c>
      <c r="F55" t="s">
        <v>1627</v>
      </c>
      <c r="G55" t="s">
        <v>56</v>
      </c>
      <c r="H55" t="s">
        <v>1627</v>
      </c>
      <c r="I55" t="s">
        <v>6227</v>
      </c>
      <c r="J55" t="s">
        <v>56</v>
      </c>
      <c r="K55">
        <v>139</v>
      </c>
      <c r="L55" t="s">
        <v>6228</v>
      </c>
      <c r="M55" t="s">
        <v>6403</v>
      </c>
      <c r="N55">
        <v>1</v>
      </c>
      <c r="O55">
        <v>8</v>
      </c>
      <c r="P55">
        <v>2</v>
      </c>
      <c r="Q55" t="s">
        <v>3897</v>
      </c>
      <c r="R55">
        <v>3</v>
      </c>
      <c r="S55">
        <v>270</v>
      </c>
      <c r="T55">
        <v>5</v>
      </c>
      <c r="U55" t="s">
        <v>3899</v>
      </c>
      <c r="V55" t="s">
        <v>56</v>
      </c>
      <c r="W55" t="s">
        <v>56</v>
      </c>
      <c r="X55" t="s">
        <v>56</v>
      </c>
      <c r="Y55" t="s">
        <v>56</v>
      </c>
      <c r="Z55" t="s">
        <v>56</v>
      </c>
      <c r="AA55" t="s">
        <v>56</v>
      </c>
      <c r="AB55" t="s">
        <v>56</v>
      </c>
      <c r="AC55" t="s">
        <v>56</v>
      </c>
      <c r="AD55" t="s">
        <v>56</v>
      </c>
      <c r="AE55" t="s">
        <v>56</v>
      </c>
      <c r="AF55" t="s">
        <v>56</v>
      </c>
      <c r="AG55" t="s">
        <v>6227</v>
      </c>
      <c r="AH55" t="s">
        <v>6404</v>
      </c>
      <c r="AI55">
        <v>1</v>
      </c>
      <c r="AJ55" t="s">
        <v>3902</v>
      </c>
    </row>
    <row r="56" spans="1:36" x14ac:dyDescent="0.25">
      <c r="A56" t="str">
        <f>"20200129111017099194"</f>
        <v>20200129111017099194</v>
      </c>
      <c r="B56">
        <v>1</v>
      </c>
      <c r="C56">
        <v>2</v>
      </c>
      <c r="D56" t="s">
        <v>5776</v>
      </c>
      <c r="E56" t="s">
        <v>66</v>
      </c>
      <c r="F56" t="s">
        <v>1627</v>
      </c>
      <c r="G56" t="s">
        <v>56</v>
      </c>
      <c r="H56" t="s">
        <v>1627</v>
      </c>
      <c r="I56" t="s">
        <v>6227</v>
      </c>
      <c r="J56" t="s">
        <v>56</v>
      </c>
      <c r="K56">
        <v>139</v>
      </c>
      <c r="L56" t="s">
        <v>6228</v>
      </c>
      <c r="M56" t="s">
        <v>6401</v>
      </c>
      <c r="N56">
        <v>1</v>
      </c>
      <c r="O56">
        <v>8</v>
      </c>
      <c r="P56">
        <v>2</v>
      </c>
      <c r="Q56" t="s">
        <v>3897</v>
      </c>
      <c r="R56">
        <v>3</v>
      </c>
      <c r="S56">
        <v>270</v>
      </c>
      <c r="T56">
        <v>5</v>
      </c>
      <c r="U56" t="s">
        <v>3899</v>
      </c>
      <c r="V56" t="s">
        <v>56</v>
      </c>
      <c r="W56" t="s">
        <v>56</v>
      </c>
      <c r="X56" t="s">
        <v>56</v>
      </c>
      <c r="Y56" t="s">
        <v>56</v>
      </c>
      <c r="Z56" t="s">
        <v>56</v>
      </c>
      <c r="AA56" t="s">
        <v>56</v>
      </c>
      <c r="AB56" t="s">
        <v>56</v>
      </c>
      <c r="AC56" t="s">
        <v>56</v>
      </c>
      <c r="AD56" t="s">
        <v>56</v>
      </c>
      <c r="AE56" t="s">
        <v>56</v>
      </c>
      <c r="AF56" t="s">
        <v>56</v>
      </c>
      <c r="AG56" t="s">
        <v>6227</v>
      </c>
      <c r="AH56" t="s">
        <v>6402</v>
      </c>
      <c r="AI56">
        <v>1</v>
      </c>
      <c r="AJ56" t="s">
        <v>3902</v>
      </c>
    </row>
    <row r="57" spans="1:36" x14ac:dyDescent="0.25">
      <c r="A57" t="str">
        <f>"20200129187017102468"</f>
        <v>20200129187017102468</v>
      </c>
      <c r="B57">
        <v>1</v>
      </c>
      <c r="C57">
        <v>2</v>
      </c>
      <c r="D57" t="s">
        <v>5776</v>
      </c>
      <c r="E57" t="s">
        <v>66</v>
      </c>
      <c r="F57" t="s">
        <v>1627</v>
      </c>
      <c r="G57" t="s">
        <v>56</v>
      </c>
      <c r="H57" t="s">
        <v>1627</v>
      </c>
      <c r="I57" t="s">
        <v>6405</v>
      </c>
      <c r="J57" t="s">
        <v>56</v>
      </c>
      <c r="K57">
        <v>139</v>
      </c>
      <c r="L57" t="s">
        <v>6228</v>
      </c>
      <c r="M57" t="s">
        <v>6326</v>
      </c>
      <c r="N57">
        <v>1</v>
      </c>
      <c r="O57">
        <v>6</v>
      </c>
      <c r="P57">
        <v>2</v>
      </c>
      <c r="Q57" t="s">
        <v>3897</v>
      </c>
      <c r="R57">
        <v>3</v>
      </c>
      <c r="S57">
        <v>360</v>
      </c>
      <c r="T57">
        <v>5</v>
      </c>
      <c r="U57" t="s">
        <v>3899</v>
      </c>
      <c r="V57" t="s">
        <v>56</v>
      </c>
      <c r="W57" t="s">
        <v>56</v>
      </c>
      <c r="X57" t="s">
        <v>56</v>
      </c>
      <c r="Y57" t="s">
        <v>56</v>
      </c>
      <c r="Z57" t="s">
        <v>56</v>
      </c>
      <c r="AA57" t="s">
        <v>56</v>
      </c>
      <c r="AB57" t="s">
        <v>56</v>
      </c>
      <c r="AC57" t="s">
        <v>56</v>
      </c>
      <c r="AD57" t="s">
        <v>56</v>
      </c>
      <c r="AE57" t="s">
        <v>56</v>
      </c>
      <c r="AF57" t="s">
        <v>56</v>
      </c>
      <c r="AG57" t="s">
        <v>6406</v>
      </c>
      <c r="AH57" t="s">
        <v>6407</v>
      </c>
      <c r="AI57">
        <v>1</v>
      </c>
      <c r="AJ57" t="s">
        <v>3902</v>
      </c>
    </row>
    <row r="58" spans="1:36" x14ac:dyDescent="0.25">
      <c r="A58" t="str">
        <f>"20200129170017103616"</f>
        <v>20200129170017103616</v>
      </c>
      <c r="B58">
        <v>1</v>
      </c>
      <c r="C58">
        <v>2</v>
      </c>
      <c r="D58" t="s">
        <v>5776</v>
      </c>
      <c r="E58" t="s">
        <v>66</v>
      </c>
      <c r="F58" t="s">
        <v>1627</v>
      </c>
      <c r="G58" t="s">
        <v>56</v>
      </c>
      <c r="H58" t="s">
        <v>1627</v>
      </c>
      <c r="I58" t="s">
        <v>6408</v>
      </c>
      <c r="J58" t="s">
        <v>56</v>
      </c>
      <c r="K58">
        <v>139</v>
      </c>
      <c r="L58" t="s">
        <v>6228</v>
      </c>
      <c r="M58" t="s">
        <v>6409</v>
      </c>
      <c r="N58">
        <v>1</v>
      </c>
      <c r="O58">
        <v>8</v>
      </c>
      <c r="P58">
        <v>2</v>
      </c>
      <c r="Q58" t="s">
        <v>3897</v>
      </c>
      <c r="R58">
        <v>180</v>
      </c>
      <c r="S58">
        <v>540</v>
      </c>
      <c r="T58">
        <v>3</v>
      </c>
      <c r="U58" t="s">
        <v>3911</v>
      </c>
      <c r="V58" t="s">
        <v>56</v>
      </c>
      <c r="W58" t="s">
        <v>56</v>
      </c>
      <c r="X58" t="s">
        <v>56</v>
      </c>
      <c r="Y58" t="s">
        <v>56</v>
      </c>
      <c r="Z58" t="s">
        <v>56</v>
      </c>
      <c r="AA58" t="s">
        <v>56</v>
      </c>
      <c r="AB58" t="s">
        <v>56</v>
      </c>
      <c r="AC58" t="s">
        <v>56</v>
      </c>
      <c r="AD58" t="s">
        <v>56</v>
      </c>
      <c r="AE58" t="s">
        <v>56</v>
      </c>
      <c r="AF58" t="s">
        <v>56</v>
      </c>
      <c r="AG58" t="s">
        <v>6410</v>
      </c>
      <c r="AH58" t="s">
        <v>6411</v>
      </c>
      <c r="AI58">
        <v>1</v>
      </c>
      <c r="AJ58" t="s">
        <v>3902</v>
      </c>
    </row>
    <row r="59" spans="1:36" x14ac:dyDescent="0.25">
      <c r="A59" t="str">
        <f>"20200129190017106009"</f>
        <v>20200129190017106009</v>
      </c>
      <c r="B59">
        <v>1</v>
      </c>
      <c r="C59">
        <v>2</v>
      </c>
      <c r="D59" t="s">
        <v>5776</v>
      </c>
      <c r="E59" t="s">
        <v>66</v>
      </c>
      <c r="F59" t="s">
        <v>1627</v>
      </c>
      <c r="G59" t="s">
        <v>56</v>
      </c>
      <c r="H59" t="s">
        <v>1627</v>
      </c>
      <c r="I59" t="s">
        <v>6412</v>
      </c>
      <c r="J59" t="s">
        <v>56</v>
      </c>
      <c r="K59">
        <v>139</v>
      </c>
      <c r="L59" t="s">
        <v>6228</v>
      </c>
      <c r="M59" t="s">
        <v>6413</v>
      </c>
      <c r="N59">
        <v>2</v>
      </c>
      <c r="O59">
        <v>24</v>
      </c>
      <c r="P59">
        <v>2</v>
      </c>
      <c r="Q59" t="s">
        <v>3897</v>
      </c>
      <c r="R59">
        <v>90</v>
      </c>
      <c r="S59">
        <v>180</v>
      </c>
      <c r="T59">
        <v>3</v>
      </c>
      <c r="U59" t="s">
        <v>3911</v>
      </c>
      <c r="V59" t="s">
        <v>56</v>
      </c>
      <c r="W59" t="s">
        <v>56</v>
      </c>
      <c r="X59" t="s">
        <v>56</v>
      </c>
      <c r="Y59" t="s">
        <v>56</v>
      </c>
      <c r="Z59" t="s">
        <v>56</v>
      </c>
      <c r="AA59" t="s">
        <v>56</v>
      </c>
      <c r="AB59" t="s">
        <v>56</v>
      </c>
      <c r="AC59" t="s">
        <v>56</v>
      </c>
      <c r="AD59" t="s">
        <v>56</v>
      </c>
      <c r="AE59" t="s">
        <v>56</v>
      </c>
      <c r="AF59" t="s">
        <v>56</v>
      </c>
      <c r="AG59" t="s">
        <v>6414</v>
      </c>
      <c r="AH59" t="s">
        <v>6415</v>
      </c>
      <c r="AI59">
        <v>1</v>
      </c>
      <c r="AJ59" t="s">
        <v>3902</v>
      </c>
    </row>
    <row r="60" spans="1:36" x14ac:dyDescent="0.25">
      <c r="A60" t="str">
        <f>"20200129150017108045"</f>
        <v>20200129150017108045</v>
      </c>
      <c r="B60">
        <v>1</v>
      </c>
      <c r="C60">
        <v>2</v>
      </c>
      <c r="D60" t="s">
        <v>5776</v>
      </c>
      <c r="E60" t="s">
        <v>66</v>
      </c>
      <c r="F60" t="s">
        <v>1627</v>
      </c>
      <c r="G60" t="s">
        <v>56</v>
      </c>
      <c r="H60" t="s">
        <v>1627</v>
      </c>
      <c r="I60" t="s">
        <v>6416</v>
      </c>
      <c r="J60" t="s">
        <v>56</v>
      </c>
      <c r="K60">
        <v>139</v>
      </c>
      <c r="L60" t="s">
        <v>6228</v>
      </c>
      <c r="M60" t="s">
        <v>6417</v>
      </c>
      <c r="N60">
        <v>1</v>
      </c>
      <c r="O60">
        <v>8</v>
      </c>
      <c r="P60">
        <v>2</v>
      </c>
      <c r="Q60" t="s">
        <v>3897</v>
      </c>
      <c r="R60">
        <v>3</v>
      </c>
      <c r="S60">
        <v>270</v>
      </c>
      <c r="T60">
        <v>5</v>
      </c>
      <c r="U60" t="s">
        <v>3899</v>
      </c>
      <c r="V60" t="s">
        <v>56</v>
      </c>
      <c r="W60" t="s">
        <v>56</v>
      </c>
      <c r="X60" t="s">
        <v>56</v>
      </c>
      <c r="Y60" t="s">
        <v>56</v>
      </c>
      <c r="Z60" t="s">
        <v>56</v>
      </c>
      <c r="AA60" t="s">
        <v>56</v>
      </c>
      <c r="AB60" t="s">
        <v>56</v>
      </c>
      <c r="AC60" t="s">
        <v>56</v>
      </c>
      <c r="AD60" t="s">
        <v>56</v>
      </c>
      <c r="AE60" t="s">
        <v>56</v>
      </c>
      <c r="AF60" t="s">
        <v>56</v>
      </c>
      <c r="AG60" t="s">
        <v>6418</v>
      </c>
      <c r="AH60" t="s">
        <v>6419</v>
      </c>
      <c r="AI60">
        <v>1</v>
      </c>
      <c r="AJ60" t="s">
        <v>3902</v>
      </c>
    </row>
    <row r="61" spans="1:36" x14ac:dyDescent="0.25">
      <c r="A61" t="str">
        <f>"20200129199017112866"</f>
        <v>20200129199017112866</v>
      </c>
      <c r="B61">
        <v>1</v>
      </c>
      <c r="C61">
        <v>2</v>
      </c>
      <c r="D61" t="s">
        <v>5776</v>
      </c>
      <c r="E61" t="s">
        <v>66</v>
      </c>
      <c r="F61" t="s">
        <v>1627</v>
      </c>
      <c r="G61" t="s">
        <v>56</v>
      </c>
      <c r="H61" t="s">
        <v>1627</v>
      </c>
      <c r="I61" t="s">
        <v>6420</v>
      </c>
      <c r="J61" t="s">
        <v>56</v>
      </c>
      <c r="K61">
        <v>139</v>
      </c>
      <c r="L61" t="s">
        <v>6228</v>
      </c>
      <c r="M61" t="s">
        <v>6421</v>
      </c>
      <c r="N61">
        <v>540</v>
      </c>
      <c r="O61">
        <v>3</v>
      </c>
      <c r="P61">
        <v>3</v>
      </c>
      <c r="Q61" t="s">
        <v>3911</v>
      </c>
      <c r="R61">
        <v>6</v>
      </c>
      <c r="S61">
        <v>540</v>
      </c>
      <c r="T61">
        <v>5</v>
      </c>
      <c r="U61" t="s">
        <v>3899</v>
      </c>
      <c r="V61" t="s">
        <v>56</v>
      </c>
      <c r="W61" t="s">
        <v>56</v>
      </c>
      <c r="X61" t="s">
        <v>56</v>
      </c>
      <c r="Y61" t="s">
        <v>56</v>
      </c>
      <c r="Z61" t="s">
        <v>56</v>
      </c>
      <c r="AA61" t="s">
        <v>56</v>
      </c>
      <c r="AB61" t="s">
        <v>56</v>
      </c>
      <c r="AC61" t="s">
        <v>56</v>
      </c>
      <c r="AD61" t="s">
        <v>56</v>
      </c>
      <c r="AE61" t="s">
        <v>56</v>
      </c>
      <c r="AF61" t="s">
        <v>56</v>
      </c>
      <c r="AG61" t="s">
        <v>6422</v>
      </c>
      <c r="AH61" t="s">
        <v>6423</v>
      </c>
      <c r="AI61">
        <v>1</v>
      </c>
      <c r="AJ61" t="s">
        <v>3902</v>
      </c>
    </row>
    <row r="62" spans="1:36" x14ac:dyDescent="0.25">
      <c r="A62" t="str">
        <f>"20200129199017112866"</f>
        <v>20200129199017112866</v>
      </c>
      <c r="B62">
        <v>2</v>
      </c>
      <c r="C62">
        <v>1</v>
      </c>
      <c r="D62" t="s">
        <v>5751</v>
      </c>
      <c r="E62" t="s">
        <v>66</v>
      </c>
      <c r="F62" t="s">
        <v>1627</v>
      </c>
      <c r="G62" t="s">
        <v>56</v>
      </c>
      <c r="H62" t="s">
        <v>1627</v>
      </c>
      <c r="I62" t="s">
        <v>6424</v>
      </c>
      <c r="J62" t="s">
        <v>56</v>
      </c>
      <c r="K62">
        <v>150</v>
      </c>
      <c r="L62" t="s">
        <v>6284</v>
      </c>
      <c r="M62" t="s">
        <v>6425</v>
      </c>
      <c r="N62">
        <v>1</v>
      </c>
      <c r="O62">
        <v>1</v>
      </c>
      <c r="P62">
        <v>8</v>
      </c>
      <c r="Q62" t="s">
        <v>5751</v>
      </c>
      <c r="R62" t="s">
        <v>56</v>
      </c>
      <c r="S62">
        <v>1</v>
      </c>
      <c r="T62" t="s">
        <v>56</v>
      </c>
      <c r="U62" t="s">
        <v>56</v>
      </c>
      <c r="V62">
        <v>1</v>
      </c>
      <c r="W62" t="s">
        <v>6286</v>
      </c>
      <c r="X62" t="s">
        <v>56</v>
      </c>
      <c r="Y62" t="s">
        <v>56</v>
      </c>
      <c r="Z62" t="s">
        <v>56</v>
      </c>
      <c r="AA62" t="s">
        <v>56</v>
      </c>
      <c r="AB62" t="s">
        <v>56</v>
      </c>
      <c r="AC62" t="s">
        <v>56</v>
      </c>
      <c r="AD62" t="s">
        <v>56</v>
      </c>
      <c r="AE62" t="s">
        <v>56</v>
      </c>
      <c r="AF62" t="s">
        <v>56</v>
      </c>
      <c r="AG62" t="s">
        <v>6426</v>
      </c>
      <c r="AH62" t="s">
        <v>6427</v>
      </c>
      <c r="AI62">
        <v>2</v>
      </c>
      <c r="AJ62" t="s">
        <v>4776</v>
      </c>
    </row>
    <row r="63" spans="1:36" x14ac:dyDescent="0.25">
      <c r="A63" t="str">
        <f>"20200129139017120489"</f>
        <v>20200129139017120489</v>
      </c>
      <c r="B63">
        <v>1</v>
      </c>
      <c r="C63">
        <v>2</v>
      </c>
      <c r="D63" t="s">
        <v>5776</v>
      </c>
      <c r="E63" t="s">
        <v>66</v>
      </c>
      <c r="F63" t="s">
        <v>1627</v>
      </c>
      <c r="G63" t="s">
        <v>56</v>
      </c>
      <c r="H63" t="s">
        <v>1627</v>
      </c>
      <c r="I63" t="s">
        <v>6428</v>
      </c>
      <c r="J63" t="s">
        <v>56</v>
      </c>
      <c r="K63">
        <v>139</v>
      </c>
      <c r="L63" t="s">
        <v>6228</v>
      </c>
      <c r="M63" t="s">
        <v>6429</v>
      </c>
      <c r="N63">
        <v>1</v>
      </c>
      <c r="O63">
        <v>12</v>
      </c>
      <c r="P63">
        <v>2</v>
      </c>
      <c r="Q63" t="s">
        <v>3897</v>
      </c>
      <c r="R63">
        <v>90</v>
      </c>
      <c r="S63">
        <v>180</v>
      </c>
      <c r="T63">
        <v>3</v>
      </c>
      <c r="U63" t="s">
        <v>3911</v>
      </c>
      <c r="V63" t="s">
        <v>56</v>
      </c>
      <c r="W63" t="s">
        <v>56</v>
      </c>
      <c r="X63" t="s">
        <v>56</v>
      </c>
      <c r="Y63" t="s">
        <v>56</v>
      </c>
      <c r="Z63" t="s">
        <v>56</v>
      </c>
      <c r="AA63" t="s">
        <v>56</v>
      </c>
      <c r="AB63" t="s">
        <v>56</v>
      </c>
      <c r="AC63" t="s">
        <v>56</v>
      </c>
      <c r="AD63" t="s">
        <v>56</v>
      </c>
      <c r="AE63" t="s">
        <v>56</v>
      </c>
      <c r="AF63" t="s">
        <v>56</v>
      </c>
      <c r="AG63" t="s">
        <v>6430</v>
      </c>
      <c r="AH63" t="s">
        <v>6431</v>
      </c>
      <c r="AI63">
        <v>1</v>
      </c>
      <c r="AJ63" t="s">
        <v>3902</v>
      </c>
    </row>
    <row r="64" spans="1:36" x14ac:dyDescent="0.25">
      <c r="A64" t="str">
        <f>"20200129140017124061"</f>
        <v>20200129140017124061</v>
      </c>
      <c r="B64">
        <v>1</v>
      </c>
      <c r="C64">
        <v>2</v>
      </c>
      <c r="D64" t="s">
        <v>5776</v>
      </c>
      <c r="E64" t="s">
        <v>66</v>
      </c>
      <c r="F64" t="s">
        <v>1627</v>
      </c>
      <c r="G64" t="s">
        <v>56</v>
      </c>
      <c r="H64" t="s">
        <v>1627</v>
      </c>
      <c r="I64" t="s">
        <v>6432</v>
      </c>
      <c r="J64" t="s">
        <v>56</v>
      </c>
      <c r="K64">
        <v>139</v>
      </c>
      <c r="L64" t="s">
        <v>6228</v>
      </c>
      <c r="M64" t="s">
        <v>6433</v>
      </c>
      <c r="N64">
        <v>1</v>
      </c>
      <c r="O64">
        <v>8</v>
      </c>
      <c r="P64">
        <v>2</v>
      </c>
      <c r="Q64" t="s">
        <v>3897</v>
      </c>
      <c r="R64">
        <v>3</v>
      </c>
      <c r="S64">
        <v>270</v>
      </c>
      <c r="T64">
        <v>5</v>
      </c>
      <c r="U64" t="s">
        <v>3899</v>
      </c>
      <c r="V64" t="s">
        <v>56</v>
      </c>
      <c r="W64" t="s">
        <v>56</v>
      </c>
      <c r="X64" t="s">
        <v>56</v>
      </c>
      <c r="Y64" t="s">
        <v>56</v>
      </c>
      <c r="Z64" t="s">
        <v>56</v>
      </c>
      <c r="AA64" t="s">
        <v>56</v>
      </c>
      <c r="AB64" t="s">
        <v>56</v>
      </c>
      <c r="AC64" t="s">
        <v>56</v>
      </c>
      <c r="AD64" t="s">
        <v>56</v>
      </c>
      <c r="AE64" t="s">
        <v>56</v>
      </c>
      <c r="AF64" t="s">
        <v>56</v>
      </c>
      <c r="AG64" t="s">
        <v>6434</v>
      </c>
      <c r="AH64" t="s">
        <v>6435</v>
      </c>
      <c r="AI64">
        <v>1</v>
      </c>
      <c r="AJ64" t="s">
        <v>3902</v>
      </c>
    </row>
    <row r="65" spans="1:36" x14ac:dyDescent="0.25">
      <c r="A65" t="str">
        <f>"20200129132017127619"</f>
        <v>20200129132017127619</v>
      </c>
      <c r="B65">
        <v>1</v>
      </c>
      <c r="C65">
        <v>2</v>
      </c>
      <c r="D65" t="s">
        <v>5776</v>
      </c>
      <c r="E65" t="s">
        <v>66</v>
      </c>
      <c r="F65" t="s">
        <v>1627</v>
      </c>
      <c r="G65" t="s">
        <v>56</v>
      </c>
      <c r="H65" t="s">
        <v>1627</v>
      </c>
      <c r="I65" t="s">
        <v>6436</v>
      </c>
      <c r="J65" t="s">
        <v>56</v>
      </c>
      <c r="K65">
        <v>139</v>
      </c>
      <c r="L65" t="s">
        <v>6228</v>
      </c>
      <c r="M65" t="s">
        <v>6437</v>
      </c>
      <c r="N65">
        <v>1</v>
      </c>
      <c r="O65">
        <v>8</v>
      </c>
      <c r="P65">
        <v>2</v>
      </c>
      <c r="Q65" t="s">
        <v>3897</v>
      </c>
      <c r="R65">
        <v>3</v>
      </c>
      <c r="S65">
        <v>270</v>
      </c>
      <c r="T65">
        <v>5</v>
      </c>
      <c r="U65" t="s">
        <v>3899</v>
      </c>
      <c r="V65" t="s">
        <v>56</v>
      </c>
      <c r="W65" t="s">
        <v>56</v>
      </c>
      <c r="X65" t="s">
        <v>56</v>
      </c>
      <c r="Y65" t="s">
        <v>56</v>
      </c>
      <c r="Z65" t="s">
        <v>56</v>
      </c>
      <c r="AA65" t="s">
        <v>56</v>
      </c>
      <c r="AB65" t="s">
        <v>56</v>
      </c>
      <c r="AC65" t="s">
        <v>56</v>
      </c>
      <c r="AD65" t="s">
        <v>56</v>
      </c>
      <c r="AE65" t="s">
        <v>56</v>
      </c>
      <c r="AF65" t="s">
        <v>56</v>
      </c>
      <c r="AG65" t="s">
        <v>6438</v>
      </c>
      <c r="AH65" t="s">
        <v>6439</v>
      </c>
      <c r="AI65">
        <v>1</v>
      </c>
      <c r="AJ65" t="s">
        <v>3902</v>
      </c>
    </row>
    <row r="66" spans="1:36" x14ac:dyDescent="0.25">
      <c r="A66" t="str">
        <f>"20200129157017098444"</f>
        <v>20200129157017098444</v>
      </c>
      <c r="B66">
        <v>1</v>
      </c>
      <c r="C66">
        <v>2</v>
      </c>
      <c r="D66" t="s">
        <v>5776</v>
      </c>
      <c r="E66" t="s">
        <v>66</v>
      </c>
      <c r="F66" t="s">
        <v>1627</v>
      </c>
      <c r="G66" t="s">
        <v>56</v>
      </c>
      <c r="H66" t="s">
        <v>1627</v>
      </c>
      <c r="I66" t="s">
        <v>6227</v>
      </c>
      <c r="J66" t="s">
        <v>56</v>
      </c>
      <c r="K66">
        <v>139</v>
      </c>
      <c r="L66" t="s">
        <v>6228</v>
      </c>
      <c r="M66" t="s">
        <v>6440</v>
      </c>
      <c r="N66">
        <v>1</v>
      </c>
      <c r="O66">
        <v>12</v>
      </c>
      <c r="P66">
        <v>2</v>
      </c>
      <c r="Q66" t="s">
        <v>3897</v>
      </c>
      <c r="R66">
        <v>3</v>
      </c>
      <c r="S66">
        <v>180</v>
      </c>
      <c r="T66">
        <v>5</v>
      </c>
      <c r="U66" t="s">
        <v>3899</v>
      </c>
      <c r="V66" t="s">
        <v>56</v>
      </c>
      <c r="W66" t="s">
        <v>56</v>
      </c>
      <c r="X66" t="s">
        <v>56</v>
      </c>
      <c r="Y66" t="s">
        <v>56</v>
      </c>
      <c r="Z66" t="s">
        <v>56</v>
      </c>
      <c r="AA66" t="s">
        <v>56</v>
      </c>
      <c r="AB66" t="s">
        <v>56</v>
      </c>
      <c r="AC66" t="s">
        <v>56</v>
      </c>
      <c r="AD66" t="s">
        <v>56</v>
      </c>
      <c r="AE66" t="s">
        <v>56</v>
      </c>
      <c r="AF66" t="s">
        <v>56</v>
      </c>
      <c r="AG66" t="s">
        <v>6227</v>
      </c>
      <c r="AH66" t="s">
        <v>6441</v>
      </c>
      <c r="AI66">
        <v>1</v>
      </c>
      <c r="AJ66" t="s">
        <v>3902</v>
      </c>
    </row>
    <row r="67" spans="1:36" x14ac:dyDescent="0.25">
      <c r="A67" t="str">
        <f>"20200129184017098590"</f>
        <v>20200129184017098590</v>
      </c>
      <c r="B67">
        <v>1</v>
      </c>
      <c r="C67">
        <v>2</v>
      </c>
      <c r="D67" t="s">
        <v>5776</v>
      </c>
      <c r="E67" t="s">
        <v>66</v>
      </c>
      <c r="F67" t="s">
        <v>1627</v>
      </c>
      <c r="G67" t="s">
        <v>56</v>
      </c>
      <c r="H67" t="s">
        <v>1627</v>
      </c>
      <c r="I67" t="s">
        <v>6227</v>
      </c>
      <c r="J67" t="s">
        <v>56</v>
      </c>
      <c r="K67">
        <v>139</v>
      </c>
      <c r="L67" t="s">
        <v>6228</v>
      </c>
      <c r="M67" t="s">
        <v>6442</v>
      </c>
      <c r="N67">
        <v>1</v>
      </c>
      <c r="O67">
        <v>8</v>
      </c>
      <c r="P67">
        <v>2</v>
      </c>
      <c r="Q67" t="s">
        <v>3897</v>
      </c>
      <c r="R67">
        <v>3</v>
      </c>
      <c r="S67">
        <v>270</v>
      </c>
      <c r="T67">
        <v>5</v>
      </c>
      <c r="U67" t="s">
        <v>3899</v>
      </c>
      <c r="V67" t="s">
        <v>56</v>
      </c>
      <c r="W67" t="s">
        <v>56</v>
      </c>
      <c r="X67" t="s">
        <v>56</v>
      </c>
      <c r="Y67" t="s">
        <v>56</v>
      </c>
      <c r="Z67" t="s">
        <v>56</v>
      </c>
      <c r="AA67" t="s">
        <v>56</v>
      </c>
      <c r="AB67" t="s">
        <v>56</v>
      </c>
      <c r="AC67" t="s">
        <v>56</v>
      </c>
      <c r="AD67" t="s">
        <v>56</v>
      </c>
      <c r="AE67" t="s">
        <v>56</v>
      </c>
      <c r="AF67" t="s">
        <v>56</v>
      </c>
      <c r="AG67" t="s">
        <v>6227</v>
      </c>
      <c r="AH67" t="s">
        <v>6443</v>
      </c>
      <c r="AI67">
        <v>1</v>
      </c>
      <c r="AJ67" t="s">
        <v>3902</v>
      </c>
    </row>
    <row r="68" spans="1:36" x14ac:dyDescent="0.25">
      <c r="A68" t="str">
        <f>"20200131112017170768"</f>
        <v>20200131112017170768</v>
      </c>
      <c r="B68">
        <v>2</v>
      </c>
      <c r="C68">
        <v>2</v>
      </c>
      <c r="D68" t="s">
        <v>5776</v>
      </c>
      <c r="E68" t="s">
        <v>66</v>
      </c>
      <c r="F68" t="s">
        <v>1627</v>
      </c>
      <c r="G68" t="s">
        <v>56</v>
      </c>
      <c r="H68" t="s">
        <v>1627</v>
      </c>
      <c r="I68" t="s">
        <v>6444</v>
      </c>
      <c r="J68" t="s">
        <v>56</v>
      </c>
      <c r="K68">
        <v>109</v>
      </c>
      <c r="L68" t="s">
        <v>6256</v>
      </c>
      <c r="M68" t="s">
        <v>6257</v>
      </c>
      <c r="N68">
        <v>1</v>
      </c>
      <c r="O68">
        <v>1</v>
      </c>
      <c r="P68">
        <v>5</v>
      </c>
      <c r="Q68" t="s">
        <v>3899</v>
      </c>
      <c r="R68">
        <v>6</v>
      </c>
      <c r="S68">
        <v>6</v>
      </c>
      <c r="T68">
        <v>5</v>
      </c>
      <c r="U68" t="s">
        <v>3899</v>
      </c>
      <c r="V68" t="s">
        <v>56</v>
      </c>
      <c r="W68" t="s">
        <v>56</v>
      </c>
      <c r="X68" t="s">
        <v>56</v>
      </c>
      <c r="Y68" t="s">
        <v>56</v>
      </c>
      <c r="Z68" t="s">
        <v>56</v>
      </c>
      <c r="AA68" t="s">
        <v>56</v>
      </c>
      <c r="AB68" t="s">
        <v>56</v>
      </c>
      <c r="AC68" t="s">
        <v>56</v>
      </c>
      <c r="AD68" t="s">
        <v>56</v>
      </c>
      <c r="AE68" t="s">
        <v>56</v>
      </c>
      <c r="AF68" t="s">
        <v>56</v>
      </c>
      <c r="AG68" t="s">
        <v>6445</v>
      </c>
      <c r="AH68" t="s">
        <v>6446</v>
      </c>
      <c r="AI68">
        <v>2</v>
      </c>
      <c r="AJ68" t="s">
        <v>4776</v>
      </c>
    </row>
    <row r="69" spans="1:36" x14ac:dyDescent="0.25">
      <c r="A69" t="str">
        <f>"20200131158017171646"</f>
        <v>20200131158017171646</v>
      </c>
      <c r="B69">
        <v>1</v>
      </c>
      <c r="C69">
        <v>2</v>
      </c>
      <c r="D69" t="s">
        <v>5776</v>
      </c>
      <c r="E69" t="s">
        <v>66</v>
      </c>
      <c r="F69" t="s">
        <v>1627</v>
      </c>
      <c r="G69" t="s">
        <v>56</v>
      </c>
      <c r="H69" t="s">
        <v>1627</v>
      </c>
      <c r="I69" t="s">
        <v>6447</v>
      </c>
      <c r="J69" t="s">
        <v>56</v>
      </c>
      <c r="K69">
        <v>139</v>
      </c>
      <c r="L69" t="s">
        <v>6228</v>
      </c>
      <c r="M69" t="s">
        <v>6448</v>
      </c>
      <c r="N69">
        <v>1</v>
      </c>
      <c r="O69">
        <v>8</v>
      </c>
      <c r="P69">
        <v>2</v>
      </c>
      <c r="Q69" t="s">
        <v>3897</v>
      </c>
      <c r="R69">
        <v>3</v>
      </c>
      <c r="S69">
        <v>270</v>
      </c>
      <c r="T69">
        <v>5</v>
      </c>
      <c r="U69" t="s">
        <v>3899</v>
      </c>
      <c r="V69" t="s">
        <v>56</v>
      </c>
      <c r="W69" t="s">
        <v>56</v>
      </c>
      <c r="X69" t="s">
        <v>56</v>
      </c>
      <c r="Y69" t="s">
        <v>56</v>
      </c>
      <c r="Z69" t="s">
        <v>56</v>
      </c>
      <c r="AA69" t="s">
        <v>56</v>
      </c>
      <c r="AB69" t="s">
        <v>56</v>
      </c>
      <c r="AC69" t="s">
        <v>56</v>
      </c>
      <c r="AD69" t="s">
        <v>56</v>
      </c>
      <c r="AE69" t="s">
        <v>56</v>
      </c>
      <c r="AF69" t="s">
        <v>56</v>
      </c>
      <c r="AG69" t="s">
        <v>6449</v>
      </c>
      <c r="AH69" t="s">
        <v>6450</v>
      </c>
      <c r="AI69">
        <v>1</v>
      </c>
      <c r="AJ69" t="s">
        <v>3902</v>
      </c>
    </row>
    <row r="70" spans="1:36" x14ac:dyDescent="0.25">
      <c r="A70" t="str">
        <f>"20200127126017046963"</f>
        <v>20200127126017046963</v>
      </c>
      <c r="B70">
        <v>1</v>
      </c>
      <c r="C70">
        <v>2</v>
      </c>
      <c r="D70" t="s">
        <v>5776</v>
      </c>
      <c r="E70" t="s">
        <v>66</v>
      </c>
      <c r="F70" t="s">
        <v>1627</v>
      </c>
      <c r="G70" t="s">
        <v>56</v>
      </c>
      <c r="H70" t="s">
        <v>1627</v>
      </c>
      <c r="I70" t="s">
        <v>6451</v>
      </c>
      <c r="J70" t="s">
        <v>56</v>
      </c>
      <c r="K70">
        <v>139</v>
      </c>
      <c r="L70" t="s">
        <v>6228</v>
      </c>
      <c r="M70" t="s">
        <v>6452</v>
      </c>
      <c r="N70">
        <v>1</v>
      </c>
      <c r="O70">
        <v>8</v>
      </c>
      <c r="P70">
        <v>2</v>
      </c>
      <c r="Q70" t="s">
        <v>3897</v>
      </c>
      <c r="R70">
        <v>90</v>
      </c>
      <c r="S70">
        <v>270</v>
      </c>
      <c r="T70">
        <v>3</v>
      </c>
      <c r="U70" t="s">
        <v>3911</v>
      </c>
      <c r="V70" t="s">
        <v>56</v>
      </c>
      <c r="W70" t="s">
        <v>56</v>
      </c>
      <c r="X70" t="s">
        <v>56</v>
      </c>
      <c r="Y70" t="s">
        <v>56</v>
      </c>
      <c r="Z70" t="s">
        <v>56</v>
      </c>
      <c r="AA70" t="s">
        <v>56</v>
      </c>
      <c r="AB70" t="s">
        <v>56</v>
      </c>
      <c r="AC70" t="s">
        <v>56</v>
      </c>
      <c r="AD70" t="s">
        <v>56</v>
      </c>
      <c r="AE70" t="s">
        <v>56</v>
      </c>
      <c r="AF70" t="s">
        <v>56</v>
      </c>
      <c r="AG70" t="s">
        <v>6453</v>
      </c>
      <c r="AH70" t="s">
        <v>6454</v>
      </c>
      <c r="AI70">
        <v>1</v>
      </c>
      <c r="AJ70" t="s">
        <v>3902</v>
      </c>
    </row>
    <row r="71" spans="1:36" x14ac:dyDescent="0.25">
      <c r="A71" t="str">
        <f>"20200127140017048486"</f>
        <v>20200127140017048486</v>
      </c>
      <c r="B71">
        <v>1</v>
      </c>
      <c r="C71">
        <v>2</v>
      </c>
      <c r="D71" t="s">
        <v>5776</v>
      </c>
      <c r="E71" t="s">
        <v>66</v>
      </c>
      <c r="F71" t="s">
        <v>1627</v>
      </c>
      <c r="G71" t="s">
        <v>56</v>
      </c>
      <c r="H71" t="s">
        <v>1627</v>
      </c>
      <c r="I71" t="s">
        <v>6455</v>
      </c>
      <c r="J71" t="s">
        <v>56</v>
      </c>
      <c r="K71">
        <v>139</v>
      </c>
      <c r="L71" t="s">
        <v>6228</v>
      </c>
      <c r="M71" t="s">
        <v>6456</v>
      </c>
      <c r="N71">
        <v>1</v>
      </c>
      <c r="O71">
        <v>8</v>
      </c>
      <c r="P71">
        <v>2</v>
      </c>
      <c r="Q71" t="s">
        <v>3897</v>
      </c>
      <c r="R71">
        <v>3</v>
      </c>
      <c r="S71">
        <v>270</v>
      </c>
      <c r="T71">
        <v>5</v>
      </c>
      <c r="U71" t="s">
        <v>3899</v>
      </c>
      <c r="V71" t="s">
        <v>56</v>
      </c>
      <c r="W71" t="s">
        <v>56</v>
      </c>
      <c r="X71" t="s">
        <v>56</v>
      </c>
      <c r="Y71" t="s">
        <v>56</v>
      </c>
      <c r="Z71" t="s">
        <v>56</v>
      </c>
      <c r="AA71" t="s">
        <v>56</v>
      </c>
      <c r="AB71" t="s">
        <v>56</v>
      </c>
      <c r="AC71" t="s">
        <v>56</v>
      </c>
      <c r="AD71" t="s">
        <v>56</v>
      </c>
      <c r="AE71" t="s">
        <v>56</v>
      </c>
      <c r="AF71" t="s">
        <v>56</v>
      </c>
      <c r="AG71" t="s">
        <v>6457</v>
      </c>
      <c r="AH71" t="s">
        <v>6458</v>
      </c>
      <c r="AI71">
        <v>1</v>
      </c>
      <c r="AJ71" t="s">
        <v>3902</v>
      </c>
    </row>
    <row r="72" spans="1:36" x14ac:dyDescent="0.25">
      <c r="A72" t="str">
        <f>"20200127183017049135"</f>
        <v>20200127183017049135</v>
      </c>
      <c r="B72">
        <v>1</v>
      </c>
      <c r="C72">
        <v>2</v>
      </c>
      <c r="D72" t="s">
        <v>5776</v>
      </c>
      <c r="E72" t="s">
        <v>66</v>
      </c>
      <c r="F72" t="s">
        <v>1627</v>
      </c>
      <c r="G72" t="s">
        <v>56</v>
      </c>
      <c r="H72" t="s">
        <v>1627</v>
      </c>
      <c r="I72" t="s">
        <v>6459</v>
      </c>
      <c r="J72" t="s">
        <v>56</v>
      </c>
      <c r="K72">
        <v>139</v>
      </c>
      <c r="L72" t="s">
        <v>6228</v>
      </c>
      <c r="M72" t="s">
        <v>6460</v>
      </c>
      <c r="N72">
        <v>1</v>
      </c>
      <c r="O72">
        <v>8</v>
      </c>
      <c r="P72">
        <v>2</v>
      </c>
      <c r="Q72" t="s">
        <v>3897</v>
      </c>
      <c r="R72">
        <v>3</v>
      </c>
      <c r="S72">
        <v>180</v>
      </c>
      <c r="T72">
        <v>5</v>
      </c>
      <c r="U72" t="s">
        <v>3899</v>
      </c>
      <c r="V72" t="s">
        <v>56</v>
      </c>
      <c r="W72" t="s">
        <v>56</v>
      </c>
      <c r="X72" t="s">
        <v>56</v>
      </c>
      <c r="Y72" t="s">
        <v>56</v>
      </c>
      <c r="Z72" t="s">
        <v>56</v>
      </c>
      <c r="AA72" t="s">
        <v>56</v>
      </c>
      <c r="AB72" t="s">
        <v>56</v>
      </c>
      <c r="AC72" t="s">
        <v>56</v>
      </c>
      <c r="AD72" t="s">
        <v>56</v>
      </c>
      <c r="AE72" t="s">
        <v>56</v>
      </c>
      <c r="AF72" t="s">
        <v>56</v>
      </c>
      <c r="AG72" t="s">
        <v>6461</v>
      </c>
      <c r="AH72" t="s">
        <v>6462</v>
      </c>
      <c r="AI72">
        <v>1</v>
      </c>
      <c r="AJ72" t="s">
        <v>3902</v>
      </c>
    </row>
    <row r="73" spans="1:36" x14ac:dyDescent="0.25">
      <c r="A73" t="str">
        <f>"20200127170017057880"</f>
        <v>20200127170017057880</v>
      </c>
      <c r="B73">
        <v>1</v>
      </c>
      <c r="C73">
        <v>2</v>
      </c>
      <c r="D73" t="s">
        <v>5776</v>
      </c>
      <c r="E73" t="s">
        <v>66</v>
      </c>
      <c r="F73" t="s">
        <v>1627</v>
      </c>
      <c r="G73" t="s">
        <v>56</v>
      </c>
      <c r="H73" t="s">
        <v>1627</v>
      </c>
      <c r="I73" t="s">
        <v>6463</v>
      </c>
      <c r="J73" t="s">
        <v>56</v>
      </c>
      <c r="K73">
        <v>139</v>
      </c>
      <c r="L73" t="s">
        <v>6228</v>
      </c>
      <c r="M73" t="s">
        <v>6464</v>
      </c>
      <c r="N73">
        <v>1</v>
      </c>
      <c r="O73">
        <v>8</v>
      </c>
      <c r="P73">
        <v>2</v>
      </c>
      <c r="Q73" t="s">
        <v>3897</v>
      </c>
      <c r="R73">
        <v>30</v>
      </c>
      <c r="S73">
        <v>90</v>
      </c>
      <c r="T73">
        <v>3</v>
      </c>
      <c r="U73" t="s">
        <v>3911</v>
      </c>
      <c r="V73" t="s">
        <v>56</v>
      </c>
      <c r="W73" t="s">
        <v>56</v>
      </c>
      <c r="X73" t="s">
        <v>56</v>
      </c>
      <c r="Y73" t="s">
        <v>56</v>
      </c>
      <c r="Z73" t="s">
        <v>56</v>
      </c>
      <c r="AA73" t="s">
        <v>56</v>
      </c>
      <c r="AB73" t="s">
        <v>56</v>
      </c>
      <c r="AC73" t="s">
        <v>56</v>
      </c>
      <c r="AD73" t="s">
        <v>56</v>
      </c>
      <c r="AE73" t="s">
        <v>56</v>
      </c>
      <c r="AF73" t="s">
        <v>56</v>
      </c>
      <c r="AG73" t="s">
        <v>6465</v>
      </c>
      <c r="AH73" t="s">
        <v>6466</v>
      </c>
      <c r="AI73">
        <v>1</v>
      </c>
      <c r="AJ73" t="s">
        <v>3902</v>
      </c>
    </row>
    <row r="74" spans="1:36" x14ac:dyDescent="0.25">
      <c r="A74" t="str">
        <f>"20200127113017061366"</f>
        <v>20200127113017061366</v>
      </c>
      <c r="B74">
        <v>1</v>
      </c>
      <c r="C74">
        <v>2</v>
      </c>
      <c r="D74" t="s">
        <v>5776</v>
      </c>
      <c r="E74" t="s">
        <v>66</v>
      </c>
      <c r="F74" t="s">
        <v>1627</v>
      </c>
      <c r="G74" t="s">
        <v>56</v>
      </c>
      <c r="H74" t="s">
        <v>1627</v>
      </c>
      <c r="I74" t="s">
        <v>6467</v>
      </c>
      <c r="J74" t="s">
        <v>56</v>
      </c>
      <c r="K74">
        <v>139</v>
      </c>
      <c r="L74" t="s">
        <v>6228</v>
      </c>
      <c r="M74" t="s">
        <v>6468</v>
      </c>
      <c r="N74">
        <v>270</v>
      </c>
      <c r="O74">
        <v>3</v>
      </c>
      <c r="P74">
        <v>3</v>
      </c>
      <c r="Q74" t="s">
        <v>3911</v>
      </c>
      <c r="R74">
        <v>3</v>
      </c>
      <c r="S74">
        <v>270</v>
      </c>
      <c r="T74">
        <v>5</v>
      </c>
      <c r="U74" t="s">
        <v>3899</v>
      </c>
      <c r="V74" t="s">
        <v>56</v>
      </c>
      <c r="W74" t="s">
        <v>56</v>
      </c>
      <c r="X74" t="s">
        <v>56</v>
      </c>
      <c r="Y74" t="s">
        <v>56</v>
      </c>
      <c r="Z74" t="s">
        <v>56</v>
      </c>
      <c r="AA74" t="s">
        <v>56</v>
      </c>
      <c r="AB74" t="s">
        <v>56</v>
      </c>
      <c r="AC74" t="s">
        <v>56</v>
      </c>
      <c r="AD74" t="s">
        <v>56</v>
      </c>
      <c r="AE74" t="s">
        <v>56</v>
      </c>
      <c r="AF74" t="s">
        <v>56</v>
      </c>
      <c r="AG74" t="s">
        <v>6467</v>
      </c>
      <c r="AH74" t="s">
        <v>6469</v>
      </c>
      <c r="AI74">
        <v>1</v>
      </c>
      <c r="AJ74" t="s">
        <v>3902</v>
      </c>
    </row>
    <row r="75" spans="1:36" x14ac:dyDescent="0.25">
      <c r="A75" t="str">
        <f>"20200127118017063181"</f>
        <v>20200127118017063181</v>
      </c>
      <c r="B75">
        <v>1</v>
      </c>
      <c r="C75">
        <v>2</v>
      </c>
      <c r="D75" t="s">
        <v>5776</v>
      </c>
      <c r="E75" t="s">
        <v>66</v>
      </c>
      <c r="F75" t="s">
        <v>1627</v>
      </c>
      <c r="G75" t="s">
        <v>56</v>
      </c>
      <c r="H75" t="s">
        <v>1627</v>
      </c>
      <c r="I75" t="s">
        <v>6297</v>
      </c>
      <c r="J75" t="s">
        <v>56</v>
      </c>
      <c r="K75">
        <v>139</v>
      </c>
      <c r="L75" t="s">
        <v>6228</v>
      </c>
      <c r="M75" t="s">
        <v>6298</v>
      </c>
      <c r="N75">
        <v>270</v>
      </c>
      <c r="O75">
        <v>8</v>
      </c>
      <c r="P75">
        <v>2</v>
      </c>
      <c r="Q75" t="s">
        <v>3897</v>
      </c>
      <c r="R75">
        <v>90</v>
      </c>
      <c r="S75">
        <v>270</v>
      </c>
      <c r="T75">
        <v>3</v>
      </c>
      <c r="U75" t="s">
        <v>3911</v>
      </c>
      <c r="V75" t="s">
        <v>56</v>
      </c>
      <c r="W75" t="s">
        <v>56</v>
      </c>
      <c r="X75" t="s">
        <v>56</v>
      </c>
      <c r="Y75" t="s">
        <v>56</v>
      </c>
      <c r="Z75" t="s">
        <v>56</v>
      </c>
      <c r="AA75" t="s">
        <v>56</v>
      </c>
      <c r="AB75" t="s">
        <v>56</v>
      </c>
      <c r="AC75" t="s">
        <v>56</v>
      </c>
      <c r="AD75" t="s">
        <v>56</v>
      </c>
      <c r="AE75" t="s">
        <v>56</v>
      </c>
      <c r="AF75" t="s">
        <v>56</v>
      </c>
      <c r="AG75" t="s">
        <v>6297</v>
      </c>
      <c r="AH75" t="s">
        <v>6470</v>
      </c>
      <c r="AI75">
        <v>1</v>
      </c>
      <c r="AJ75" t="s">
        <v>3902</v>
      </c>
    </row>
    <row r="76" spans="1:36" x14ac:dyDescent="0.25">
      <c r="A76" t="str">
        <f>"20200127165017063264"</f>
        <v>20200127165017063264</v>
      </c>
      <c r="B76">
        <v>1</v>
      </c>
      <c r="C76">
        <v>2</v>
      </c>
      <c r="D76" t="s">
        <v>5776</v>
      </c>
      <c r="E76" t="s">
        <v>66</v>
      </c>
      <c r="F76" t="s">
        <v>1627</v>
      </c>
      <c r="G76" t="s">
        <v>56</v>
      </c>
      <c r="H76" t="s">
        <v>1627</v>
      </c>
      <c r="I76" t="s">
        <v>6297</v>
      </c>
      <c r="J76" t="s">
        <v>56</v>
      </c>
      <c r="K76">
        <v>139</v>
      </c>
      <c r="L76" t="s">
        <v>6228</v>
      </c>
      <c r="M76" t="s">
        <v>6471</v>
      </c>
      <c r="N76">
        <v>270</v>
      </c>
      <c r="O76">
        <v>8</v>
      </c>
      <c r="P76">
        <v>2</v>
      </c>
      <c r="Q76" t="s">
        <v>3897</v>
      </c>
      <c r="R76">
        <v>90</v>
      </c>
      <c r="S76">
        <v>270</v>
      </c>
      <c r="T76">
        <v>3</v>
      </c>
      <c r="U76" t="s">
        <v>3911</v>
      </c>
      <c r="V76" t="s">
        <v>56</v>
      </c>
      <c r="W76" t="s">
        <v>56</v>
      </c>
      <c r="X76" t="s">
        <v>56</v>
      </c>
      <c r="Y76" t="s">
        <v>56</v>
      </c>
      <c r="Z76" t="s">
        <v>56</v>
      </c>
      <c r="AA76" t="s">
        <v>56</v>
      </c>
      <c r="AB76" t="s">
        <v>56</v>
      </c>
      <c r="AC76" t="s">
        <v>56</v>
      </c>
      <c r="AD76" t="s">
        <v>56</v>
      </c>
      <c r="AE76" t="s">
        <v>56</v>
      </c>
      <c r="AF76" t="s">
        <v>56</v>
      </c>
      <c r="AG76" t="s">
        <v>6297</v>
      </c>
      <c r="AH76" t="s">
        <v>6472</v>
      </c>
      <c r="AI76">
        <v>1</v>
      </c>
      <c r="AJ76" t="s">
        <v>3902</v>
      </c>
    </row>
    <row r="77" spans="1:36" x14ac:dyDescent="0.25">
      <c r="A77" t="str">
        <f>"20200127111017042649"</f>
        <v>20200127111017042649</v>
      </c>
      <c r="B77">
        <v>1</v>
      </c>
      <c r="C77">
        <v>2</v>
      </c>
      <c r="D77" t="s">
        <v>5776</v>
      </c>
      <c r="E77" t="s">
        <v>66</v>
      </c>
      <c r="F77" t="s">
        <v>1627</v>
      </c>
      <c r="G77" t="s">
        <v>56</v>
      </c>
      <c r="H77" t="s">
        <v>1627</v>
      </c>
      <c r="I77" t="s">
        <v>6473</v>
      </c>
      <c r="J77" t="s">
        <v>56</v>
      </c>
      <c r="K77">
        <v>139</v>
      </c>
      <c r="L77" t="s">
        <v>6228</v>
      </c>
      <c r="M77" t="s">
        <v>6474</v>
      </c>
      <c r="N77">
        <v>1</v>
      </c>
      <c r="O77">
        <v>8</v>
      </c>
      <c r="P77">
        <v>2</v>
      </c>
      <c r="Q77" t="s">
        <v>3897</v>
      </c>
      <c r="R77">
        <v>90</v>
      </c>
      <c r="S77">
        <v>270</v>
      </c>
      <c r="T77">
        <v>3</v>
      </c>
      <c r="U77" t="s">
        <v>3911</v>
      </c>
      <c r="V77" t="s">
        <v>56</v>
      </c>
      <c r="W77" t="s">
        <v>56</v>
      </c>
      <c r="X77" t="s">
        <v>56</v>
      </c>
      <c r="Y77" t="s">
        <v>56</v>
      </c>
      <c r="Z77" t="s">
        <v>56</v>
      </c>
      <c r="AA77" t="s">
        <v>56</v>
      </c>
      <c r="AB77" t="s">
        <v>56</v>
      </c>
      <c r="AC77" t="s">
        <v>56</v>
      </c>
      <c r="AD77" t="s">
        <v>56</v>
      </c>
      <c r="AE77" t="s">
        <v>56</v>
      </c>
      <c r="AF77" t="s">
        <v>56</v>
      </c>
      <c r="AG77" t="s">
        <v>6473</v>
      </c>
      <c r="AH77" t="s">
        <v>6475</v>
      </c>
      <c r="AI77">
        <v>1</v>
      </c>
      <c r="AJ77" t="s">
        <v>3902</v>
      </c>
    </row>
    <row r="78" spans="1:36" x14ac:dyDescent="0.25">
      <c r="A78" t="str">
        <f>"20200127120017045162"</f>
        <v>20200127120017045162</v>
      </c>
      <c r="B78">
        <v>1</v>
      </c>
      <c r="C78">
        <v>2</v>
      </c>
      <c r="D78" t="s">
        <v>5776</v>
      </c>
      <c r="E78" t="s">
        <v>66</v>
      </c>
      <c r="F78" t="s">
        <v>1627</v>
      </c>
      <c r="G78" t="s">
        <v>56</v>
      </c>
      <c r="H78" t="s">
        <v>1627</v>
      </c>
      <c r="I78" t="s">
        <v>6476</v>
      </c>
      <c r="J78" t="s">
        <v>56</v>
      </c>
      <c r="K78">
        <v>139</v>
      </c>
      <c r="L78" t="s">
        <v>6228</v>
      </c>
      <c r="M78" t="s">
        <v>6476</v>
      </c>
      <c r="N78">
        <v>120</v>
      </c>
      <c r="O78">
        <v>4</v>
      </c>
      <c r="P78">
        <v>3</v>
      </c>
      <c r="Q78" t="s">
        <v>3911</v>
      </c>
      <c r="R78">
        <v>30</v>
      </c>
      <c r="S78">
        <v>120</v>
      </c>
      <c r="T78">
        <v>3</v>
      </c>
      <c r="U78" t="s">
        <v>3911</v>
      </c>
      <c r="V78" t="s">
        <v>56</v>
      </c>
      <c r="W78" t="s">
        <v>56</v>
      </c>
      <c r="X78" t="s">
        <v>56</v>
      </c>
      <c r="Y78" t="s">
        <v>56</v>
      </c>
      <c r="Z78" t="s">
        <v>56</v>
      </c>
      <c r="AA78" t="s">
        <v>56</v>
      </c>
      <c r="AB78" t="s">
        <v>56</v>
      </c>
      <c r="AC78" t="s">
        <v>56</v>
      </c>
      <c r="AD78" t="s">
        <v>56</v>
      </c>
      <c r="AE78" t="s">
        <v>56</v>
      </c>
      <c r="AF78" t="s">
        <v>56</v>
      </c>
      <c r="AG78" t="s">
        <v>6476</v>
      </c>
      <c r="AH78" t="s">
        <v>6477</v>
      </c>
      <c r="AI78">
        <v>1</v>
      </c>
      <c r="AJ78" t="s">
        <v>3902</v>
      </c>
    </row>
    <row r="79" spans="1:36" x14ac:dyDescent="0.25">
      <c r="A79" t="str">
        <f>"20200128137017074973"</f>
        <v>20200128137017074973</v>
      </c>
      <c r="B79">
        <v>1</v>
      </c>
      <c r="C79">
        <v>2</v>
      </c>
      <c r="D79" t="s">
        <v>5776</v>
      </c>
      <c r="E79" t="s">
        <v>66</v>
      </c>
      <c r="F79" t="s">
        <v>1627</v>
      </c>
      <c r="G79" t="s">
        <v>56</v>
      </c>
      <c r="H79" t="s">
        <v>1627</v>
      </c>
      <c r="I79" t="s">
        <v>6478</v>
      </c>
      <c r="J79" t="s">
        <v>56</v>
      </c>
      <c r="K79">
        <v>139</v>
      </c>
      <c r="L79" t="s">
        <v>6228</v>
      </c>
      <c r="M79" t="s">
        <v>6479</v>
      </c>
      <c r="N79">
        <v>3</v>
      </c>
      <c r="O79">
        <v>1</v>
      </c>
      <c r="P79">
        <v>3</v>
      </c>
      <c r="Q79" t="s">
        <v>3911</v>
      </c>
      <c r="R79">
        <v>1</v>
      </c>
      <c r="S79">
        <v>90</v>
      </c>
      <c r="T79">
        <v>5</v>
      </c>
      <c r="U79" t="s">
        <v>3899</v>
      </c>
      <c r="V79" t="s">
        <v>56</v>
      </c>
      <c r="W79" t="s">
        <v>56</v>
      </c>
      <c r="X79" t="s">
        <v>56</v>
      </c>
      <c r="Y79" t="s">
        <v>56</v>
      </c>
      <c r="Z79" t="s">
        <v>56</v>
      </c>
      <c r="AA79" t="s">
        <v>56</v>
      </c>
      <c r="AB79" t="s">
        <v>56</v>
      </c>
      <c r="AC79" t="s">
        <v>56</v>
      </c>
      <c r="AD79" t="s">
        <v>56</v>
      </c>
      <c r="AE79" t="s">
        <v>56</v>
      </c>
      <c r="AF79" t="s">
        <v>56</v>
      </c>
      <c r="AG79" t="s">
        <v>6480</v>
      </c>
      <c r="AH79" t="s">
        <v>6481</v>
      </c>
      <c r="AI79">
        <v>1</v>
      </c>
      <c r="AJ79" t="s">
        <v>3902</v>
      </c>
    </row>
    <row r="80" spans="1:36" x14ac:dyDescent="0.25">
      <c r="A80" t="str">
        <f>"20200128166017076215"</f>
        <v>20200128166017076215</v>
      </c>
      <c r="B80">
        <v>1</v>
      </c>
      <c r="C80">
        <v>2</v>
      </c>
      <c r="D80" t="s">
        <v>5776</v>
      </c>
      <c r="E80" t="s">
        <v>66</v>
      </c>
      <c r="F80" t="s">
        <v>1627</v>
      </c>
      <c r="G80" t="s">
        <v>56</v>
      </c>
      <c r="H80" t="s">
        <v>1627</v>
      </c>
      <c r="I80" t="s">
        <v>6482</v>
      </c>
      <c r="J80" t="s">
        <v>56</v>
      </c>
      <c r="K80">
        <v>139</v>
      </c>
      <c r="L80" t="s">
        <v>6228</v>
      </c>
      <c r="M80" t="s">
        <v>6483</v>
      </c>
      <c r="N80">
        <v>1</v>
      </c>
      <c r="O80">
        <v>6</v>
      </c>
      <c r="P80">
        <v>2</v>
      </c>
      <c r="Q80" t="s">
        <v>3897</v>
      </c>
      <c r="R80">
        <v>2</v>
      </c>
      <c r="S80">
        <v>240</v>
      </c>
      <c r="T80">
        <v>5</v>
      </c>
      <c r="U80" t="s">
        <v>3899</v>
      </c>
      <c r="V80" t="s">
        <v>56</v>
      </c>
      <c r="W80" t="s">
        <v>56</v>
      </c>
      <c r="X80" t="s">
        <v>56</v>
      </c>
      <c r="Y80" t="s">
        <v>56</v>
      </c>
      <c r="Z80" t="s">
        <v>56</v>
      </c>
      <c r="AA80" t="s">
        <v>56</v>
      </c>
      <c r="AB80" t="s">
        <v>56</v>
      </c>
      <c r="AC80" t="s">
        <v>56</v>
      </c>
      <c r="AD80" t="s">
        <v>56</v>
      </c>
      <c r="AE80" t="s">
        <v>56</v>
      </c>
      <c r="AF80" t="s">
        <v>56</v>
      </c>
      <c r="AG80" t="s">
        <v>6484</v>
      </c>
      <c r="AH80" t="s">
        <v>6485</v>
      </c>
      <c r="AI80">
        <v>1</v>
      </c>
      <c r="AJ80" t="s">
        <v>3902</v>
      </c>
    </row>
    <row r="81" spans="1:36" x14ac:dyDescent="0.25">
      <c r="A81" t="str">
        <f>"20200128125017077778"</f>
        <v>20200128125017077778</v>
      </c>
      <c r="B81">
        <v>1</v>
      </c>
      <c r="C81">
        <v>1</v>
      </c>
      <c r="D81" t="s">
        <v>5751</v>
      </c>
      <c r="E81" t="s">
        <v>66</v>
      </c>
      <c r="F81" t="s">
        <v>1627</v>
      </c>
      <c r="G81" t="s">
        <v>56</v>
      </c>
      <c r="H81" t="s">
        <v>1627</v>
      </c>
      <c r="I81" t="s">
        <v>6486</v>
      </c>
      <c r="J81" t="s">
        <v>56</v>
      </c>
      <c r="K81">
        <v>156</v>
      </c>
      <c r="L81" t="s">
        <v>6487</v>
      </c>
      <c r="M81" t="s">
        <v>6488</v>
      </c>
      <c r="N81">
        <v>1</v>
      </c>
      <c r="O81">
        <v>1</v>
      </c>
      <c r="P81">
        <v>8</v>
      </c>
      <c r="Q81" t="s">
        <v>5751</v>
      </c>
      <c r="R81" t="s">
        <v>56</v>
      </c>
      <c r="S81">
        <v>1</v>
      </c>
      <c r="T81" t="s">
        <v>56</v>
      </c>
      <c r="U81" t="s">
        <v>56</v>
      </c>
      <c r="V81" t="s">
        <v>56</v>
      </c>
      <c r="W81" t="s">
        <v>56</v>
      </c>
      <c r="X81" t="s">
        <v>56</v>
      </c>
      <c r="Y81" t="s">
        <v>56</v>
      </c>
      <c r="Z81" t="s">
        <v>56</v>
      </c>
      <c r="AA81" t="s">
        <v>56</v>
      </c>
      <c r="AB81" t="s">
        <v>56</v>
      </c>
      <c r="AC81" t="s">
        <v>56</v>
      </c>
      <c r="AD81" t="s">
        <v>56</v>
      </c>
      <c r="AE81" t="s">
        <v>56</v>
      </c>
      <c r="AF81" t="s">
        <v>56</v>
      </c>
      <c r="AG81" t="s">
        <v>6489</v>
      </c>
      <c r="AH81" t="s">
        <v>6490</v>
      </c>
      <c r="AI81">
        <v>3</v>
      </c>
      <c r="AJ81" t="s">
        <v>5993</v>
      </c>
    </row>
    <row r="82" spans="1:36" x14ac:dyDescent="0.25">
      <c r="A82" t="str">
        <f>"20200128188017081024"</f>
        <v>20200128188017081024</v>
      </c>
      <c r="B82">
        <v>1</v>
      </c>
      <c r="C82">
        <v>2</v>
      </c>
      <c r="D82" t="s">
        <v>5776</v>
      </c>
      <c r="E82" t="s">
        <v>66</v>
      </c>
      <c r="F82" t="s">
        <v>1627</v>
      </c>
      <c r="G82" t="s">
        <v>56</v>
      </c>
      <c r="H82" t="s">
        <v>1627</v>
      </c>
      <c r="I82" t="s">
        <v>6491</v>
      </c>
      <c r="J82" t="s">
        <v>56</v>
      </c>
      <c r="K82">
        <v>139</v>
      </c>
      <c r="L82" t="s">
        <v>6228</v>
      </c>
      <c r="M82" t="s">
        <v>6492</v>
      </c>
      <c r="N82">
        <v>1</v>
      </c>
      <c r="O82">
        <v>8</v>
      </c>
      <c r="P82">
        <v>2</v>
      </c>
      <c r="Q82" t="s">
        <v>3897</v>
      </c>
      <c r="R82">
        <v>3</v>
      </c>
      <c r="S82">
        <v>270</v>
      </c>
      <c r="T82">
        <v>5</v>
      </c>
      <c r="U82" t="s">
        <v>3899</v>
      </c>
      <c r="V82" t="s">
        <v>56</v>
      </c>
      <c r="W82" t="s">
        <v>56</v>
      </c>
      <c r="X82" t="s">
        <v>56</v>
      </c>
      <c r="Y82" t="s">
        <v>56</v>
      </c>
      <c r="Z82" t="s">
        <v>56</v>
      </c>
      <c r="AA82" t="s">
        <v>56</v>
      </c>
      <c r="AB82" t="s">
        <v>56</v>
      </c>
      <c r="AC82" t="s">
        <v>56</v>
      </c>
      <c r="AD82" t="s">
        <v>56</v>
      </c>
      <c r="AE82" t="s">
        <v>56</v>
      </c>
      <c r="AF82" t="s">
        <v>56</v>
      </c>
      <c r="AG82" t="s">
        <v>6493</v>
      </c>
      <c r="AH82" t="s">
        <v>6494</v>
      </c>
      <c r="AI82">
        <v>1</v>
      </c>
      <c r="AJ82" t="s">
        <v>3902</v>
      </c>
    </row>
    <row r="83" spans="1:36" x14ac:dyDescent="0.25">
      <c r="A83" t="str">
        <f>"20200128113017081437"</f>
        <v>20200128113017081437</v>
      </c>
      <c r="B83">
        <v>1</v>
      </c>
      <c r="C83">
        <v>2</v>
      </c>
      <c r="D83" t="s">
        <v>5776</v>
      </c>
      <c r="E83" t="s">
        <v>66</v>
      </c>
      <c r="F83" t="s">
        <v>1627</v>
      </c>
      <c r="G83" t="s">
        <v>56</v>
      </c>
      <c r="H83" t="s">
        <v>1627</v>
      </c>
      <c r="I83" t="s">
        <v>6495</v>
      </c>
      <c r="J83" t="s">
        <v>56</v>
      </c>
      <c r="K83">
        <v>139</v>
      </c>
      <c r="L83" t="s">
        <v>6228</v>
      </c>
      <c r="M83" t="s">
        <v>6496</v>
      </c>
      <c r="N83">
        <v>1</v>
      </c>
      <c r="O83">
        <v>6</v>
      </c>
      <c r="P83">
        <v>2</v>
      </c>
      <c r="Q83" t="s">
        <v>3897</v>
      </c>
      <c r="R83">
        <v>3</v>
      </c>
      <c r="S83">
        <v>360</v>
      </c>
      <c r="T83">
        <v>5</v>
      </c>
      <c r="U83" t="s">
        <v>3899</v>
      </c>
      <c r="V83" t="s">
        <v>56</v>
      </c>
      <c r="W83" t="s">
        <v>56</v>
      </c>
      <c r="X83" t="s">
        <v>56</v>
      </c>
      <c r="Y83" t="s">
        <v>56</v>
      </c>
      <c r="Z83" t="s">
        <v>56</v>
      </c>
      <c r="AA83" t="s">
        <v>56</v>
      </c>
      <c r="AB83" t="s">
        <v>56</v>
      </c>
      <c r="AC83" t="s">
        <v>56</v>
      </c>
      <c r="AD83" t="s">
        <v>56</v>
      </c>
      <c r="AE83" t="s">
        <v>56</v>
      </c>
      <c r="AF83" t="s">
        <v>56</v>
      </c>
      <c r="AG83" t="s">
        <v>6497</v>
      </c>
      <c r="AH83" t="s">
        <v>6498</v>
      </c>
      <c r="AI83">
        <v>1</v>
      </c>
      <c r="AJ83" t="s">
        <v>3902</v>
      </c>
    </row>
    <row r="84" spans="1:36" x14ac:dyDescent="0.25">
      <c r="A84" t="str">
        <f>"20200128140017081471"</f>
        <v>20200128140017081471</v>
      </c>
      <c r="B84">
        <v>1</v>
      </c>
      <c r="C84">
        <v>2</v>
      </c>
      <c r="D84" t="s">
        <v>5776</v>
      </c>
      <c r="E84" t="s">
        <v>66</v>
      </c>
      <c r="F84" t="s">
        <v>1627</v>
      </c>
      <c r="G84" t="s">
        <v>56</v>
      </c>
      <c r="H84" t="s">
        <v>1627</v>
      </c>
      <c r="I84" t="s">
        <v>6499</v>
      </c>
      <c r="J84" t="s">
        <v>56</v>
      </c>
      <c r="K84">
        <v>139</v>
      </c>
      <c r="L84" t="s">
        <v>6228</v>
      </c>
      <c r="M84" t="s">
        <v>6326</v>
      </c>
      <c r="N84">
        <v>1</v>
      </c>
      <c r="O84">
        <v>8</v>
      </c>
      <c r="P84">
        <v>2</v>
      </c>
      <c r="Q84" t="s">
        <v>3897</v>
      </c>
      <c r="R84">
        <v>3</v>
      </c>
      <c r="S84">
        <v>270</v>
      </c>
      <c r="T84">
        <v>5</v>
      </c>
      <c r="U84" t="s">
        <v>3899</v>
      </c>
      <c r="V84" t="s">
        <v>56</v>
      </c>
      <c r="W84" t="s">
        <v>56</v>
      </c>
      <c r="X84" t="s">
        <v>56</v>
      </c>
      <c r="Y84" t="s">
        <v>56</v>
      </c>
      <c r="Z84" t="s">
        <v>56</v>
      </c>
      <c r="AA84" t="s">
        <v>56</v>
      </c>
      <c r="AB84" t="s">
        <v>56</v>
      </c>
      <c r="AC84" t="s">
        <v>56</v>
      </c>
      <c r="AD84" t="s">
        <v>56</v>
      </c>
      <c r="AE84" t="s">
        <v>56</v>
      </c>
      <c r="AF84" t="s">
        <v>56</v>
      </c>
      <c r="AG84" t="s">
        <v>6500</v>
      </c>
      <c r="AH84" t="s">
        <v>6501</v>
      </c>
      <c r="AI84">
        <v>1</v>
      </c>
      <c r="AJ84" t="s">
        <v>3902</v>
      </c>
    </row>
    <row r="85" spans="1:36" x14ac:dyDescent="0.25">
      <c r="A85" t="str">
        <f>"20200128180017082363"</f>
        <v>20200128180017082363</v>
      </c>
      <c r="B85">
        <v>1</v>
      </c>
      <c r="C85">
        <v>2</v>
      </c>
      <c r="D85" t="s">
        <v>5776</v>
      </c>
      <c r="E85" t="s">
        <v>66</v>
      </c>
      <c r="F85" t="s">
        <v>1627</v>
      </c>
      <c r="G85" t="s">
        <v>56</v>
      </c>
      <c r="H85" t="s">
        <v>1627</v>
      </c>
      <c r="I85" t="s">
        <v>6502</v>
      </c>
      <c r="J85" t="s">
        <v>56</v>
      </c>
      <c r="K85">
        <v>139</v>
      </c>
      <c r="L85" t="s">
        <v>6228</v>
      </c>
      <c r="M85" t="s">
        <v>6503</v>
      </c>
      <c r="N85">
        <v>1</v>
      </c>
      <c r="O85">
        <v>8</v>
      </c>
      <c r="P85">
        <v>2</v>
      </c>
      <c r="Q85" t="s">
        <v>3897</v>
      </c>
      <c r="R85">
        <v>3</v>
      </c>
      <c r="S85">
        <v>270</v>
      </c>
      <c r="T85">
        <v>5</v>
      </c>
      <c r="U85" t="s">
        <v>3899</v>
      </c>
      <c r="V85" t="s">
        <v>56</v>
      </c>
      <c r="W85" t="s">
        <v>56</v>
      </c>
      <c r="X85" t="s">
        <v>56</v>
      </c>
      <c r="Y85" t="s">
        <v>56</v>
      </c>
      <c r="Z85" t="s">
        <v>56</v>
      </c>
      <c r="AA85" t="s">
        <v>56</v>
      </c>
      <c r="AB85" t="s">
        <v>56</v>
      </c>
      <c r="AC85" t="s">
        <v>56</v>
      </c>
      <c r="AD85" t="s">
        <v>56</v>
      </c>
      <c r="AE85" t="s">
        <v>56</v>
      </c>
      <c r="AF85" t="s">
        <v>56</v>
      </c>
      <c r="AG85" t="s">
        <v>6503</v>
      </c>
      <c r="AH85" t="s">
        <v>6504</v>
      </c>
      <c r="AI85">
        <v>1</v>
      </c>
      <c r="AJ85" t="s">
        <v>3902</v>
      </c>
    </row>
    <row r="86" spans="1:36" x14ac:dyDescent="0.25">
      <c r="A86" t="str">
        <f>"20200128132017082639"</f>
        <v>20200128132017082639</v>
      </c>
      <c r="B86">
        <v>1</v>
      </c>
      <c r="C86">
        <v>2</v>
      </c>
      <c r="D86" t="s">
        <v>5776</v>
      </c>
      <c r="E86" t="s">
        <v>66</v>
      </c>
      <c r="F86" t="s">
        <v>1627</v>
      </c>
      <c r="G86" t="s">
        <v>56</v>
      </c>
      <c r="H86" t="s">
        <v>1627</v>
      </c>
      <c r="I86" t="s">
        <v>6505</v>
      </c>
      <c r="J86" t="s">
        <v>56</v>
      </c>
      <c r="K86">
        <v>139</v>
      </c>
      <c r="L86" t="s">
        <v>6228</v>
      </c>
      <c r="M86" t="s">
        <v>6506</v>
      </c>
      <c r="N86">
        <v>360</v>
      </c>
      <c r="O86">
        <v>6</v>
      </c>
      <c r="P86">
        <v>2</v>
      </c>
      <c r="Q86" t="s">
        <v>3897</v>
      </c>
      <c r="R86">
        <v>3</v>
      </c>
      <c r="S86">
        <v>360</v>
      </c>
      <c r="T86">
        <v>5</v>
      </c>
      <c r="U86" t="s">
        <v>3899</v>
      </c>
      <c r="V86" t="s">
        <v>56</v>
      </c>
      <c r="W86" t="s">
        <v>56</v>
      </c>
      <c r="X86" t="s">
        <v>56</v>
      </c>
      <c r="Y86" t="s">
        <v>56</v>
      </c>
      <c r="Z86" t="s">
        <v>56</v>
      </c>
      <c r="AA86" t="s">
        <v>56</v>
      </c>
      <c r="AB86" t="s">
        <v>56</v>
      </c>
      <c r="AC86" t="s">
        <v>56</v>
      </c>
      <c r="AD86" t="s">
        <v>56</v>
      </c>
      <c r="AE86" t="s">
        <v>56</v>
      </c>
      <c r="AF86" t="s">
        <v>56</v>
      </c>
      <c r="AG86" t="s">
        <v>6507</v>
      </c>
      <c r="AH86" t="s">
        <v>6508</v>
      </c>
      <c r="AI86">
        <v>1</v>
      </c>
      <c r="AJ86" t="s">
        <v>3902</v>
      </c>
    </row>
    <row r="87" spans="1:36" x14ac:dyDescent="0.25">
      <c r="A87" t="str">
        <f>"20200128181017084996"</f>
        <v>20200128181017084996</v>
      </c>
      <c r="B87">
        <v>1</v>
      </c>
      <c r="C87">
        <v>2</v>
      </c>
      <c r="D87" t="s">
        <v>5776</v>
      </c>
      <c r="E87" t="s">
        <v>66</v>
      </c>
      <c r="F87" t="s">
        <v>1627</v>
      </c>
      <c r="G87" t="s">
        <v>56</v>
      </c>
      <c r="H87" t="s">
        <v>1627</v>
      </c>
      <c r="I87" t="s">
        <v>6509</v>
      </c>
      <c r="J87" t="s">
        <v>56</v>
      </c>
      <c r="K87">
        <v>139</v>
      </c>
      <c r="L87" t="s">
        <v>6228</v>
      </c>
      <c r="M87" t="s">
        <v>6510</v>
      </c>
      <c r="N87">
        <v>270</v>
      </c>
      <c r="O87">
        <v>8</v>
      </c>
      <c r="P87">
        <v>2</v>
      </c>
      <c r="Q87" t="s">
        <v>3897</v>
      </c>
      <c r="R87">
        <v>3</v>
      </c>
      <c r="S87">
        <v>270</v>
      </c>
      <c r="T87">
        <v>5</v>
      </c>
      <c r="U87" t="s">
        <v>3899</v>
      </c>
      <c r="V87" t="s">
        <v>56</v>
      </c>
      <c r="W87" t="s">
        <v>56</v>
      </c>
      <c r="X87" t="s">
        <v>56</v>
      </c>
      <c r="Y87" t="s">
        <v>56</v>
      </c>
      <c r="Z87" t="s">
        <v>56</v>
      </c>
      <c r="AA87" t="s">
        <v>56</v>
      </c>
      <c r="AB87" t="s">
        <v>56</v>
      </c>
      <c r="AC87" t="s">
        <v>56</v>
      </c>
      <c r="AD87" t="s">
        <v>56</v>
      </c>
      <c r="AE87" t="s">
        <v>56</v>
      </c>
      <c r="AF87" t="s">
        <v>56</v>
      </c>
      <c r="AG87" t="s">
        <v>6509</v>
      </c>
      <c r="AH87" t="s">
        <v>6511</v>
      </c>
      <c r="AI87">
        <v>1</v>
      </c>
      <c r="AJ87" t="s">
        <v>3902</v>
      </c>
    </row>
    <row r="88" spans="1:36" x14ac:dyDescent="0.25">
      <c r="A88" t="str">
        <f>"20200128165017086456"</f>
        <v>20200128165017086456</v>
      </c>
      <c r="B88">
        <v>1</v>
      </c>
      <c r="C88">
        <v>2</v>
      </c>
      <c r="D88" t="s">
        <v>5776</v>
      </c>
      <c r="E88" t="s">
        <v>66</v>
      </c>
      <c r="F88" t="s">
        <v>1627</v>
      </c>
      <c r="G88" t="s">
        <v>56</v>
      </c>
      <c r="H88" t="s">
        <v>1627</v>
      </c>
      <c r="I88" t="s">
        <v>6512</v>
      </c>
      <c r="J88" t="s">
        <v>56</v>
      </c>
      <c r="K88">
        <v>139</v>
      </c>
      <c r="L88" t="s">
        <v>6228</v>
      </c>
      <c r="M88" t="s">
        <v>6513</v>
      </c>
      <c r="N88">
        <v>5</v>
      </c>
      <c r="O88">
        <v>24</v>
      </c>
      <c r="P88">
        <v>2</v>
      </c>
      <c r="Q88" t="s">
        <v>3897</v>
      </c>
      <c r="R88">
        <v>90</v>
      </c>
      <c r="S88">
        <v>450</v>
      </c>
      <c r="T88">
        <v>3</v>
      </c>
      <c r="U88" t="s">
        <v>3911</v>
      </c>
      <c r="V88" t="s">
        <v>56</v>
      </c>
      <c r="W88" t="s">
        <v>56</v>
      </c>
      <c r="X88" t="s">
        <v>56</v>
      </c>
      <c r="Y88" t="s">
        <v>56</v>
      </c>
      <c r="Z88" t="s">
        <v>56</v>
      </c>
      <c r="AA88" t="s">
        <v>56</v>
      </c>
      <c r="AB88" t="s">
        <v>56</v>
      </c>
      <c r="AC88" t="s">
        <v>56</v>
      </c>
      <c r="AD88" t="s">
        <v>56</v>
      </c>
      <c r="AE88" t="s">
        <v>56</v>
      </c>
      <c r="AF88" t="s">
        <v>56</v>
      </c>
      <c r="AG88" t="s">
        <v>6514</v>
      </c>
      <c r="AH88" t="s">
        <v>4923</v>
      </c>
      <c r="AI88">
        <v>2</v>
      </c>
      <c r="AJ88" t="s">
        <v>4776</v>
      </c>
    </row>
    <row r="89" spans="1:36" x14ac:dyDescent="0.25">
      <c r="A89" t="str">
        <f>"20200130133017130301"</f>
        <v>20200130133017130301</v>
      </c>
      <c r="B89">
        <v>1</v>
      </c>
      <c r="C89">
        <v>2</v>
      </c>
      <c r="D89" t="s">
        <v>5776</v>
      </c>
      <c r="E89" t="s">
        <v>66</v>
      </c>
      <c r="F89" t="s">
        <v>1627</v>
      </c>
      <c r="G89" t="s">
        <v>56</v>
      </c>
      <c r="H89" t="s">
        <v>1627</v>
      </c>
      <c r="I89" t="s">
        <v>6515</v>
      </c>
      <c r="J89" t="s">
        <v>56</v>
      </c>
      <c r="K89">
        <v>139</v>
      </c>
      <c r="L89" t="s">
        <v>6228</v>
      </c>
      <c r="M89" t="s">
        <v>6516</v>
      </c>
      <c r="N89">
        <v>6</v>
      </c>
      <c r="O89">
        <v>24</v>
      </c>
      <c r="P89">
        <v>2</v>
      </c>
      <c r="Q89" t="s">
        <v>3897</v>
      </c>
      <c r="R89">
        <v>3</v>
      </c>
      <c r="S89">
        <v>180</v>
      </c>
      <c r="T89">
        <v>5</v>
      </c>
      <c r="U89" t="s">
        <v>3899</v>
      </c>
      <c r="V89" t="s">
        <v>56</v>
      </c>
      <c r="W89" t="s">
        <v>56</v>
      </c>
      <c r="X89" t="s">
        <v>56</v>
      </c>
      <c r="Y89" t="s">
        <v>56</v>
      </c>
      <c r="Z89" t="s">
        <v>56</v>
      </c>
      <c r="AA89" t="s">
        <v>56</v>
      </c>
      <c r="AB89" t="s">
        <v>56</v>
      </c>
      <c r="AC89" t="s">
        <v>56</v>
      </c>
      <c r="AD89" t="s">
        <v>56</v>
      </c>
      <c r="AE89" t="s">
        <v>56</v>
      </c>
      <c r="AF89" t="s">
        <v>56</v>
      </c>
      <c r="AG89" t="s">
        <v>6517</v>
      </c>
      <c r="AH89" t="s">
        <v>6518</v>
      </c>
      <c r="AI89">
        <v>1</v>
      </c>
      <c r="AJ89" t="s">
        <v>3902</v>
      </c>
    </row>
    <row r="90" spans="1:36" x14ac:dyDescent="0.25">
      <c r="A90" t="str">
        <f>"20200130163017131643"</f>
        <v>20200130163017131643</v>
      </c>
      <c r="B90">
        <v>1</v>
      </c>
      <c r="C90">
        <v>2</v>
      </c>
      <c r="D90" t="s">
        <v>5776</v>
      </c>
      <c r="E90" t="s">
        <v>66</v>
      </c>
      <c r="F90" t="s">
        <v>1627</v>
      </c>
      <c r="G90" t="s">
        <v>56</v>
      </c>
      <c r="H90" t="s">
        <v>1627</v>
      </c>
      <c r="I90" t="s">
        <v>6519</v>
      </c>
      <c r="J90" t="s">
        <v>56</v>
      </c>
      <c r="K90">
        <v>139</v>
      </c>
      <c r="L90" t="s">
        <v>6228</v>
      </c>
      <c r="M90" t="s">
        <v>6520</v>
      </c>
      <c r="N90">
        <v>4</v>
      </c>
      <c r="O90">
        <v>24</v>
      </c>
      <c r="P90">
        <v>2</v>
      </c>
      <c r="Q90" t="s">
        <v>3897</v>
      </c>
      <c r="R90">
        <v>90</v>
      </c>
      <c r="S90">
        <v>360</v>
      </c>
      <c r="T90">
        <v>3</v>
      </c>
      <c r="U90" t="s">
        <v>3911</v>
      </c>
      <c r="V90" t="s">
        <v>56</v>
      </c>
      <c r="W90" t="s">
        <v>56</v>
      </c>
      <c r="X90" t="s">
        <v>56</v>
      </c>
      <c r="Y90" t="s">
        <v>56</v>
      </c>
      <c r="Z90" t="s">
        <v>56</v>
      </c>
      <c r="AA90" t="s">
        <v>56</v>
      </c>
      <c r="AB90" t="s">
        <v>56</v>
      </c>
      <c r="AC90" t="s">
        <v>56</v>
      </c>
      <c r="AD90" t="s">
        <v>56</v>
      </c>
      <c r="AE90" t="s">
        <v>56</v>
      </c>
      <c r="AF90" t="s">
        <v>56</v>
      </c>
      <c r="AG90" t="s">
        <v>6521</v>
      </c>
      <c r="AH90" t="s">
        <v>6522</v>
      </c>
      <c r="AI90">
        <v>1</v>
      </c>
      <c r="AJ90" t="s">
        <v>3902</v>
      </c>
    </row>
    <row r="91" spans="1:36" x14ac:dyDescent="0.25">
      <c r="A91" t="str">
        <f>"20200130160017133302"</f>
        <v>20200130160017133302</v>
      </c>
      <c r="B91">
        <v>1</v>
      </c>
      <c r="C91">
        <v>2</v>
      </c>
      <c r="D91" t="s">
        <v>5776</v>
      </c>
      <c r="E91" t="s">
        <v>66</v>
      </c>
      <c r="F91" t="s">
        <v>1627</v>
      </c>
      <c r="G91" t="s">
        <v>56</v>
      </c>
      <c r="H91" t="s">
        <v>1627</v>
      </c>
      <c r="I91" t="s">
        <v>6523</v>
      </c>
      <c r="J91" t="s">
        <v>56</v>
      </c>
      <c r="K91">
        <v>139</v>
      </c>
      <c r="L91" t="s">
        <v>6228</v>
      </c>
      <c r="M91" t="s">
        <v>6524</v>
      </c>
      <c r="N91">
        <v>270</v>
      </c>
      <c r="O91">
        <v>8</v>
      </c>
      <c r="P91">
        <v>2</v>
      </c>
      <c r="Q91" t="s">
        <v>3897</v>
      </c>
      <c r="R91">
        <v>90</v>
      </c>
      <c r="S91">
        <v>270</v>
      </c>
      <c r="T91">
        <v>3</v>
      </c>
      <c r="U91" t="s">
        <v>3911</v>
      </c>
      <c r="V91" t="s">
        <v>56</v>
      </c>
      <c r="W91" t="s">
        <v>56</v>
      </c>
      <c r="X91" t="s">
        <v>56</v>
      </c>
      <c r="Y91" t="s">
        <v>56</v>
      </c>
      <c r="Z91" t="s">
        <v>56</v>
      </c>
      <c r="AA91" t="s">
        <v>56</v>
      </c>
      <c r="AB91" t="s">
        <v>56</v>
      </c>
      <c r="AC91" t="s">
        <v>56</v>
      </c>
      <c r="AD91" t="s">
        <v>56</v>
      </c>
      <c r="AE91" t="s">
        <v>56</v>
      </c>
      <c r="AF91" t="s">
        <v>56</v>
      </c>
      <c r="AG91" t="s">
        <v>6525</v>
      </c>
      <c r="AH91" t="s">
        <v>6526</v>
      </c>
      <c r="AI91">
        <v>1</v>
      </c>
      <c r="AJ91" t="s">
        <v>3902</v>
      </c>
    </row>
    <row r="92" spans="1:36" x14ac:dyDescent="0.25">
      <c r="A92" t="str">
        <f>"20200130166017136667"</f>
        <v>20200130166017136667</v>
      </c>
      <c r="B92">
        <v>1</v>
      </c>
      <c r="C92">
        <v>2</v>
      </c>
      <c r="D92" t="s">
        <v>5776</v>
      </c>
      <c r="E92" t="s">
        <v>66</v>
      </c>
      <c r="F92" t="s">
        <v>1627</v>
      </c>
      <c r="G92" t="s">
        <v>56</v>
      </c>
      <c r="H92" t="s">
        <v>1627</v>
      </c>
      <c r="I92" t="s">
        <v>6527</v>
      </c>
      <c r="J92" t="s">
        <v>56</v>
      </c>
      <c r="K92">
        <v>139</v>
      </c>
      <c r="L92" t="s">
        <v>6228</v>
      </c>
      <c r="M92" t="s">
        <v>6528</v>
      </c>
      <c r="N92">
        <v>360</v>
      </c>
      <c r="O92">
        <v>6</v>
      </c>
      <c r="P92">
        <v>2</v>
      </c>
      <c r="Q92" t="s">
        <v>3897</v>
      </c>
      <c r="R92">
        <v>90</v>
      </c>
      <c r="S92">
        <v>360</v>
      </c>
      <c r="T92">
        <v>3</v>
      </c>
      <c r="U92" t="s">
        <v>3911</v>
      </c>
      <c r="V92" t="s">
        <v>56</v>
      </c>
      <c r="W92" t="s">
        <v>56</v>
      </c>
      <c r="X92" t="s">
        <v>56</v>
      </c>
      <c r="Y92" t="s">
        <v>56</v>
      </c>
      <c r="Z92" t="s">
        <v>56</v>
      </c>
      <c r="AA92" t="s">
        <v>56</v>
      </c>
      <c r="AB92" t="s">
        <v>56</v>
      </c>
      <c r="AC92" t="s">
        <v>56</v>
      </c>
      <c r="AD92" t="s">
        <v>56</v>
      </c>
      <c r="AE92" t="s">
        <v>56</v>
      </c>
      <c r="AF92" t="s">
        <v>56</v>
      </c>
      <c r="AG92" t="s">
        <v>6529</v>
      </c>
      <c r="AH92" t="s">
        <v>6530</v>
      </c>
      <c r="AI92">
        <v>1</v>
      </c>
      <c r="AJ92" t="s">
        <v>3902</v>
      </c>
    </row>
    <row r="93" spans="1:36" x14ac:dyDescent="0.25">
      <c r="A93" t="str">
        <f>"20200130171017138833"</f>
        <v>20200130171017138833</v>
      </c>
      <c r="B93">
        <v>1</v>
      </c>
      <c r="C93">
        <v>2</v>
      </c>
      <c r="D93" t="s">
        <v>5776</v>
      </c>
      <c r="E93" t="s">
        <v>66</v>
      </c>
      <c r="F93" t="s">
        <v>1627</v>
      </c>
      <c r="G93" t="s">
        <v>56</v>
      </c>
      <c r="H93" t="s">
        <v>1627</v>
      </c>
      <c r="I93" t="s">
        <v>6531</v>
      </c>
      <c r="J93" t="s">
        <v>56</v>
      </c>
      <c r="K93">
        <v>139</v>
      </c>
      <c r="L93" t="s">
        <v>6228</v>
      </c>
      <c r="M93" t="s">
        <v>6532</v>
      </c>
      <c r="N93">
        <v>1</v>
      </c>
      <c r="O93">
        <v>8</v>
      </c>
      <c r="P93">
        <v>2</v>
      </c>
      <c r="Q93" t="s">
        <v>3897</v>
      </c>
      <c r="R93">
        <v>3</v>
      </c>
      <c r="S93">
        <v>270</v>
      </c>
      <c r="T93">
        <v>5</v>
      </c>
      <c r="U93" t="s">
        <v>3899</v>
      </c>
      <c r="V93" t="s">
        <v>56</v>
      </c>
      <c r="W93" t="s">
        <v>56</v>
      </c>
      <c r="X93" t="s">
        <v>56</v>
      </c>
      <c r="Y93" t="s">
        <v>56</v>
      </c>
      <c r="Z93" t="s">
        <v>56</v>
      </c>
      <c r="AA93" t="s">
        <v>56</v>
      </c>
      <c r="AB93" t="s">
        <v>56</v>
      </c>
      <c r="AC93" t="s">
        <v>56</v>
      </c>
      <c r="AD93" t="s">
        <v>56</v>
      </c>
      <c r="AE93" t="s">
        <v>56</v>
      </c>
      <c r="AF93" t="s">
        <v>56</v>
      </c>
      <c r="AG93" t="s">
        <v>6533</v>
      </c>
      <c r="AH93" t="s">
        <v>6534</v>
      </c>
      <c r="AI93">
        <v>1</v>
      </c>
      <c r="AJ93" t="s">
        <v>3902</v>
      </c>
    </row>
    <row r="94" spans="1:36" x14ac:dyDescent="0.25">
      <c r="A94" t="str">
        <f>"20200130130017139271"</f>
        <v>20200130130017139271</v>
      </c>
      <c r="B94">
        <v>1</v>
      </c>
      <c r="C94">
        <v>2</v>
      </c>
      <c r="D94" t="s">
        <v>5776</v>
      </c>
      <c r="E94" t="s">
        <v>66</v>
      </c>
      <c r="F94" t="s">
        <v>1627</v>
      </c>
      <c r="G94" t="s">
        <v>56</v>
      </c>
      <c r="H94" t="s">
        <v>1627</v>
      </c>
      <c r="I94" t="s">
        <v>6535</v>
      </c>
      <c r="J94" t="s">
        <v>56</v>
      </c>
      <c r="K94">
        <v>139</v>
      </c>
      <c r="L94" t="s">
        <v>6228</v>
      </c>
      <c r="M94" t="s">
        <v>6536</v>
      </c>
      <c r="N94">
        <v>1</v>
      </c>
      <c r="O94">
        <v>8</v>
      </c>
      <c r="P94">
        <v>2</v>
      </c>
      <c r="Q94" t="s">
        <v>3897</v>
      </c>
      <c r="R94">
        <v>3</v>
      </c>
      <c r="S94">
        <v>270</v>
      </c>
      <c r="T94">
        <v>5</v>
      </c>
      <c r="U94" t="s">
        <v>3899</v>
      </c>
      <c r="V94" t="s">
        <v>56</v>
      </c>
      <c r="W94" t="s">
        <v>56</v>
      </c>
      <c r="X94" t="s">
        <v>56</v>
      </c>
      <c r="Y94" t="s">
        <v>56</v>
      </c>
      <c r="Z94" t="s">
        <v>56</v>
      </c>
      <c r="AA94" t="s">
        <v>56</v>
      </c>
      <c r="AB94" t="s">
        <v>56</v>
      </c>
      <c r="AC94" t="s">
        <v>56</v>
      </c>
      <c r="AD94" t="s">
        <v>56</v>
      </c>
      <c r="AE94" t="s">
        <v>56</v>
      </c>
      <c r="AF94" t="s">
        <v>56</v>
      </c>
      <c r="AG94" t="s">
        <v>6533</v>
      </c>
      <c r="AH94" t="s">
        <v>6419</v>
      </c>
      <c r="AI94">
        <v>1</v>
      </c>
      <c r="AJ94" t="s">
        <v>3902</v>
      </c>
    </row>
    <row r="95" spans="1:36" x14ac:dyDescent="0.25">
      <c r="A95" t="str">
        <f>"20200130112017140414"</f>
        <v>20200130112017140414</v>
      </c>
      <c r="B95">
        <v>1</v>
      </c>
      <c r="C95">
        <v>2</v>
      </c>
      <c r="D95" t="s">
        <v>5776</v>
      </c>
      <c r="E95" t="s">
        <v>66</v>
      </c>
      <c r="F95" t="s">
        <v>1627</v>
      </c>
      <c r="G95" t="s">
        <v>56</v>
      </c>
      <c r="H95" t="s">
        <v>1627</v>
      </c>
      <c r="I95" t="s">
        <v>6537</v>
      </c>
      <c r="J95" t="s">
        <v>56</v>
      </c>
      <c r="K95">
        <v>139</v>
      </c>
      <c r="L95" t="s">
        <v>6228</v>
      </c>
      <c r="M95" t="s">
        <v>6538</v>
      </c>
      <c r="N95">
        <v>4</v>
      </c>
      <c r="O95">
        <v>6</v>
      </c>
      <c r="P95">
        <v>2</v>
      </c>
      <c r="Q95" t="s">
        <v>3897</v>
      </c>
      <c r="R95">
        <v>3</v>
      </c>
      <c r="S95">
        <v>360</v>
      </c>
      <c r="T95">
        <v>5</v>
      </c>
      <c r="U95" t="s">
        <v>3899</v>
      </c>
      <c r="V95" t="s">
        <v>56</v>
      </c>
      <c r="W95" t="s">
        <v>56</v>
      </c>
      <c r="X95" t="s">
        <v>56</v>
      </c>
      <c r="Y95" t="s">
        <v>56</v>
      </c>
      <c r="Z95" t="s">
        <v>56</v>
      </c>
      <c r="AA95" t="s">
        <v>56</v>
      </c>
      <c r="AB95" t="s">
        <v>56</v>
      </c>
      <c r="AC95" t="s">
        <v>56</v>
      </c>
      <c r="AD95" t="s">
        <v>56</v>
      </c>
      <c r="AE95" t="s">
        <v>56</v>
      </c>
      <c r="AF95" t="s">
        <v>56</v>
      </c>
      <c r="AG95" t="s">
        <v>6539</v>
      </c>
      <c r="AH95" t="s">
        <v>6540</v>
      </c>
      <c r="AI95">
        <v>1</v>
      </c>
      <c r="AJ95" t="s">
        <v>3902</v>
      </c>
    </row>
    <row r="96" spans="1:36" x14ac:dyDescent="0.25">
      <c r="A96" t="str">
        <f>"20200130179017141577"</f>
        <v>20200130179017141577</v>
      </c>
      <c r="B96">
        <v>1</v>
      </c>
      <c r="C96">
        <v>2</v>
      </c>
      <c r="D96" t="s">
        <v>5776</v>
      </c>
      <c r="E96" t="s">
        <v>66</v>
      </c>
      <c r="F96" t="s">
        <v>1627</v>
      </c>
      <c r="G96" t="s">
        <v>56</v>
      </c>
      <c r="H96" t="s">
        <v>1627</v>
      </c>
      <c r="I96" t="s">
        <v>6541</v>
      </c>
      <c r="J96" t="s">
        <v>56</v>
      </c>
      <c r="K96">
        <v>139</v>
      </c>
      <c r="L96" t="s">
        <v>6228</v>
      </c>
      <c r="M96" t="s">
        <v>6542</v>
      </c>
      <c r="N96">
        <v>450</v>
      </c>
      <c r="O96">
        <v>3</v>
      </c>
      <c r="P96">
        <v>5</v>
      </c>
      <c r="Q96" t="s">
        <v>3899</v>
      </c>
      <c r="R96">
        <v>450</v>
      </c>
      <c r="S96">
        <v>450</v>
      </c>
      <c r="T96">
        <v>5</v>
      </c>
      <c r="U96" t="s">
        <v>3899</v>
      </c>
      <c r="V96" t="s">
        <v>56</v>
      </c>
      <c r="W96" t="s">
        <v>56</v>
      </c>
      <c r="X96" t="s">
        <v>56</v>
      </c>
      <c r="Y96" t="s">
        <v>56</v>
      </c>
      <c r="Z96" t="s">
        <v>56</v>
      </c>
      <c r="AA96" t="s">
        <v>56</v>
      </c>
      <c r="AB96" t="s">
        <v>56</v>
      </c>
      <c r="AC96" t="s">
        <v>56</v>
      </c>
      <c r="AD96" t="s">
        <v>56</v>
      </c>
      <c r="AE96" t="s">
        <v>56</v>
      </c>
      <c r="AF96" t="s">
        <v>56</v>
      </c>
      <c r="AG96" t="s">
        <v>6543</v>
      </c>
      <c r="AH96" t="s">
        <v>6544</v>
      </c>
      <c r="AI96">
        <v>1</v>
      </c>
      <c r="AJ96" t="s">
        <v>3902</v>
      </c>
    </row>
    <row r="97" spans="1:36" x14ac:dyDescent="0.25">
      <c r="A97" t="str">
        <f>"20200130147017141714"</f>
        <v>20200130147017141714</v>
      </c>
      <c r="B97">
        <v>1</v>
      </c>
      <c r="C97">
        <v>2</v>
      </c>
      <c r="D97" t="s">
        <v>5776</v>
      </c>
      <c r="E97" t="s">
        <v>66</v>
      </c>
      <c r="F97" t="s">
        <v>1627</v>
      </c>
      <c r="G97" t="s">
        <v>56</v>
      </c>
      <c r="H97" t="s">
        <v>1627</v>
      </c>
      <c r="I97" t="s">
        <v>6545</v>
      </c>
      <c r="J97" t="s">
        <v>56</v>
      </c>
      <c r="K97">
        <v>139</v>
      </c>
      <c r="L97" t="s">
        <v>6228</v>
      </c>
      <c r="M97" t="s">
        <v>6546</v>
      </c>
      <c r="N97">
        <v>1</v>
      </c>
      <c r="O97">
        <v>8</v>
      </c>
      <c r="P97">
        <v>2</v>
      </c>
      <c r="Q97" t="s">
        <v>3897</v>
      </c>
      <c r="R97">
        <v>3</v>
      </c>
      <c r="S97">
        <v>270</v>
      </c>
      <c r="T97">
        <v>5</v>
      </c>
      <c r="U97" t="s">
        <v>3899</v>
      </c>
      <c r="V97" t="s">
        <v>56</v>
      </c>
      <c r="W97" t="s">
        <v>56</v>
      </c>
      <c r="X97" t="s">
        <v>56</v>
      </c>
      <c r="Y97" t="s">
        <v>56</v>
      </c>
      <c r="Z97" t="s">
        <v>56</v>
      </c>
      <c r="AA97" t="s">
        <v>56</v>
      </c>
      <c r="AB97" t="s">
        <v>56</v>
      </c>
      <c r="AC97" t="s">
        <v>56</v>
      </c>
      <c r="AD97" t="s">
        <v>56</v>
      </c>
      <c r="AE97" t="s">
        <v>56</v>
      </c>
      <c r="AF97" t="s">
        <v>56</v>
      </c>
      <c r="AG97" t="s">
        <v>6547</v>
      </c>
      <c r="AH97" t="s">
        <v>6548</v>
      </c>
      <c r="AI97">
        <v>1</v>
      </c>
      <c r="AJ97" t="s">
        <v>3902</v>
      </c>
    </row>
    <row r="98" spans="1:36" x14ac:dyDescent="0.25">
      <c r="A98" t="str">
        <f>"20200130180017147164"</f>
        <v>20200130180017147164</v>
      </c>
      <c r="B98">
        <v>1</v>
      </c>
      <c r="C98">
        <v>2</v>
      </c>
      <c r="D98" t="s">
        <v>5776</v>
      </c>
      <c r="E98" t="s">
        <v>66</v>
      </c>
      <c r="F98" t="s">
        <v>1627</v>
      </c>
      <c r="G98" t="s">
        <v>56</v>
      </c>
      <c r="H98" t="s">
        <v>1627</v>
      </c>
      <c r="I98" t="s">
        <v>6549</v>
      </c>
      <c r="J98" t="s">
        <v>56</v>
      </c>
      <c r="K98">
        <v>139</v>
      </c>
      <c r="L98" t="s">
        <v>6228</v>
      </c>
      <c r="M98" t="s">
        <v>6550</v>
      </c>
      <c r="N98">
        <v>1</v>
      </c>
      <c r="O98">
        <v>8</v>
      </c>
      <c r="P98">
        <v>2</v>
      </c>
      <c r="Q98" t="s">
        <v>3897</v>
      </c>
      <c r="R98">
        <v>30</v>
      </c>
      <c r="S98">
        <v>90</v>
      </c>
      <c r="T98">
        <v>3</v>
      </c>
      <c r="U98" t="s">
        <v>3911</v>
      </c>
      <c r="V98" t="s">
        <v>56</v>
      </c>
      <c r="W98" t="s">
        <v>56</v>
      </c>
      <c r="X98" t="s">
        <v>56</v>
      </c>
      <c r="Y98" t="s">
        <v>56</v>
      </c>
      <c r="Z98" t="s">
        <v>56</v>
      </c>
      <c r="AA98" t="s">
        <v>56</v>
      </c>
      <c r="AB98" t="s">
        <v>56</v>
      </c>
      <c r="AC98" t="s">
        <v>56</v>
      </c>
      <c r="AD98" t="s">
        <v>56</v>
      </c>
      <c r="AE98" t="s">
        <v>56</v>
      </c>
      <c r="AF98" t="s">
        <v>56</v>
      </c>
      <c r="AG98" t="s">
        <v>6551</v>
      </c>
      <c r="AH98" t="s">
        <v>6552</v>
      </c>
      <c r="AI98">
        <v>1</v>
      </c>
      <c r="AJ98" t="s">
        <v>3902</v>
      </c>
    </row>
    <row r="99" spans="1:36" x14ac:dyDescent="0.25">
      <c r="A99" t="str">
        <f>"20200130196017147211"</f>
        <v>20200130196017147211</v>
      </c>
      <c r="B99">
        <v>1</v>
      </c>
      <c r="C99">
        <v>2</v>
      </c>
      <c r="D99" t="s">
        <v>5776</v>
      </c>
      <c r="E99" t="s">
        <v>66</v>
      </c>
      <c r="F99" t="s">
        <v>1627</v>
      </c>
      <c r="G99" t="s">
        <v>56</v>
      </c>
      <c r="H99" t="s">
        <v>1627</v>
      </c>
      <c r="I99" t="s">
        <v>6553</v>
      </c>
      <c r="J99" t="s">
        <v>56</v>
      </c>
      <c r="K99">
        <v>139</v>
      </c>
      <c r="L99" t="s">
        <v>6228</v>
      </c>
      <c r="M99" t="s">
        <v>6553</v>
      </c>
      <c r="N99">
        <v>1</v>
      </c>
      <c r="O99">
        <v>8</v>
      </c>
      <c r="P99">
        <v>2</v>
      </c>
      <c r="Q99" t="s">
        <v>3897</v>
      </c>
      <c r="R99">
        <v>90</v>
      </c>
      <c r="S99">
        <v>270</v>
      </c>
      <c r="T99">
        <v>3</v>
      </c>
      <c r="U99" t="s">
        <v>3911</v>
      </c>
      <c r="V99" t="s">
        <v>56</v>
      </c>
      <c r="W99" t="s">
        <v>56</v>
      </c>
      <c r="X99" t="s">
        <v>56</v>
      </c>
      <c r="Y99" t="s">
        <v>56</v>
      </c>
      <c r="Z99" t="s">
        <v>56</v>
      </c>
      <c r="AA99" t="s">
        <v>56</v>
      </c>
      <c r="AB99" t="s">
        <v>56</v>
      </c>
      <c r="AC99" t="s">
        <v>56</v>
      </c>
      <c r="AD99" t="s">
        <v>56</v>
      </c>
      <c r="AE99" t="s">
        <v>56</v>
      </c>
      <c r="AF99" t="s">
        <v>56</v>
      </c>
      <c r="AG99" t="s">
        <v>6554</v>
      </c>
      <c r="AH99" t="s">
        <v>6555</v>
      </c>
      <c r="AI99">
        <v>1</v>
      </c>
      <c r="AJ99" t="s">
        <v>3902</v>
      </c>
    </row>
    <row r="100" spans="1:36" x14ac:dyDescent="0.25">
      <c r="A100" t="str">
        <f>"20200130122017149468"</f>
        <v>20200130122017149468</v>
      </c>
      <c r="B100">
        <v>1</v>
      </c>
      <c r="C100">
        <v>2</v>
      </c>
      <c r="D100" t="s">
        <v>5776</v>
      </c>
      <c r="E100" t="s">
        <v>66</v>
      </c>
      <c r="F100" t="s">
        <v>1627</v>
      </c>
      <c r="G100" t="s">
        <v>56</v>
      </c>
      <c r="H100" t="s">
        <v>1627</v>
      </c>
      <c r="I100" t="s">
        <v>6556</v>
      </c>
      <c r="J100" t="s">
        <v>56</v>
      </c>
      <c r="K100">
        <v>139</v>
      </c>
      <c r="L100" t="s">
        <v>6228</v>
      </c>
      <c r="M100" t="s">
        <v>6557</v>
      </c>
      <c r="N100">
        <v>1</v>
      </c>
      <c r="O100">
        <v>6</v>
      </c>
      <c r="P100">
        <v>2</v>
      </c>
      <c r="Q100" t="s">
        <v>3897</v>
      </c>
      <c r="R100">
        <v>60</v>
      </c>
      <c r="S100">
        <v>240</v>
      </c>
      <c r="T100">
        <v>3</v>
      </c>
      <c r="U100" t="s">
        <v>3911</v>
      </c>
      <c r="V100" t="s">
        <v>56</v>
      </c>
      <c r="W100" t="s">
        <v>56</v>
      </c>
      <c r="X100" t="s">
        <v>56</v>
      </c>
      <c r="Y100" t="s">
        <v>56</v>
      </c>
      <c r="Z100" t="s">
        <v>56</v>
      </c>
      <c r="AA100" t="s">
        <v>56</v>
      </c>
      <c r="AB100" t="s">
        <v>56</v>
      </c>
      <c r="AC100" t="s">
        <v>56</v>
      </c>
      <c r="AD100" t="s">
        <v>56</v>
      </c>
      <c r="AE100" t="s">
        <v>56</v>
      </c>
      <c r="AF100" t="s">
        <v>56</v>
      </c>
      <c r="AG100" t="s">
        <v>6558</v>
      </c>
      <c r="AH100" t="s">
        <v>6559</v>
      </c>
      <c r="AI100">
        <v>1</v>
      </c>
      <c r="AJ100" t="s">
        <v>3902</v>
      </c>
    </row>
    <row r="101" spans="1:36" x14ac:dyDescent="0.25">
      <c r="A101" t="str">
        <f>"20200130172017152604"</f>
        <v>20200130172017152604</v>
      </c>
      <c r="B101">
        <v>1</v>
      </c>
      <c r="C101">
        <v>2</v>
      </c>
      <c r="D101" t="s">
        <v>5776</v>
      </c>
      <c r="E101" t="s">
        <v>66</v>
      </c>
      <c r="F101" t="s">
        <v>1627</v>
      </c>
      <c r="G101" t="s">
        <v>56</v>
      </c>
      <c r="H101" t="s">
        <v>1627</v>
      </c>
      <c r="I101" t="s">
        <v>6560</v>
      </c>
      <c r="J101" t="s">
        <v>56</v>
      </c>
      <c r="K101">
        <v>139</v>
      </c>
      <c r="L101" t="s">
        <v>6228</v>
      </c>
      <c r="M101" t="s">
        <v>6561</v>
      </c>
      <c r="N101">
        <v>540</v>
      </c>
      <c r="O101">
        <v>8</v>
      </c>
      <c r="P101">
        <v>2</v>
      </c>
      <c r="Q101" t="s">
        <v>3897</v>
      </c>
      <c r="R101">
        <v>6</v>
      </c>
      <c r="S101">
        <v>540</v>
      </c>
      <c r="T101">
        <v>5</v>
      </c>
      <c r="U101" t="s">
        <v>3899</v>
      </c>
      <c r="V101" t="s">
        <v>56</v>
      </c>
      <c r="W101" t="s">
        <v>56</v>
      </c>
      <c r="X101" t="s">
        <v>56</v>
      </c>
      <c r="Y101" t="s">
        <v>56</v>
      </c>
      <c r="Z101" t="s">
        <v>56</v>
      </c>
      <c r="AA101" t="s">
        <v>56</v>
      </c>
      <c r="AB101" t="s">
        <v>56</v>
      </c>
      <c r="AC101" t="s">
        <v>56</v>
      </c>
      <c r="AD101" t="s">
        <v>56</v>
      </c>
      <c r="AE101" t="s">
        <v>56</v>
      </c>
      <c r="AF101" t="s">
        <v>56</v>
      </c>
      <c r="AG101" t="s">
        <v>6562</v>
      </c>
      <c r="AH101" t="s">
        <v>6563</v>
      </c>
      <c r="AI101">
        <v>1</v>
      </c>
      <c r="AJ101" t="s">
        <v>3902</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
  <sheetViews>
    <sheetView workbookViewId="0"/>
  </sheetViews>
  <sheetFormatPr baseColWidth="10" defaultColWidth="9.140625" defaultRowHeight="15" x14ac:dyDescent="0.25"/>
  <cols>
    <col min="1" max="1" width="17.5703125" bestFit="1" customWidth="1"/>
    <col min="2" max="2" width="10.5703125" bestFit="1" customWidth="1"/>
    <col min="3" max="3" width="11.7109375" bestFit="1" customWidth="1"/>
    <col min="4" max="4" width="17.5703125" bestFit="1" customWidth="1"/>
    <col min="5" max="6" width="9.28515625" bestFit="1" customWidth="1"/>
    <col min="7" max="7" width="15.28515625" bestFit="1" customWidth="1"/>
    <col min="8" max="8" width="9.28515625" bestFit="1" customWidth="1"/>
    <col min="9" max="9" width="12.85546875" bestFit="1" customWidth="1"/>
    <col min="10" max="10" width="11.7109375" bestFit="1" customWidth="1"/>
    <col min="11" max="11" width="5.85546875" bestFit="1" customWidth="1"/>
    <col min="12" max="12" width="16.42578125" bestFit="1" customWidth="1"/>
    <col min="13" max="13" width="22.28515625" bestFit="1" customWidth="1"/>
    <col min="14" max="15" width="11.7109375" bestFit="1" customWidth="1"/>
    <col min="16" max="16" width="8.140625" bestFit="1" customWidth="1"/>
    <col min="17" max="17" width="7" bestFit="1" customWidth="1"/>
    <col min="18" max="18" width="12.85546875" bestFit="1" customWidth="1"/>
  </cols>
  <sheetData>
    <row r="1" spans="1:18" x14ac:dyDescent="0.25">
      <c r="A1" t="s">
        <v>0</v>
      </c>
      <c r="B1" t="s">
        <v>3825</v>
      </c>
      <c r="C1" t="s">
        <v>3828</v>
      </c>
      <c r="D1" t="s">
        <v>5729</v>
      </c>
      <c r="E1" t="s">
        <v>3829</v>
      </c>
      <c r="F1" t="s">
        <v>6564</v>
      </c>
      <c r="G1" t="s">
        <v>6565</v>
      </c>
      <c r="H1" t="s">
        <v>5743</v>
      </c>
      <c r="I1" t="s">
        <v>5744</v>
      </c>
      <c r="J1" t="s">
        <v>5745</v>
      </c>
      <c r="K1" t="s">
        <v>5747</v>
      </c>
      <c r="L1" t="s">
        <v>5749</v>
      </c>
      <c r="M1" t="s">
        <v>5750</v>
      </c>
      <c r="N1" t="s">
        <v>5748</v>
      </c>
      <c r="O1" t="s">
        <v>3868</v>
      </c>
      <c r="P1" t="s">
        <v>3883</v>
      </c>
      <c r="Q1" t="s">
        <v>3884</v>
      </c>
      <c r="R1" t="s">
        <v>3885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PRESC GENERAL</vt:lpstr>
      <vt:lpstr>Hoja1</vt:lpstr>
      <vt:lpstr>MEDI</vt:lpstr>
      <vt:lpstr>MEDI- Indi UNIRS</vt:lpstr>
      <vt:lpstr>PROC</vt:lpstr>
      <vt:lpstr>PROD NUTR</vt:lpstr>
      <vt:lpstr>SERV COMP</vt:lpstr>
      <vt:lpstr>DISP MEDI</vt:lpstr>
      <vt:lpstr>Worksheet 1</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AMBUQ-MIPRES</dc:title>
  <dc:subject>Excel AMBUQ-MIPRES</dc:subject>
  <dc:creator>Cattivo</dc:creator>
  <cp:keywords>Excel AMBUQ-MIPRES</cp:keywords>
  <dc:description>Excel para visualización de reportes de MIPRES</dc:description>
  <cp:lastModifiedBy>AMBUQ</cp:lastModifiedBy>
  <dcterms:created xsi:type="dcterms:W3CDTF">2020-02-03T14:50:36Z</dcterms:created>
  <dcterms:modified xsi:type="dcterms:W3CDTF">2020-02-07T16:18:58Z</dcterms:modified>
  <cp:category>Excel  AMBUQ-MIPRES Prescripciones</cp:category>
</cp:coreProperties>
</file>