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aced\Desktop\DataClass\CrowdfundingAnalysis\"/>
    </mc:Choice>
  </mc:AlternateContent>
  <xr:revisionPtr revIDLastSave="0" documentId="13_ncr:1_{EAEB419F-9E24-472D-9C77-C1A7CB7D95D1}" xr6:coauthVersionLast="47" xr6:coauthVersionMax="47" xr10:uidLastSave="{00000000-0000-0000-0000-000000000000}"/>
  <bookViews>
    <workbookView xWindow="38280" yWindow="-120" windowWidth="20730" windowHeight="11760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Descriptive Statistics" sheetId="9" r:id="rId6"/>
    <sheet name="Theater Outcomes by Launch Date" sheetId="11" r:id="rId7"/>
    <sheet name="Outcomes Based on Goals" sheetId="12" r:id="rId8"/>
  </sheets>
  <definedNames>
    <definedName name="_xlnm._FilterDatabase" localSheetId="0" hidden="1">Kickstarter!$A$1:$T$4115</definedName>
  </definedNames>
  <calcPr calcId="191029"/>
  <pivotCaches>
    <pivotCache cacheId="61" r:id="rId9"/>
    <pivotCache cacheId="62" r:id="rId10"/>
    <pivotCache cacheId="6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D13" i="12"/>
  <c r="D12" i="12"/>
  <c r="D11" i="12"/>
  <c r="D10" i="12"/>
  <c r="D9" i="12"/>
  <c r="D8" i="12"/>
  <c r="D7" i="12"/>
  <c r="D6" i="12"/>
  <c r="D5" i="12"/>
  <c r="C13" i="12"/>
  <c r="C12" i="12"/>
  <c r="C11" i="12"/>
  <c r="C10" i="12"/>
  <c r="C9" i="12"/>
  <c r="C8" i="12"/>
  <c r="C7" i="12"/>
  <c r="C6" i="12"/>
  <c r="C5" i="12"/>
  <c r="D4" i="12"/>
  <c r="C4" i="12"/>
  <c r="D3" i="12"/>
  <c r="D2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13" i="9"/>
  <c r="C12" i="9"/>
  <c r="C14" i="9" s="1"/>
  <c r="C11" i="9"/>
  <c r="B13" i="9"/>
  <c r="B12" i="9"/>
  <c r="B14" i="9" s="1"/>
  <c r="B11" i="9"/>
  <c r="C6" i="9"/>
  <c r="C5" i="9"/>
  <c r="C7" i="9" s="1"/>
  <c r="C4" i="9"/>
  <c r="B6" i="9"/>
  <c r="B7" i="9" s="1"/>
  <c r="B5" i="9"/>
  <c r="B4" i="9"/>
  <c r="C10" i="9"/>
  <c r="B10" i="9"/>
  <c r="C9" i="9"/>
  <c r="B9" i="9"/>
  <c r="C3" i="9"/>
  <c r="B3" i="9"/>
  <c r="B2" i="9"/>
  <c r="C2" i="9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5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5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5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5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5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<sst xmlns="http://schemas.openxmlformats.org/spreadsheetml/2006/main" count="33050" uniqueCount="8418">
  <si>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</si>
  <si>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</si>
  <si>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</si>
  <si>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</si>
  <si>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</si>
  <si>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</si>
  <si>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</si>
  <si>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</si>
  <si>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</si>
  <si>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</si>
  <si>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</si>
  <si>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</si>
  <si>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</si>
  <si>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</si>
  <si>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</si>
  <si>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</si>
  <si>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</si>
  <si>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</si>
  <si>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</si>
  <si>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</si>
  <si>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</si>
  <si>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</si>
  <si>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</si>
  <si>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</si>
  <si>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</si>
  <si>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</si>
  <si>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</si>
  <si>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</si>
  <si>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</si>
  <si>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</si>
  <si>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</si>
  <si>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</si>
  <si>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</si>
  <si>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</si>
  <si>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</si>
  <si>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</si>
  <si>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</si>
  <si>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</si>
  <si>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</si>
  <si>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</si>
  <si>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</si>
  <si>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</si>
  <si>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</si>
  <si>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</si>
  <si>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</si>
  <si>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</si>
  <si>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</si>
  <si>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</si>
  <si>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</si>
  <si>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</si>
  <si>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</si>
  <si>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</si>
  <si>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</si>
  <si>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</si>
  <si>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</si>
  <si>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</si>
  <si>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</si>
  <si>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</si>
  <si>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</si>
  <si>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</si>
  <si>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</si>
  <si>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</si>
  <si>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</si>
  <si>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</si>
  <si>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</si>
  <si>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</si>
  <si>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</si>
  <si>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</si>
  <si>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</si>
  <si>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</si>
  <si>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</si>
  <si>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</si>
  <si>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</si>
  <si>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</si>
  <si>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</si>
  <si>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</si>
  <si>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</si>
  <si>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</si>
  <si>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</si>
  <si>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</si>
  <si>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</si>
  <si>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</si>
  <si>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</si>
  <si>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</si>
  <si>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</si>
  <si>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</si>
  <si>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</si>
  <si>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</si>
  <si>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</si>
  <si>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</si>
  <si>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</si>
  <si>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</si>
  <si>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</si>
  <si>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</si>
  <si>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</si>
  <si>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</si>
  <si>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</si>
  <si>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</si>
  <si>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</si>
  <si>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</si>
  <si>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</si>
  <si>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</si>
  <si>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</si>
  <si>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</si>
  <si>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</si>
  <si>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</si>
  <si>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</si>
  <si>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</si>
  <si>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</si>
  <si>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</si>
  <si>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</si>
  <si>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</si>
  <si>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</si>
  <si>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</si>
  <si>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</si>
  <si>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</si>
  <si>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</si>
  <si>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</si>
  <si>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</si>
  <si>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</si>
  <si>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</si>
  <si>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</si>
  <si>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</si>
  <si>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</si>
  <si>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</si>
  <si>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</si>
  <si>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</si>
  <si>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</si>
  <si>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</si>
  <si>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</si>
  <si>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</si>
  <si>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</si>
  <si>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</si>
  <si>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</si>
  <si>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</si>
  <si>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</si>
  <si>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</si>
  <si>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</si>
  <si>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</si>
  <si>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</si>
  <si>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</si>
  <si>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</si>
  <si>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</si>
  <si>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</si>
  <si>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</si>
  <si>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</si>
  <si>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</si>
  <si>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</si>
  <si>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</si>
  <si>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</si>
  <si>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</si>
  <si>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</si>
  <si>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</si>
  <si>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</si>
  <si>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</si>
  <si>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</si>
  <si>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</si>
  <si>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</si>
  <si>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</si>
  <si>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</si>
  <si>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</si>
  <si>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</si>
  <si>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</si>
  <si>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</si>
  <si>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</si>
  <si>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</si>
  <si>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</si>
  <si>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</si>
  <si>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</si>
  <si>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</si>
  <si>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</si>
  <si>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</si>
  <si>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</si>
  <si>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</si>
  <si>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</si>
  <si>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</si>
  <si>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</si>
  <si>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</si>
  <si>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</si>
  <si>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</si>
  <si>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</si>
  <si>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</si>
  <si>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</si>
  <si>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</si>
  <si>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</si>
  <si>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</si>
  <si>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</si>
  <si>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</si>
  <si>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</si>
  <si>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</si>
  <si>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</si>
  <si>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</si>
  <si>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</si>
  <si>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</si>
  <si>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</si>
  <si>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</si>
  <si>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</si>
  <si>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</si>
  <si>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</si>
  <si>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</si>
  <si>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</si>
  <si>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</si>
  <si>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</si>
  <si>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</si>
  <si>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</si>
  <si>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</si>
  <si>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</si>
  <si>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</si>
  <si>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</si>
  <si>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</si>
  <si>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</si>
  <si>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</si>
  <si>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</si>
  <si>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</si>
  <si>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</si>
  <si>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</si>
  <si>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</si>
  <si>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</si>
  <si>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</si>
  <si>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</si>
  <si>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</si>
  <si>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</si>
  <si>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</si>
  <si>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</si>
  <si>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</si>
  <si>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</si>
  <si>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</si>
  <si>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</si>
  <si>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</si>
  <si>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</si>
  <si>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</si>
  <si>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</si>
  <si>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</si>
  <si>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</si>
  <si>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</si>
  <si>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</si>
  <si>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</si>
  <si>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</si>
  <si>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</si>
  <si>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</si>
  <si>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</si>
  <si>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</si>
  <si>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</si>
  <si>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</si>
  <si>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</si>
  <si>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</si>
  <si>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</si>
  <si>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</si>
  <si>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</si>
  <si>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</si>
  <si>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</si>
  <si>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</si>
  <si>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</si>
  <si>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</si>
  <si>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</si>
  <si>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</si>
  <si>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</si>
  <si>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</si>
  <si>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</si>
  <si>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</si>
  <si>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</si>
  <si>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</si>
  <si>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</si>
  <si>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</si>
  <si>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</si>
  <si>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</si>
  <si>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</si>
  <si>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</si>
  <si>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</si>
  <si>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</si>
  <si>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</si>
  <si>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</si>
  <si>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</si>
  <si>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</si>
  <si>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</si>
  <si>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</si>
  <si>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</si>
  <si>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</si>
  <si>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</si>
  <si>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</si>
  <si>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</si>
  <si>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</si>
  <si>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</si>
  <si>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</si>
  <si>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</si>
  <si>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</si>
  <si>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</si>
  <si>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</si>
  <si>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</si>
  <si>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</si>
  <si>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</si>
  <si>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</si>
  <si>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</si>
  <si>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</si>
  <si>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</si>
  <si>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</si>
  <si>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</si>
  <si>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</si>
  <si>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</si>
  <si>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</si>
  <si>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</si>
  <si>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</si>
  <si>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</si>
  <si>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</si>
  <si>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</si>
  <si>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</si>
  <si>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</si>
  <si>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</si>
  <si>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</si>
  <si>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</si>
  <si>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</si>
  <si>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</si>
  <si>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</si>
  <si>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</si>
  <si>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</si>
  <si>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</si>
  <si>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</si>
  <si>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</si>
  <si>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</si>
  <si>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</si>
  <si>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</si>
  <si>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</si>
  <si>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</si>
  <si>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</si>
  <si>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</si>
  <si>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</si>
  <si>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</si>
  <si>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</si>
  <si>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</si>
  <si>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</si>
  <si>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</si>
  <si>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</si>
  <si>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</si>
  <si>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</si>
  <si>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</si>
  <si>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</si>
  <si>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</si>
  <si>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</si>
  <si>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</si>
  <si>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</si>
  <si>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</si>
  <si>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</si>
  <si>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</si>
  <si>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</si>
  <si>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</si>
  <si>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</si>
  <si>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</si>
  <si>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</si>
  <si>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</si>
  <si>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</si>
  <si>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</si>
  <si>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</si>
  <si>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</si>
  <si>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</si>
  <si>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</si>
  <si>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</si>
  <si>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</si>
  <si>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</si>
  <si>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</si>
  <si>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</si>
  <si>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</si>
  <si>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</si>
  <si>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</si>
  <si>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</si>
  <si>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</si>
  <si>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</si>
  <si>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</si>
  <si>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</si>
  <si>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</si>
  <si>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</si>
  <si>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</si>
  <si>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</si>
  <si>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</si>
  <si>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</si>
  <si>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</si>
  <si>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</si>
  <si>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</si>
  <si>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</si>
  <si>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</si>
  <si>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</si>
  <si>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</si>
  <si>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</si>
  <si>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</si>
  <si>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</si>
  <si>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</si>
  <si>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</si>
  <si>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</si>
  <si>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</si>
  <si>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</si>
  <si>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</si>
  <si>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</si>
  <si>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</si>
  <si>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</si>
  <si>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</si>
  <si>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</si>
  <si>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</si>
  <si>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</si>
  <si>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</si>
  <si>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</si>
  <si>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</si>
  <si>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</si>
  <si>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</si>
  <si>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</si>
  <si>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</si>
  <si>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</si>
  <si>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</si>
  <si>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</si>
  <si>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</si>
  <si>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</si>
  <si>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</si>
  <si>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</si>
  <si>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</si>
  <si>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</si>
  <si>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</si>
  <si>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</si>
  <si>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</si>
  <si>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</si>
  <si>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</si>
  <si>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</si>
  <si>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</si>
  <si>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</si>
  <si>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</si>
  <si>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</si>
  <si>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</si>
  <si>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</si>
  <si>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</si>
  <si>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</si>
  <si>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</si>
  <si>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</si>
  <si>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</si>
  <si>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</si>
  <si>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</si>
  <si>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</si>
  <si>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</si>
  <si>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</si>
  <si>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</si>
  <si>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</si>
  <si>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</si>
  <si>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</si>
  <si>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</si>
  <si>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</si>
  <si>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</si>
  <si>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</si>
  <si>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</si>
  <si>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</si>
  <si>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</si>
  <si>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</si>
  <si>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</si>
  <si>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</si>
  <si>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</si>
  <si>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</si>
  <si>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</si>
  <si>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</si>
  <si>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</si>
  <si>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</si>
  <si>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</si>
  <si>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</si>
  <si>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</si>
  <si>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</si>
  <si>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</si>
  <si>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</si>
  <si>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</si>
  <si>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</si>
  <si>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</si>
  <si>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</si>
  <si>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</si>
  <si>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</si>
  <si>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</si>
  <si>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</si>
  <si>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</si>
  <si>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</si>
  <si>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</si>
  <si>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</si>
  <si>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</si>
  <si>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</si>
  <si>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</si>
  <si>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</si>
  <si>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</si>
  <si>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</si>
  <si>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</si>
  <si>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</si>
  <si>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</si>
  <si>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</si>
  <si>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</si>
  <si>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</si>
  <si>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</si>
  <si>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</si>
  <si>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</si>
  <si>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</si>
  <si>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</si>
  <si>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</si>
  <si>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</si>
  <si>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</si>
  <si>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</si>
  <si>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</si>
  <si>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</si>
  <si>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</si>
  <si>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</si>
  <si>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</si>
  <si>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</si>
  <si>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</si>
  <si>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</si>
  <si>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</si>
  <si>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</si>
  <si>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</si>
  <si>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</si>
  <si>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</si>
  <si>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</si>
  <si>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</si>
  <si>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</si>
  <si>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</si>
  <si>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</si>
  <si>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</si>
  <si>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</si>
  <si>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</si>
  <si>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</si>
  <si>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</si>
  <si>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</si>
  <si>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</si>
  <si>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</si>
  <si>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</si>
  <si>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</si>
  <si>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</si>
  <si>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</si>
  <si>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</si>
  <si>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</si>
  <si>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</si>
  <si>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</si>
  <si>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</si>
  <si>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</si>
  <si>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</si>
  <si>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</si>
  <si>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</si>
  <si>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</si>
  <si>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</si>
  <si>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</si>
  <si>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</si>
  <si>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</si>
  <si>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</si>
  <si>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</si>
  <si>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</si>
  <si>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</si>
  <si>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</si>
  <si>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</si>
  <si>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</si>
  <si>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</si>
  <si>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</si>
  <si>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</si>
  <si>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</si>
  <si>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</si>
  <si>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</si>
  <si>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</si>
  <si>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</si>
  <si>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</si>
  <si>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</si>
  <si>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</si>
  <si>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</si>
  <si>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</si>
  <si>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</si>
  <si>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</si>
  <si>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</si>
  <si>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</si>
  <si>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</si>
  <si>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</si>
  <si>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</si>
  <si>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</si>
  <si>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</si>
  <si>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</si>
  <si>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</si>
  <si>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</si>
  <si>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</si>
  <si>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</si>
  <si>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</si>
  <si>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</si>
  <si>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</si>
  <si>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</si>
  <si>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</si>
  <si>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</si>
  <si>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</si>
  <si>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</si>
  <si>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</si>
  <si>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</si>
  <si>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</si>
  <si>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</si>
  <si>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</si>
  <si>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</si>
  <si>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</si>
  <si>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</si>
  <si>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</si>
  <si>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</si>
  <si>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</si>
  <si>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</si>
  <si>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</si>
  <si>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</si>
  <si>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</si>
  <si>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</si>
  <si>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</si>
  <si>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</si>
  <si>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</si>
  <si>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</si>
  <si>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</si>
  <si>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</si>
  <si>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</si>
  <si>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</si>
  <si>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</si>
  <si>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</si>
  <si>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</si>
  <si>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</si>
  <si>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</si>
  <si>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</si>
  <si>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</si>
  <si>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</si>
  <si>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</si>
  <si>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</si>
  <si>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</si>
  <si>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</si>
  <si>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</si>
  <si>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</si>
  <si>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</si>
  <si>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</si>
  <si>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</si>
  <si>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</si>
  <si>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</si>
  <si>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</si>
  <si>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</si>
  <si>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</si>
  <si>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</si>
  <si>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</si>
  <si>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</si>
  <si>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</si>
  <si>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</si>
  <si>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</si>
  <si>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</si>
  <si>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</si>
  <si>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</si>
  <si>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</si>
  <si>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</si>
  <si>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</si>
  <si>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</si>
  <si>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</si>
  <si>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</si>
  <si>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</si>
  <si>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</si>
  <si>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</si>
  <si>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</si>
  <si>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</si>
  <si>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</si>
  <si>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</si>
  <si>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</si>
  <si>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</si>
  <si>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</si>
  <si>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</si>
  <si>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</si>
  <si>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</si>
  <si>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</si>
  <si>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</si>
  <si>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</si>
  <si>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</si>
  <si>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</si>
  <si>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</si>
  <si>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</si>
  <si>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</si>
  <si>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</si>
  <si>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</si>
  <si>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</si>
  <si>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</si>
  <si>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</si>
  <si>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</si>
  <si>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</si>
  <si>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</si>
  <si>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</si>
  <si>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</si>
  <si>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</si>
  <si>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</si>
  <si>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</si>
  <si>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</si>
  <si>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</si>
  <si>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</si>
  <si>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</si>
  <si>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</si>
  <si>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</si>
  <si>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</si>
  <si>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</si>
  <si>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</si>
  <si>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</si>
  <si>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</si>
  <si>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</si>
  <si>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</si>
  <si>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</si>
  <si>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</si>
  <si>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</si>
  <si>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</si>
  <si>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</si>
  <si>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</si>
  <si>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</si>
  <si>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</si>
  <si>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</si>
  <si>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</si>
  <si>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</si>
  <si>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</si>
  <si>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</si>
  <si>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</si>
  <si>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</si>
  <si>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</si>
  <si>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</si>
  <si>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</si>
  <si>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</si>
  <si>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</si>
  <si>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</si>
  <si>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</si>
  <si>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</si>
  <si>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</si>
  <si>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</si>
  <si>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</si>
  <si>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</si>
  <si>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</si>
  <si>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</si>
  <si>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</si>
  <si>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</si>
  <si>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</si>
  <si>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</si>
  <si>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</si>
  <si>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</si>
  <si>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</si>
  <si>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</si>
  <si>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</si>
  <si>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</si>
  <si>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</si>
  <si>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</si>
  <si>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</si>
  <si>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</si>
  <si>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</si>
  <si>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</si>
  <si>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</si>
  <si>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</si>
  <si>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</si>
  <si>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</si>
  <si>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</si>
  <si>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</si>
  <si>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</si>
  <si>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</si>
  <si>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</si>
  <si>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</si>
  <si>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</si>
  <si>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</si>
  <si>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</si>
  <si>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</si>
  <si>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</si>
  <si>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</si>
  <si>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</si>
  <si>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</si>
  <si>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</si>
  <si>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</si>
  <si>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</si>
  <si>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</si>
  <si>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</si>
  <si>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</si>
  <si>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</si>
  <si>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</si>
  <si>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</si>
  <si>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</si>
  <si>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</si>
  <si>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</si>
  <si>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</si>
  <si>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</si>
  <si>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</si>
  <si>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</si>
  <si>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</si>
  <si>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</si>
  <si>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</si>
  <si>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</si>
  <si>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</si>
  <si>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</si>
  <si>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</si>
  <si>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</si>
  <si>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</si>
  <si>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</si>
  <si>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</si>
  <si>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</si>
  <si>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</si>
  <si>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</si>
  <si>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</si>
  <si>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</si>
  <si>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</si>
  <si>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</si>
  <si>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</si>
  <si>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</si>
  <si>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</si>
  <si>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</si>
  <si>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</si>
  <si>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</si>
  <si>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</si>
  <si>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</si>
  <si>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</si>
  <si>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</si>
  <si>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</si>
  <si>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</si>
  <si>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</si>
  <si>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</si>
  <si>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</si>
  <si>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</si>
  <si>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</si>
  <si>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</si>
  <si>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</si>
  <si>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</si>
  <si>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</si>
  <si>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</si>
  <si>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</si>
  <si>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</si>
  <si>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</si>
  <si>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</si>
  <si>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</si>
  <si>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</si>
  <si>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</si>
  <si>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</si>
  <si>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</si>
  <si>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</si>
  <si>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</si>
  <si>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</si>
  <si>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</si>
  <si>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</si>
  <si>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</si>
  <si>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</si>
  <si>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</si>
  <si>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</si>
  <si>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</si>
  <si>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</si>
  <si>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</si>
  <si>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</si>
  <si>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</si>
  <si>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</si>
  <si>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</si>
  <si>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</si>
  <si>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</si>
  <si>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</si>
  <si>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</si>
  <si>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</si>
  <si>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</si>
  <si>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</si>
  <si>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</si>
  <si>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</si>
  <si>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</si>
  <si>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</si>
  <si>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</si>
  <si>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</si>
  <si>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</si>
  <si>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</si>
  <si>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</si>
  <si>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</si>
  <si>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</si>
  <si>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</si>
  <si>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</si>
  <si>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</si>
  <si>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</si>
  <si>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</si>
  <si>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</si>
  <si>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</si>
  <si>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</si>
  <si>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</si>
  <si>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</si>
  <si>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</si>
  <si>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</si>
  <si>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</si>
  <si>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</si>
  <si>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</si>
  <si>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</si>
  <si>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</si>
  <si>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</si>
  <si>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</si>
  <si>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</si>
  <si>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</si>
  <si>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</si>
  <si>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</si>
  <si>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</si>
  <si>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</si>
  <si>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</si>
  <si>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</si>
  <si>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</si>
  <si>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</si>
  <si>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</si>
  <si>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</si>
  <si>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</si>
  <si>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</si>
  <si>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</si>
  <si>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</si>
  <si>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</si>
  <si>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</si>
  <si>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</si>
  <si>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</si>
  <si>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</si>
  <si>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</si>
  <si>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</si>
  <si>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</si>
  <si>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</si>
  <si>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</si>
  <si>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</si>
  <si>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</si>
  <si>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</si>
  <si>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</si>
  <si>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</si>
  <si>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</si>
  <si>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</si>
  <si>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</si>
  <si>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</si>
  <si>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</si>
  <si>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</si>
  <si>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</si>
  <si>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</si>
  <si>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</si>
  <si>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</si>
  <si>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</si>
  <si>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</si>
  <si>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</si>
  <si>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</si>
  <si>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</si>
  <si>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</si>
  <si>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</si>
  <si>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</si>
  <si>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</si>
  <si>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</si>
  <si>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</si>
  <si>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</si>
  <si>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</si>
  <si>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</si>
  <si>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</si>
  <si>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</si>
  <si>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</si>
  <si>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</si>
  <si>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</si>
  <si>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</si>
  <si>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</si>
  <si>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</si>
  <si>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</si>
  <si>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</si>
  <si>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</si>
  <si>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</si>
  <si>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</si>
  <si>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</si>
  <si>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</si>
  <si>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</si>
  <si>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</si>
  <si>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</si>
  <si>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</si>
  <si>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</si>
  <si>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</si>
  <si>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</si>
  <si>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</si>
  <si>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</si>
  <si>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</si>
  <si>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</si>
  <si>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</si>
  <si>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</si>
  <si>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</si>
  <si>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</si>
  <si>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</si>
  <si>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</si>
  <si>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</si>
  <si>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</si>
  <si>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</si>
  <si>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</si>
  <si>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</si>
  <si>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</si>
  <si>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</si>
  <si>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</si>
  <si>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</si>
  <si>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</si>
  <si>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</si>
  <si>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</si>
  <si>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</si>
  <si>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</si>
  <si>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</si>
  <si>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</si>
  <si>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</si>
  <si>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</si>
  <si>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</si>
  <si>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</si>
  <si>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</si>
  <si>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</si>
  <si>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</si>
  <si>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</si>
  <si>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</si>
  <si>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</si>
  <si>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</si>
  <si>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</si>
  <si>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</si>
  <si>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</si>
  <si>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</si>
  <si>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</si>
  <si>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</si>
  <si>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</si>
  <si>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</si>
  <si>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</si>
  <si>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</si>
  <si>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</si>
  <si>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</si>
  <si>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</si>
  <si>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</si>
  <si>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</si>
  <si>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</si>
  <si>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</si>
  <si>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</si>
  <si>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</si>
  <si>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</si>
  <si>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</si>
  <si>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</si>
  <si>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</si>
  <si>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</si>
  <si>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</si>
  <si>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</si>
  <si>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</si>
  <si>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</si>
  <si>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</si>
  <si>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</si>
  <si>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</si>
  <si>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</si>
  <si>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</si>
  <si>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</si>
  <si>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</si>
  <si>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</si>
  <si>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</si>
  <si>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</si>
  <si>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</si>
  <si>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</si>
  <si>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</si>
  <si>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</si>
  <si>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</si>
  <si>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</si>
  <si>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</si>
  <si>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</si>
  <si>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</si>
  <si>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</si>
  <si>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</si>
  <si>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</si>
  <si>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</si>
  <si>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</si>
  <si>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</si>
  <si>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</si>
  <si>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</si>
  <si>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</si>
  <si>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</si>
  <si>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</si>
  <si>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</si>
  <si>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</si>
  <si>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</si>
  <si>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</si>
  <si>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</si>
  <si>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</si>
  <si>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</si>
  <si>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</si>
  <si>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</si>
  <si>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</si>
  <si>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</si>
  <si>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</si>
  <si>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</si>
  <si>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</si>
  <si>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</si>
  <si>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</si>
  <si>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</si>
  <si>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</si>
  <si>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</si>
  <si>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</si>
  <si>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</si>
  <si>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</si>
  <si>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</si>
  <si>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</si>
  <si>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</si>
  <si>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</si>
  <si>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</si>
  <si>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</si>
  <si>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</si>
  <si>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</si>
  <si>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</si>
  <si>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</si>
  <si>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</si>
  <si>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</si>
  <si>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</si>
  <si>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</si>
  <si>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</si>
  <si>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</si>
  <si>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</si>
  <si>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</si>
  <si>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</si>
  <si>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</si>
  <si>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</si>
  <si>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</si>
  <si>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</si>
  <si>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</si>
  <si>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</si>
  <si>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</si>
  <si>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</si>
  <si>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</si>
  <si>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</si>
  <si>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</si>
  <si>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</si>
  <si>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</si>
  <si>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</si>
  <si>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</si>
  <si>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</si>
  <si>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</si>
  <si>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</si>
  <si>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</si>
  <si>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</si>
  <si>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</si>
  <si>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</si>
  <si>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</si>
  <si>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</si>
  <si>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</si>
  <si>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</si>
  <si>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</si>
  <si>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</si>
  <si>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</si>
  <si>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</si>
  <si>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</si>
  <si>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</si>
  <si>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</si>
  <si>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</si>
  <si>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</si>
  <si>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</si>
  <si>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</si>
  <si>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</si>
  <si>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</si>
  <si>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</si>
  <si>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</si>
  <si>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</si>
  <si>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</si>
  <si>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</si>
  <si>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</si>
  <si>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</si>
  <si>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</si>
  <si>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</si>
  <si>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</si>
  <si>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</si>
  <si>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</si>
  <si>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</si>
  <si>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</si>
  <si>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</si>
  <si>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</si>
  <si>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</si>
  <si>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</si>
  <si>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</si>
  <si>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</si>
  <si>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</si>
  <si>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</si>
  <si>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</si>
  <si>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</si>
  <si>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</si>
  <si>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</si>
  <si>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</si>
  <si>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</si>
  <si>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</si>
  <si>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</si>
  <si>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</si>
  <si>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</si>
  <si>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</si>
  <si>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</si>
  <si>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</si>
  <si>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</si>
  <si>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</si>
  <si>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</si>
  <si>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</si>
  <si>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</si>
  <si>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</si>
  <si>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</si>
  <si>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</si>
  <si>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</si>
  <si>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</si>
  <si>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</si>
  <si>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</si>
  <si>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</si>
  <si>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</si>
  <si>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</si>
  <si>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</si>
  <si>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</si>
  <si>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</si>
  <si>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</si>
  <si>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</si>
  <si>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</si>
  <si>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</si>
  <si>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</si>
  <si>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</si>
  <si>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</si>
  <si>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</si>
  <si>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</si>
  <si>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</si>
  <si>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</si>
  <si>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</si>
  <si>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</si>
  <si>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</si>
  <si>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</si>
  <si>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</si>
  <si>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</si>
  <si>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</si>
  <si>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</si>
  <si>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</si>
  <si>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</si>
  <si>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</si>
  <si>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</si>
  <si>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</si>
  <si>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</si>
  <si>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</si>
  <si>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</si>
  <si>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</si>
  <si>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</si>
  <si>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</si>
  <si>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</si>
  <si>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</si>
  <si>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</si>
  <si>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</si>
  <si>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</si>
  <si>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</si>
  <si>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</si>
  <si>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</si>
  <si>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</si>
  <si>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</si>
  <si>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</si>
  <si>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</si>
  <si>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</si>
  <si>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</si>
  <si>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</si>
  <si>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</si>
  <si>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</si>
  <si>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</si>
  <si>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</si>
  <si>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</si>
  <si>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</si>
  <si>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</si>
  <si>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</si>
  <si>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</si>
  <si>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</si>
  <si>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</si>
  <si>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</si>
  <si>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</si>
  <si>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</si>
  <si>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</si>
  <si>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</si>
  <si>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</si>
  <si>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</si>
  <si>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</si>
  <si>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</si>
  <si>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</si>
  <si>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</si>
  <si>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</si>
  <si>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</si>
  <si>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</si>
  <si>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</si>
  <si>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</si>
  <si>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</si>
  <si>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</si>
  <si>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</si>
  <si>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</si>
  <si>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</si>
  <si>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</si>
  <si>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</si>
  <si>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</si>
  <si>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</si>
  <si>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</si>
  <si>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</si>
  <si>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</si>
  <si>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</si>
  <si>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</si>
  <si>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</si>
  <si>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</si>
  <si>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</si>
  <si>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</si>
  <si>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</si>
  <si>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</si>
  <si>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</si>
  <si>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</si>
  <si>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</si>
  <si>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</si>
  <si>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</si>
  <si>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</si>
  <si>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</si>
  <si>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</si>
  <si>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</si>
  <si>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</si>
  <si>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</si>
  <si>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</si>
  <si>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</si>
  <si>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</si>
  <si>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</si>
  <si>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</si>
  <si>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</si>
  <si>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</si>
  <si>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</si>
  <si>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</si>
  <si>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</si>
  <si>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</si>
  <si>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</si>
  <si>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</si>
  <si>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</si>
  <si>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</si>
  <si>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</si>
  <si>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</si>
  <si>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</si>
  <si>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</si>
  <si>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</si>
  <si>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</si>
  <si>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</si>
  <si>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</si>
  <si>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</si>
  <si>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</si>
  <si>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</si>
  <si>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</si>
  <si>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</si>
  <si>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</si>
  <si>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</si>
  <si>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</si>
  <si>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</si>
  <si>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</si>
  <si>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</si>
  <si>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</si>
  <si>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</si>
  <si>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</si>
  <si>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</si>
  <si>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</si>
  <si>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</si>
  <si>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</si>
  <si>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</si>
  <si>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</si>
  <si>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</si>
  <si>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</si>
  <si>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</si>
  <si>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</si>
  <si>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</si>
  <si>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</si>
  <si>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</si>
  <si>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</si>
  <si>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</si>
  <si>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</si>
  <si>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</si>
  <si>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</si>
  <si>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</si>
  <si>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</si>
  <si>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</si>
  <si>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</si>
  <si>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</si>
  <si>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</si>
  <si>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</si>
  <si>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</si>
  <si>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</si>
  <si>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</si>
  <si>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</si>
  <si>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</si>
  <si>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</si>
  <si>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</si>
  <si>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</si>
  <si>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</si>
  <si>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</si>
  <si>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</si>
  <si>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</si>
  <si>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</si>
  <si>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</si>
  <si>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</si>
  <si>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</si>
  <si>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</si>
  <si>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</si>
  <si>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</si>
  <si>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</si>
  <si>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</si>
  <si>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</si>
  <si>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</si>
  <si>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</si>
  <si>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</si>
  <si>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</si>
  <si>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</si>
  <si>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</si>
  <si>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</si>
  <si>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</si>
  <si>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</si>
  <si>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</si>
  <si>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</si>
  <si>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</si>
  <si>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</si>
  <si>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</si>
  <si>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</si>
  <si>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</si>
  <si>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</si>
  <si>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</si>
  <si>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</si>
  <si>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</si>
  <si>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</si>
  <si>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</si>
  <si>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</si>
  <si>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</si>
  <si>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</si>
  <si>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</si>
  <si>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</si>
  <si>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</si>
  <si>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</si>
  <si>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</si>
  <si>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</si>
  <si>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</si>
  <si>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</si>
  <si>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</si>
  <si>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</si>
  <si>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</si>
  <si>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</si>
  <si>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</si>
  <si>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</si>
  <si>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</si>
  <si>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</si>
  <si>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</si>
  <si>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</si>
  <si>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</si>
  <si>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</si>
  <si>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</si>
  <si>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</si>
  <si>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</si>
  <si>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</si>
  <si>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</si>
  <si>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</si>
  <si>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</si>
  <si>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</si>
  <si>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</si>
  <si>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</si>
  <si>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</si>
  <si>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</si>
  <si>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</si>
  <si>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</si>
  <si>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</si>
  <si>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</si>
  <si>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</si>
  <si>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</si>
  <si>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</si>
  <si>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</si>
  <si>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</si>
  <si>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</si>
  <si>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</si>
  <si>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</si>
  <si>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</si>
  <si>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</si>
  <si>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</si>
  <si>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</si>
  <si>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</si>
  <si>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</si>
  <si>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</si>
  <si>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</si>
  <si>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</si>
  <si>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</si>
  <si>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</si>
  <si>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</si>
  <si>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</si>
  <si>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</si>
  <si>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</si>
  <si>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</si>
  <si>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</si>
  <si>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</si>
  <si>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</si>
  <si>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</si>
  <si>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</si>
  <si>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</si>
  <si>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</si>
  <si>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</si>
  <si>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</si>
  <si>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</si>
  <si>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</si>
  <si>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</si>
  <si>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</si>
  <si>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</si>
  <si>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</si>
  <si>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</si>
  <si>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</si>
  <si>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</si>
  <si>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</si>
  <si>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</si>
  <si>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</si>
  <si>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</si>
  <si>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</si>
  <si>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</si>
  <si>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</si>
  <si>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</si>
  <si>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</si>
  <si>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</si>
  <si>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</si>
  <si>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</si>
  <si>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</si>
  <si>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</si>
  <si>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</si>
  <si>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</si>
  <si>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</si>
  <si>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</si>
  <si>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</si>
  <si>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</si>
  <si>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</si>
  <si>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</si>
  <si>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</si>
  <si>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</si>
  <si>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</si>
  <si>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</si>
  <si>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</si>
  <si>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</si>
  <si>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</si>
  <si>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</si>
  <si>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</si>
  <si>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</si>
  <si>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</si>
  <si>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</si>
  <si>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</si>
  <si>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</si>
  <si>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</si>
  <si>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</si>
  <si>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</si>
  <si>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</si>
  <si>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</si>
  <si>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</si>
  <si>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</si>
  <si>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</si>
  <si>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</si>
  <si>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</si>
  <si>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</si>
  <si>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</si>
  <si>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</si>
  <si>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</si>
  <si>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</si>
  <si>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</si>
  <si>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</si>
  <si>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</si>
  <si>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</si>
  <si>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</si>
  <si>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</si>
  <si>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</si>
  <si>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</si>
  <si>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</si>
  <si>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</si>
  <si>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</si>
  <si>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</si>
  <si>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</si>
  <si>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</si>
  <si>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</si>
  <si>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</si>
  <si>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</si>
  <si>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</si>
  <si>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</si>
  <si>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</si>
  <si>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</si>
  <si>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</si>
  <si>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</si>
  <si>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</si>
  <si>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</si>
  <si>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</si>
  <si>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</si>
  <si>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</si>
  <si>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</si>
  <si>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</si>
  <si>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</si>
  <si>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</si>
  <si>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</si>
  <si>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</si>
  <si>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</si>
  <si>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</si>
  <si>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</si>
  <si>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</si>
  <si>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</si>
  <si>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</si>
  <si>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</si>
  <si>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</si>
  <si>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</si>
  <si>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</si>
  <si>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</si>
  <si>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</si>
  <si>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</si>
  <si>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</si>
  <si>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</si>
  <si>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</si>
  <si>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</si>
  <si>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</si>
  <si>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</si>
  <si>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</si>
  <si>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</si>
  <si>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</si>
  <si>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</si>
  <si>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</si>
  <si>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</si>
  <si>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</si>
  <si>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</si>
  <si>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</si>
  <si>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</si>
  <si>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</si>
  <si>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</si>
  <si>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</si>
  <si>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</si>
  <si>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</si>
  <si>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</si>
  <si>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</si>
  <si>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</si>
  <si>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</si>
  <si>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</si>
  <si>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</si>
  <si>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</si>
  <si>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</si>
  <si>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</si>
  <si>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</si>
  <si>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</si>
  <si>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</si>
  <si>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</si>
  <si>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</si>
  <si>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</si>
  <si>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</si>
  <si>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</si>
  <si>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</si>
  <si>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</si>
  <si>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</si>
  <si>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</si>
  <si>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</si>
  <si>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</si>
  <si>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</si>
  <si>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</si>
  <si>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</si>
  <si>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</si>
  <si>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</si>
  <si>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</si>
  <si>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</si>
  <si>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</si>
  <si>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</si>
  <si>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</si>
  <si>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</si>
  <si>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</si>
  <si>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</si>
  <si>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</si>
  <si>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</si>
  <si>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</si>
  <si>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</si>
  <si>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</si>
  <si>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</si>
  <si>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</si>
  <si>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</si>
  <si>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</si>
  <si>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</si>
  <si>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</si>
  <si>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</si>
  <si>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</si>
  <si>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</si>
  <si>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</si>
  <si>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</si>
  <si>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</si>
  <si>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</si>
  <si>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</si>
  <si>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</si>
  <si>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</si>
  <si>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</si>
  <si>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</si>
  <si>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</si>
  <si>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</si>
  <si>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</si>
  <si>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</si>
  <si>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</si>
  <si>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</si>
  <si>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</si>
  <si>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</si>
  <si>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</si>
  <si>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</si>
  <si>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</si>
  <si>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</si>
  <si>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</si>
  <si>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</si>
  <si>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</si>
  <si>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</si>
  <si>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</si>
  <si>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</si>
  <si>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</si>
  <si>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</si>
  <si>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</si>
  <si>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</si>
  <si>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</si>
  <si>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</si>
  <si>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</si>
  <si>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</si>
  <si>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</si>
  <si>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</si>
  <si>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</si>
  <si>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</si>
  <si>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</si>
  <si>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</si>
  <si>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</si>
  <si>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</si>
  <si>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</si>
  <si>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</si>
  <si>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</si>
  <si>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</si>
  <si>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</si>
  <si>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</si>
  <si>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</si>
  <si>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</si>
  <si>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</si>
  <si>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</si>
  <si>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</si>
  <si>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</si>
  <si>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</si>
  <si>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</si>
  <si>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</si>
  <si>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</si>
  <si>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</si>
  <si>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</si>
  <si>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</si>
  <si>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</si>
  <si>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</si>
  <si>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</si>
  <si>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</si>
  <si>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</si>
  <si>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</si>
  <si>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</si>
  <si>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</si>
  <si>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</si>
  <si>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</si>
  <si>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</si>
  <si>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</si>
  <si>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</si>
  <si>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</si>
  <si>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</si>
  <si>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</si>
  <si>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</si>
  <si>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</si>
  <si>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</si>
  <si>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</si>
  <si>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</si>
  <si>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</si>
  <si>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</si>
  <si>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</si>
  <si>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</si>
  <si>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</si>
  <si>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</si>
  <si>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</si>
  <si>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</si>
  <si>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</si>
  <si>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</si>
  <si>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</si>
  <si>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</si>
  <si>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</si>
  <si>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</si>
  <si>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</si>
  <si>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</si>
  <si>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</si>
  <si>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</si>
  <si>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</si>
  <si>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</si>
  <si>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</si>
  <si>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</si>
  <si>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</si>
  <si>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</si>
  <si>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</si>
  <si>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</si>
  <si>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</si>
  <si>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</si>
  <si>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</si>
  <si>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</si>
  <si>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</si>
  <si>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</si>
  <si>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</si>
  <si>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</si>
  <si>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</si>
  <si>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</si>
  <si>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</si>
  <si>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</si>
  <si>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</si>
  <si>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</si>
  <si>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</si>
  <si>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</si>
  <si>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</si>
  <si>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</si>
  <si>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</si>
  <si>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</si>
  <si>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</si>
  <si>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</si>
  <si>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</si>
  <si>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</si>
  <si>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</si>
  <si>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</si>
  <si>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</si>
  <si>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</si>
  <si>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</si>
  <si>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</si>
  <si>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</si>
  <si>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</si>
  <si>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</si>
  <si>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</si>
  <si>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</si>
  <si>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</si>
  <si>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</si>
  <si>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</si>
  <si>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</si>
  <si>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</si>
  <si>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</si>
  <si>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</si>
  <si>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</si>
  <si>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</si>
  <si>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</si>
  <si>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</si>
  <si>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</si>
  <si>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</si>
  <si>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</si>
  <si>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</si>
  <si>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</si>
  <si>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</si>
  <si>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</si>
  <si>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</si>
  <si>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</si>
  <si>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</si>
  <si>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</si>
  <si>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</si>
  <si>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</si>
  <si>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</si>
  <si>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</si>
  <si>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</si>
  <si>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</si>
  <si>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</si>
  <si>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</si>
  <si>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</si>
  <si>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</si>
  <si>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</si>
  <si>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</si>
  <si>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</si>
  <si>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</si>
  <si>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</si>
  <si>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</si>
  <si>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</si>
  <si>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</si>
  <si>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</si>
  <si>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</si>
  <si>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</si>
  <si>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</si>
  <si>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</si>
  <si>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</si>
  <si>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</si>
  <si>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</si>
  <si>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</si>
  <si>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</si>
  <si>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</si>
  <si>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</si>
  <si>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</si>
  <si>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</si>
  <si>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</si>
  <si>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</si>
  <si>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</si>
  <si>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</si>
  <si>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</si>
  <si>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</si>
  <si>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</si>
  <si>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</si>
  <si>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</si>
  <si>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</si>
  <si>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</si>
  <si>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</si>
  <si>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</si>
  <si>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</si>
  <si>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</si>
  <si>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</si>
  <si>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</si>
  <si>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</si>
  <si>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</si>
  <si>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</si>
  <si>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</si>
  <si>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</si>
  <si>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</si>
  <si>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</si>
  <si>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</si>
  <si>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</si>
  <si>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</si>
  <si>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</si>
  <si>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</si>
  <si>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</si>
  <si>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</si>
  <si>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</si>
  <si>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</si>
  <si>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</si>
  <si>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</si>
  <si>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</si>
  <si>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</si>
  <si>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</si>
  <si>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</si>
  <si>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</si>
  <si>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</si>
  <si>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</si>
  <si>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</si>
  <si>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</si>
  <si>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</si>
  <si>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</si>
  <si>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</si>
  <si>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</si>
  <si>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</si>
  <si>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</si>
  <si>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</si>
  <si>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</si>
  <si>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</si>
  <si>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</si>
  <si>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</si>
  <si>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</si>
  <si>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</si>
  <si>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</si>
  <si>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</si>
  <si>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</si>
  <si>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</si>
  <si>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</si>
  <si>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</si>
  <si>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</si>
  <si>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</si>
  <si>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</si>
  <si>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</si>
  <si>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</si>
  <si>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</si>
  <si>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</si>
  <si>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</si>
  <si>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</si>
  <si>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</si>
  <si>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</si>
  <si>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</si>
  <si>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</si>
  <si>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</si>
  <si>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</si>
  <si>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</si>
  <si>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</si>
  <si>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</si>
  <si>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</si>
  <si>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</si>
  <si>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</si>
  <si>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</si>
  <si>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</si>
  <si>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</si>
  <si>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</si>
  <si>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</si>
  <si>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</si>
  <si>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</si>
  <si>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</si>
  <si>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</si>
  <si>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</si>
  <si>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</si>
  <si>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</si>
  <si>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</si>
  <si>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</si>
  <si>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</si>
  <si>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</si>
  <si>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</si>
  <si>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</si>
  <si>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</si>
  <si>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</si>
  <si>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</si>
  <si>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</si>
  <si>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</si>
  <si>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</si>
  <si>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</si>
  <si>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</si>
  <si>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</si>
  <si>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</si>
  <si>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</si>
  <si>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</si>
  <si>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</si>
  <si>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</si>
  <si>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</si>
  <si>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</si>
  <si>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</si>
  <si>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</si>
  <si>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</si>
  <si>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</si>
  <si>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</si>
  <si>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</si>
  <si>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</si>
  <si>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</si>
  <si>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</si>
  <si>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</si>
  <si>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</si>
  <si>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</si>
  <si>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</si>
  <si>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</si>
  <si>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</si>
  <si>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</si>
  <si>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</si>
  <si>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</si>
  <si>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</si>
  <si>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</si>
  <si>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</si>
  <si>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</si>
  <si>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</si>
  <si>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</si>
  <si>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</si>
  <si>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</si>
  <si>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</si>
  <si>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</si>
  <si>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</si>
  <si>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</si>
  <si>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</si>
  <si>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</si>
  <si>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</si>
  <si>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</si>
  <si>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</si>
  <si>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</si>
  <si>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</si>
  <si>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</si>
  <si>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</si>
  <si>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</si>
  <si>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</si>
  <si>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</si>
  <si>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</si>
  <si>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</si>
  <si>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</si>
  <si>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</si>
  <si>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</si>
  <si>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</si>
  <si>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</si>
  <si>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</si>
  <si>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</si>
  <si>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</si>
  <si>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</si>
  <si>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</si>
  <si>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</si>
  <si>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</si>
  <si>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</si>
  <si>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</si>
  <si>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</si>
  <si>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</si>
  <si>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</si>
  <si>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</si>
  <si>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</si>
  <si>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</si>
  <si>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</si>
  <si>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</si>
  <si>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</si>
  <si>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</si>
  <si>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</si>
  <si>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</si>
  <si>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</si>
  <si>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</si>
  <si>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</si>
  <si>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</si>
  <si>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</si>
  <si>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</si>
  <si>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</si>
  <si>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</si>
  <si>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</si>
  <si>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</si>
  <si>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</si>
  <si>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</si>
  <si>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</si>
  <si>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</si>
  <si>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</si>
  <si>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</si>
  <si>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</si>
  <si>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</si>
  <si>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</si>
  <si>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</si>
  <si>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</si>
  <si>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</si>
  <si>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</si>
  <si>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</si>
  <si>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</si>
  <si>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</si>
  <si>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</si>
  <si>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</si>
  <si>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</si>
  <si>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</si>
  <si>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</si>
  <si>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</si>
  <si>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</si>
  <si>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</si>
  <si>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</si>
  <si>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</si>
  <si>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</si>
  <si>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</si>
  <si>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</si>
  <si>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</si>
  <si>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</si>
  <si>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</si>
  <si>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</si>
  <si>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</si>
  <si>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</si>
  <si>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</si>
  <si>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</si>
  <si>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</si>
  <si>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</si>
  <si>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</si>
  <si>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</si>
  <si>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</si>
  <si>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</si>
  <si>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</si>
  <si>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</si>
  <si>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</si>
  <si>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</si>
  <si>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</si>
  <si>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</si>
  <si>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</si>
  <si>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</si>
  <si>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</si>
  <si>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</si>
  <si>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</si>
  <si>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</si>
  <si>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</si>
  <si>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</si>
  <si>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</si>
  <si>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</si>
  <si>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</si>
  <si>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</si>
  <si>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</si>
  <si>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</si>
  <si>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</si>
  <si>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</si>
  <si>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</si>
  <si>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</si>
  <si>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</si>
  <si>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</si>
  <si>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</si>
  <si>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</si>
  <si>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</si>
  <si>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</si>
  <si>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</si>
  <si>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</si>
  <si>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</si>
  <si>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</si>
  <si>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</si>
  <si>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</si>
  <si>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</si>
  <si>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</si>
  <si>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</si>
  <si>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</si>
  <si>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</si>
  <si>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</si>
  <si>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</si>
  <si>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</si>
  <si>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</si>
  <si>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</si>
  <si>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</si>
  <si>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</si>
  <si>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</si>
  <si>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</si>
  <si>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</si>
  <si>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</si>
  <si>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</si>
  <si>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</si>
  <si>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</si>
  <si>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</si>
  <si>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</si>
  <si>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</si>
  <si>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</si>
  <si>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</si>
  <si>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</si>
  <si>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</si>
  <si>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</si>
  <si>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</si>
  <si>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</si>
  <si>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</si>
  <si>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</si>
  <si>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</si>
  <si>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</si>
  <si>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</si>
  <si>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</si>
  <si>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</si>
  <si>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</si>
  <si>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</si>
  <si>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</si>
  <si>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</si>
  <si>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</si>
  <si>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</si>
  <si>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</si>
  <si>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</si>
  <si>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</si>
  <si>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</si>
  <si>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</si>
  <si>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</si>
  <si>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</si>
  <si>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</si>
  <si>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</si>
  <si>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</si>
  <si>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</si>
  <si>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</si>
  <si>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</si>
  <si>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</si>
  <si>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</si>
  <si>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</si>
  <si>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</si>
  <si>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</si>
  <si>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</si>
  <si>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</si>
  <si>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</si>
  <si>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</si>
  <si>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</si>
  <si>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</si>
  <si>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</si>
  <si>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</si>
  <si>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</si>
  <si>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</si>
  <si>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</si>
  <si>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</si>
  <si>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</si>
  <si>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</si>
  <si>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</si>
  <si>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</si>
  <si>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</si>
  <si>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</si>
  <si>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</si>
  <si>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</si>
  <si>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</si>
  <si>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</si>
  <si>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</si>
  <si>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</si>
  <si>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</si>
  <si>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</si>
  <si>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</si>
  <si>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</si>
  <si>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</si>
  <si>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</si>
  <si>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</si>
  <si>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</si>
  <si>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</si>
  <si>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</si>
  <si>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</si>
  <si>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</si>
  <si>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</si>
  <si>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</si>
  <si>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</si>
  <si>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</si>
  <si>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</si>
  <si>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</si>
  <si>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</si>
  <si>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</si>
  <si>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</si>
  <si>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</si>
  <si>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</si>
  <si>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</si>
  <si>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</si>
  <si>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</si>
  <si>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</si>
  <si>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</si>
  <si>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</si>
  <si>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</si>
  <si>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</si>
  <si>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</si>
  <si>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</si>
  <si>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</si>
  <si>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</si>
  <si>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</si>
  <si>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</si>
  <si>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</si>
  <si>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</si>
  <si>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</si>
  <si>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</si>
  <si>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</si>
  <si>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</si>
  <si>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</si>
  <si>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</si>
  <si>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</si>
  <si>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</si>
  <si>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</si>
  <si>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</si>
  <si>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</si>
  <si>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</si>
  <si>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</si>
  <si>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</si>
  <si>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</si>
  <si>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</si>
  <si>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</si>
  <si>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</si>
  <si>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</si>
  <si>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</si>
  <si>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</si>
  <si>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</si>
  <si>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</si>
  <si>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</si>
  <si>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</si>
  <si>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</si>
  <si>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</si>
  <si>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</si>
  <si>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</si>
  <si>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</si>
  <si>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</si>
  <si>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</si>
  <si>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</si>
  <si>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</si>
  <si>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</si>
  <si>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</si>
  <si>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</si>
  <si>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</si>
  <si>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</si>
  <si>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</si>
  <si>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</si>
  <si>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</si>
  <si>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</si>
  <si>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</si>
  <si>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</si>
  <si>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</si>
  <si>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</si>
  <si>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</si>
  <si>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</si>
  <si>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</si>
  <si>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</si>
  <si>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</si>
  <si>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</si>
  <si>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</si>
  <si>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</si>
  <si>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</si>
  <si>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</si>
  <si>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</si>
  <si>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</si>
  <si>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</si>
  <si>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</si>
  <si>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</si>
  <si>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</si>
  <si>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</si>
  <si>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</si>
  <si>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</si>
  <si>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</si>
  <si>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</si>
  <si>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</si>
  <si>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</si>
  <si>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</si>
  <si>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</si>
  <si>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</si>
  <si>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</si>
  <si>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</si>
  <si>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</si>
  <si>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</si>
  <si>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</si>
  <si>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</si>
  <si>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</si>
  <si>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</si>
  <si>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</si>
  <si>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</si>
  <si>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</si>
  <si>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</si>
  <si>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</si>
  <si>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</si>
  <si>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</si>
  <si>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</si>
  <si>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</si>
  <si>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</si>
  <si>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</si>
  <si>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</si>
  <si>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</si>
  <si>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</si>
  <si>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</si>
  <si>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</si>
  <si>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</si>
  <si>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</si>
  <si>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</si>
  <si>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</si>
  <si>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</si>
  <si>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</si>
  <si>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</si>
  <si>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</si>
  <si>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</si>
  <si>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</si>
  <si>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</si>
  <si>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</si>
  <si>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</si>
  <si>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</si>
  <si>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</si>
  <si>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</si>
  <si>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</si>
  <si>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</si>
  <si>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</si>
  <si>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</si>
  <si>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</si>
  <si>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</si>
  <si>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</si>
  <si>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</si>
  <si>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</si>
  <si>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</si>
  <si>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</si>
  <si>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</si>
  <si>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</si>
  <si>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</si>
  <si>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</si>
  <si>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</si>
  <si>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</si>
  <si>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</si>
  <si>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</si>
  <si>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</si>
  <si>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</si>
  <si>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</si>
  <si>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</si>
  <si>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</si>
  <si>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</si>
  <si>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</si>
  <si>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</si>
  <si>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</si>
  <si>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</si>
  <si>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</si>
  <si>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</si>
  <si>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</si>
  <si>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</si>
  <si>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</si>
  <si>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</si>
  <si>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</si>
  <si>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</si>
  <si>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</si>
  <si>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</si>
  <si>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</si>
  <si>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</si>
  <si>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</si>
  <si>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</si>
  <si>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</si>
  <si>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</si>
  <si>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</si>
  <si>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</si>
  <si>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</si>
  <si>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</si>
  <si>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</si>
  <si>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</si>
  <si>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</si>
  <si>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</si>
  <si>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</si>
  <si>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</si>
  <si>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</si>
  <si>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</si>
  <si>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</si>
  <si>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</si>
  <si>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</si>
  <si>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</si>
  <si>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</si>
  <si>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</si>
  <si>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</si>
  <si>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</si>
  <si>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</si>
  <si>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</si>
  <si>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</si>
  <si>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</si>
  <si>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</si>
  <si>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</si>
  <si>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</si>
  <si>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</si>
  <si>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</si>
  <si>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</si>
  <si>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</si>
  <si>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</si>
  <si>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</si>
  <si>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</si>
  <si>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</si>
  <si>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</si>
  <si>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</si>
  <si>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</si>
  <si>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</si>
  <si>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</si>
  <si>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</si>
  <si>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</si>
  <si>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</si>
  <si>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</si>
  <si>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</si>
  <si>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</si>
  <si>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</si>
  <si>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</si>
  <si>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</si>
  <si>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</si>
  <si>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</si>
  <si>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</si>
  <si>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</si>
  <si>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</si>
  <si>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</si>
  <si>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</si>
  <si>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</si>
  <si>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</si>
  <si>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</si>
  <si>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</si>
  <si>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</si>
  <si>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</si>
  <si>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</si>
  <si>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</si>
  <si>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</si>
  <si>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</si>
  <si>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</si>
  <si>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</si>
  <si>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</si>
  <si>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</si>
  <si>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</si>
  <si>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</si>
  <si>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</si>
  <si>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</si>
  <si>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</si>
  <si>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</si>
  <si>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</si>
  <si>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</si>
  <si>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</si>
  <si>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</si>
  <si>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</si>
  <si>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</si>
  <si>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</si>
  <si>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</si>
  <si>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</si>
  <si>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</si>
  <si>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</si>
  <si>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</si>
  <si>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</si>
  <si>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</si>
  <si>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</si>
  <si>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</si>
  <si>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</si>
  <si>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</si>
  <si>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</si>
  <si>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</si>
  <si>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</si>
  <si>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</si>
  <si>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</si>
  <si>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</si>
  <si>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</si>
  <si>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</si>
  <si>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</si>
  <si>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</si>
  <si>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</si>
  <si>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</si>
  <si>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</si>
  <si>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</si>
  <si>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</si>
  <si>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</si>
  <si>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</si>
  <si>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</si>
  <si>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</si>
  <si>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</si>
  <si>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</si>
  <si>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</si>
  <si>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</si>
  <si>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</si>
  <si>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</si>
  <si>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</si>
  <si>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</si>
  <si>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</si>
  <si>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</si>
  <si>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</si>
  <si>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</si>
  <si>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</si>
  <si>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</si>
  <si>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</si>
  <si>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</si>
  <si>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</si>
  <si>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</si>
  <si>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</si>
  <si>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</si>
  <si>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</si>
  <si>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</si>
  <si>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</si>
  <si>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</si>
  <si>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</si>
  <si>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</si>
  <si>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</si>
  <si>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</si>
  <si>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</si>
  <si>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</si>
  <si>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</si>
  <si>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</si>
  <si>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</si>
  <si>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</si>
  <si>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</si>
  <si>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</si>
  <si>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</si>
  <si>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</si>
  <si>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</si>
  <si>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</si>
  <si>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</si>
  <si>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</si>
  <si>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</si>
  <si>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</si>
  <si>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</si>
  <si>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</si>
  <si>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</si>
  <si>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</si>
  <si>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</si>
  <si>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</si>
  <si>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</si>
  <si>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</si>
  <si>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</si>
  <si>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</si>
  <si>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</si>
  <si>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</si>
  <si>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</si>
  <si>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</si>
  <si>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</si>
  <si>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</si>
  <si>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</si>
  <si>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</si>
  <si>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</si>
  <si>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</si>
  <si>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</si>
  <si>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</si>
  <si>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</si>
  <si>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</si>
  <si>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</si>
  <si>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</si>
  <si>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</si>
  <si>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</si>
  <si>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</si>
  <si>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</si>
  <si>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</si>
  <si>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</si>
  <si>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</si>
  <si>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</si>
  <si>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</si>
  <si>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</si>
  <si>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</si>
  <si>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</si>
  <si>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</si>
  <si>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</si>
  <si>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</si>
  <si>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</si>
  <si>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</si>
  <si>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</si>
  <si>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</si>
  <si>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</si>
  <si>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</si>
  <si>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</si>
  <si>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</si>
  <si>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</si>
  <si>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</si>
  <si>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</si>
  <si>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</si>
  <si>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</si>
  <si>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</si>
  <si>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</si>
  <si>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</si>
  <si>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</si>
  <si>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</si>
  <si>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</si>
  <si>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</si>
  <si>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</si>
  <si>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</si>
  <si>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</si>
  <si>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</si>
  <si>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</si>
  <si>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</si>
  <si>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</si>
  <si>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</si>
  <si>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</si>
  <si>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</si>
  <si>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</si>
  <si>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</si>
  <si>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</si>
  <si>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</si>
  <si>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</si>
  <si>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</si>
  <si>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</si>
  <si>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</si>
  <si>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</si>
  <si>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</si>
  <si>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</si>
  <si>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</si>
  <si>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</si>
  <si>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</si>
  <si>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</si>
  <si>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</si>
  <si>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</si>
  <si>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</si>
  <si>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</si>
  <si>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</si>
  <si>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</si>
  <si>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</si>
  <si>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</si>
  <si>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</si>
  <si>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</si>
  <si>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</si>
  <si>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</si>
  <si>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</si>
  <si>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</si>
  <si>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</si>
  <si>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</si>
  <si>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</si>
  <si>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</si>
  <si>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</si>
  <si>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</si>
  <si>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</si>
  <si>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</si>
  <si>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</si>
  <si>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</si>
  <si>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</si>
  <si>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</si>
  <si>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</si>
  <si>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</si>
  <si>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</si>
  <si>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</si>
  <si>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</si>
  <si>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</si>
  <si>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</si>
  <si>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</si>
  <si>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</si>
  <si>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</si>
  <si>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</si>
  <si>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</si>
  <si>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</si>
  <si>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</si>
  <si>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</si>
  <si>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</si>
  <si>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</si>
  <si>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</si>
  <si>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</si>
  <si>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</si>
  <si>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</si>
  <si>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</si>
  <si>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</si>
  <si>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</si>
  <si>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</si>
  <si>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</si>
  <si>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</si>
  <si>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</si>
  <si>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</si>
  <si>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</si>
  <si>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</si>
  <si>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</si>
  <si>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</si>
  <si>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</si>
  <si>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</si>
  <si>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</si>
  <si>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</si>
  <si>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</si>
  <si>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</si>
  <si>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</si>
  <si>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</si>
  <si>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</si>
  <si>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</si>
  <si>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</si>
  <si>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</si>
  <si>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</si>
  <si>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</si>
  <si>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</si>
  <si>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</si>
  <si>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</si>
  <si>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</si>
  <si>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</si>
  <si>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</si>
  <si>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</si>
  <si>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</si>
  <si>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</si>
  <si>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</si>
  <si>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</si>
  <si>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</si>
  <si>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</si>
  <si>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</si>
  <si>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</si>
  <si>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</si>
  <si>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</si>
  <si>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</si>
  <si>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</si>
  <si>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</si>
  <si>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</si>
  <si>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</si>
  <si>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</si>
  <si>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</si>
  <si>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</si>
  <si>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</si>
  <si>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</si>
  <si>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</si>
  <si>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</si>
  <si>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</si>
  <si>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</si>
  <si>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</si>
  <si>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</si>
  <si>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</si>
  <si>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</si>
  <si>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</si>
  <si>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</si>
  <si>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</si>
  <si>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</si>
  <si>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</si>
  <si>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</si>
  <si>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</si>
  <si>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</si>
  <si>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</si>
  <si>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</si>
  <si>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</si>
  <si>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</si>
  <si>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</si>
  <si>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</si>
  <si>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</si>
  <si>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</si>
  <si>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</si>
  <si>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</si>
  <si>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</si>
  <si>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</si>
  <si>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</si>
  <si>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</si>
  <si>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</si>
  <si>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</si>
  <si>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</si>
  <si>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</si>
  <si>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</si>
  <si>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</si>
  <si>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</si>
  <si>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</si>
  <si>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</si>
  <si>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</si>
  <si>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</si>
  <si>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</si>
  <si>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</si>
  <si>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</si>
  <si>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</si>
  <si>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</si>
  <si>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</si>
  <si>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</si>
  <si>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</si>
  <si>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</si>
  <si>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</si>
  <si>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</si>
  <si>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</si>
  <si>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</si>
  <si>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</si>
  <si>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</si>
  <si>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</si>
  <si>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</si>
  <si>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</si>
  <si>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</si>
  <si>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</si>
  <si>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</si>
  <si>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</si>
  <si>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</si>
  <si>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</si>
  <si>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</si>
  <si>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</si>
  <si>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</si>
  <si>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</si>
  <si>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</si>
  <si>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</si>
  <si>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</si>
  <si>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</si>
  <si>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</si>
  <si>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</si>
  <si>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</si>
  <si>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</si>
  <si>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</si>
  <si>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</si>
  <si>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</si>
  <si>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</si>
  <si>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</si>
  <si>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</si>
  <si>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</si>
  <si>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</si>
  <si>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</si>
  <si>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</si>
  <si>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</si>
  <si>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</si>
  <si>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</si>
  <si>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</si>
  <si>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</si>
  <si>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</si>
  <si>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</si>
  <si>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</si>
  <si>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</si>
  <si>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</si>
  <si>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</si>
  <si>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</si>
  <si>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</si>
  <si>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</si>
  <si>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</si>
  <si>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</si>
  <si>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</si>
  <si>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</si>
  <si>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</si>
  <si>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</si>
  <si>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</si>
  <si>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</si>
  <si>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</si>
  <si>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</si>
  <si>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</si>
  <si>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</si>
  <si>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</si>
  <si>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</si>
  <si>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</si>
  <si>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</si>
  <si>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</si>
  <si>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</si>
  <si>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</si>
  <si>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</si>
  <si>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</si>
  <si>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</si>
  <si>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</si>
  <si>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</si>
  <si>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</si>
  <si>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</si>
  <si>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</si>
  <si>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</si>
  <si>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</si>
  <si>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</si>
  <si>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</si>
  <si>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</si>
  <si>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</si>
  <si>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</si>
  <si>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</si>
  <si>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</si>
  <si>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</si>
  <si>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</si>
  <si>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</si>
  <si>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</si>
  <si>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</si>
  <si>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</si>
  <si>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</si>
  <si>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</si>
  <si>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</si>
  <si>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</si>
  <si>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</si>
  <si>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</si>
  <si>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</si>
  <si>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</si>
  <si>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</si>
  <si>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</si>
  <si>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</si>
  <si>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</si>
  <si>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</si>
  <si>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</si>
  <si>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</si>
  <si>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</si>
  <si>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</si>
  <si>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</si>
  <si>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</si>
  <si>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</si>
  <si>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</si>
  <si>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</si>
  <si>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</si>
  <si>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</si>
  <si>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</si>
  <si>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</si>
  <si>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</si>
  <si>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</si>
  <si>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</si>
  <si>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</si>
  <si>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</si>
  <si>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</si>
  <si>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</si>
  <si>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</si>
  <si>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</si>
  <si>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</si>
  <si>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</si>
  <si>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</si>
  <si>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</si>
  <si>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</si>
  <si>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</si>
  <si>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</si>
  <si>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</si>
  <si>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</si>
  <si>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</si>
  <si>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</si>
  <si>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</si>
  <si>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</si>
  <si>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</si>
  <si>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</si>
  <si>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</si>
  <si>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</si>
  <si>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</si>
  <si>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</si>
  <si>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</si>
  <si>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</si>
  <si>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</si>
  <si>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</si>
  <si>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</si>
  <si>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</si>
  <si>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</si>
  <si>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</si>
  <si>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</si>
  <si>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</si>
  <si>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</si>
  <si>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</si>
  <si>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</si>
  <si>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</si>
  <si>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</si>
  <si>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</si>
  <si>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</si>
  <si>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</si>
  <si>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</si>
  <si>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</si>
  <si>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</si>
  <si>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</si>
  <si>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</si>
  <si>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</si>
  <si>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</si>
  <si>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</si>
  <si>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</si>
  <si>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</si>
  <si>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</si>
  <si>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</si>
  <si>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</si>
  <si>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</si>
  <si>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</si>
  <si>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</si>
  <si>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</si>
  <si>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</si>
  <si>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</si>
  <si>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</si>
  <si>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</si>
  <si>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</si>
  <si>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</si>
  <si>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</si>
  <si>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</si>
  <si>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</si>
  <si>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</si>
  <si>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</si>
  <si>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</si>
  <si>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</si>
  <si>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</si>
  <si>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</si>
  <si>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</si>
  <si>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</si>
  <si>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</si>
  <si>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</si>
  <si>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</si>
  <si>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</si>
  <si>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</si>
  <si>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</si>
  <si>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</si>
  <si>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</si>
  <si>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</si>
  <si>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</si>
  <si>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</si>
  <si>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</si>
  <si>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</si>
  <si>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</si>
  <si>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</si>
  <si>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</si>
  <si>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</si>
  <si>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</si>
  <si>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</si>
  <si>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</si>
  <si>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</si>
  <si>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</si>
  <si>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</si>
  <si>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</si>
  <si>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</si>
  <si>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</si>
  <si>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</si>
  <si>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</si>
  <si>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</si>
  <si>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</si>
  <si>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</si>
  <si>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</si>
  <si>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</si>
  <si>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</si>
  <si>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</si>
  <si>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</si>
  <si>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</si>
  <si>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</si>
  <si>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</si>
  <si>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</si>
  <si>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</si>
  <si>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</si>
  <si>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</si>
  <si>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</si>
  <si>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</si>
  <si>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</si>
  <si>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</si>
  <si>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</si>
  <si>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</si>
  <si>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</si>
  <si>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</si>
  <si>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</si>
  <si>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</si>
  <si>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</si>
  <si>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</si>
  <si>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</si>
  <si>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</si>
  <si>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</si>
  <si>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</si>
  <si>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</si>
  <si>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</si>
  <si>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</si>
  <si>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</si>
  <si>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</si>
  <si>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</si>
  <si>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</si>
  <si>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</si>
  <si>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</si>
  <si>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</si>
  <si>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</si>
  <si>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</si>
  <si>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</si>
  <si>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</si>
  <si>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</si>
  <si>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</si>
  <si>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</si>
  <si>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</si>
  <si>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</si>
  <si>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</si>
  <si>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</si>
  <si>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</si>
  <si>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</si>
  <si>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</si>
  <si>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</si>
  <si>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</si>
  <si>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</si>
  <si>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</si>
  <si>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</si>
  <si>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</si>
  <si>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</si>
  <si>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</si>
  <si>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</si>
  <si>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</si>
  <si>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</si>
  <si>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</si>
  <si>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</si>
  <si>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</si>
  <si>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</si>
  <si>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</si>
  <si>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</si>
  <si>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</si>
  <si>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</si>
  <si>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</si>
  <si>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</si>
  <si>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</si>
  <si>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</si>
  <si>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</si>
  <si>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</si>
  <si>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</si>
  <si>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</si>
  <si>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</si>
  <si>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</si>
  <si>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</si>
  <si>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</si>
  <si>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</si>
  <si>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</si>
  <si>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</si>
  <si>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</si>
  <si>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</si>
  <si>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</si>
  <si>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</si>
  <si>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</si>
  <si>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</si>
  <si>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</si>
  <si>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</si>
  <si>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</si>
  <si>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</si>
  <si>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</si>
  <si>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</si>
  <si>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</si>
  <si>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</si>
  <si>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</si>
  <si>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</si>
  <si>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</si>
  <si>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</si>
  <si>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</si>
  <si>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</si>
  <si>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</si>
  <si>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</si>
  <si>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</si>
  <si>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</si>
  <si>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</si>
  <si>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</si>
  <si>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</si>
  <si>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</si>
  <si>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</si>
  <si>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</si>
  <si>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</si>
  <si>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</si>
  <si>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</si>
  <si>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</si>
  <si>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</si>
  <si>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</si>
  <si>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</si>
  <si>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</si>
  <si>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</si>
  <si>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</si>
  <si>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</si>
  <si>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</si>
  <si>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</si>
  <si>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</si>
  <si>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</si>
  <si>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</si>
  <si>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</si>
  <si>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</si>
  <si>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</si>
  <si>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</si>
  <si>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</si>
  <si>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</si>
  <si>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</si>
  <si>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</si>
  <si>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</si>
  <si>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</si>
  <si>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</si>
  <si>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</si>
  <si>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</si>
  <si>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</si>
  <si>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</si>
  <si>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</si>
  <si>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</si>
  <si>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</si>
  <si>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</si>
  <si>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</si>
  <si>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</si>
  <si>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</si>
  <si>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</si>
  <si>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</si>
  <si>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</si>
  <si>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</si>
  <si>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</si>
  <si>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</si>
  <si>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</si>
  <si>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</si>
  <si>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</si>
  <si>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</si>
  <si>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</si>
  <si>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</si>
  <si>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</si>
  <si>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</si>
  <si>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</si>
  <si>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</si>
  <si>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</si>
  <si>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</si>
  <si>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</si>
  <si>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</si>
  <si>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</si>
  <si>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</si>
  <si>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</si>
  <si>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</si>
  <si>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</si>
  <si>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</si>
  <si>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</si>
  <si>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</si>
  <si>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</si>
  <si>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</si>
  <si>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</si>
  <si>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</si>
  <si>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</si>
  <si>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</si>
  <si>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</si>
  <si>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</si>
  <si>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</si>
  <si>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</si>
  <si>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</si>
  <si>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</si>
  <si>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</si>
  <si>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</si>
  <si>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</si>
  <si>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</si>
  <si>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</si>
  <si>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</si>
  <si>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</si>
  <si>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</si>
  <si>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</si>
  <si>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</si>
  <si>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</si>
  <si>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</si>
  <si>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</si>
  <si>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</si>
  <si>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</si>
  <si>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</si>
  <si>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</si>
  <si>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</si>
  <si>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</si>
  <si>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</si>
  <si>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</si>
  <si>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</si>
  <si>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</si>
  <si>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</si>
  <si>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</si>
  <si>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</si>
  <si>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</si>
  <si>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</si>
  <si>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</si>
  <si>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</si>
  <si>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</si>
  <si>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</si>
  <si>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</si>
  <si>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</si>
  <si>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</si>
  <si>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</si>
  <si>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</si>
  <si>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</si>
  <si>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</si>
  <si>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</si>
  <si>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</si>
  <si>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</si>
  <si>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</si>
  <si>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</si>
  <si>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</si>
  <si>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</si>
  <si>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</si>
  <si>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</si>
  <si>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</si>
  <si>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</si>
  <si>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</si>
  <si>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</si>
  <si>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</si>
  <si>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</si>
  <si>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</si>
  <si>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</si>
  <si>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</si>
  <si>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</si>
  <si>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</si>
  <si>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</si>
  <si>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</si>
  <si>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</si>
  <si>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</si>
  <si>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</si>
  <si>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</si>
  <si>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</si>
  <si>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</si>
  <si>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</si>
  <si>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</si>
  <si>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</si>
  <si>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</si>
  <si>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</si>
  <si>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</si>
  <si>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</si>
  <si>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</si>
  <si>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</si>
  <si>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</si>
  <si>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</si>
  <si>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</si>
  <si>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</si>
  <si>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</si>
  <si>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</si>
  <si>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</si>
  <si>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</si>
  <si>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</si>
  <si>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</si>
  <si>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</si>
  <si>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</si>
  <si>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</si>
  <si>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</si>
  <si>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</si>
  <si>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</si>
  <si>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</si>
  <si>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</si>
  <si>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</si>
  <si>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</si>
  <si>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</si>
  <si>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</si>
  <si>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</si>
  <si>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</si>
  <si>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</si>
  <si>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</si>
  <si>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</si>
  <si>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</si>
  <si>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</si>
  <si>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</si>
  <si>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</si>
  <si>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</si>
  <si>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</si>
  <si>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</si>
  <si>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</si>
  <si>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</si>
  <si>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</si>
  <si>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</si>
  <si>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</si>
  <si>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</si>
  <si>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</si>
  <si>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</si>
  <si>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</si>
  <si>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</si>
  <si>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</si>
  <si>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</si>
  <si>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</si>
  <si>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</si>
  <si>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</si>
  <si>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</si>
  <si>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</si>
  <si>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</si>
  <si>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</si>
  <si>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</si>
  <si>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</si>
  <si>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</si>
  <si>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</si>
  <si>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</si>
  <si>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</si>
  <si>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</si>
  <si>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</si>
  <si>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</si>
  <si>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</si>
  <si>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</si>
  <si>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</si>
  <si>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</si>
  <si>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</si>
  <si>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</si>
  <si>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</si>
  <si>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</si>
  <si>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</si>
  <si>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</si>
  <si>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</si>
  <si>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</si>
  <si>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</si>
  <si>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</si>
  <si>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</si>
  <si>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</si>
  <si>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</si>
  <si>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</si>
  <si>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</si>
  <si>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</si>
  <si>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</si>
  <si>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</si>
  <si>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</si>
  <si>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</si>
  <si>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</si>
  <si>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</si>
  <si>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</si>
  <si>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</si>
  <si>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</si>
  <si>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</si>
  <si>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</si>
  <si>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</si>
  <si>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</si>
  <si>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</si>
  <si>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</si>
  <si>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</si>
  <si>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</si>
  <si>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</si>
  <si>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</si>
  <si>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</si>
  <si>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</si>
  <si>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</si>
  <si>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</si>
  <si>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</si>
  <si>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</si>
  <si>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</si>
  <si>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</si>
  <si>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</si>
  <si>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</si>
  <si>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</si>
  <si>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</si>
  <si>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</si>
  <si>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</si>
  <si>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</si>
  <si>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</si>
  <si>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</si>
  <si>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</si>
  <si>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</si>
  <si>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</si>
  <si>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</si>
  <si>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</si>
  <si>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</si>
  <si>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</si>
  <si>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</si>
  <si>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</si>
  <si>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</si>
  <si>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</si>
  <si>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</si>
  <si>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</si>
  <si>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</si>
  <si>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</si>
  <si>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</si>
  <si>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</si>
  <si>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</si>
  <si>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</si>
  <si>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</si>
  <si>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</si>
  <si>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</si>
  <si>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</si>
  <si>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</si>
  <si>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</si>
  <si>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</si>
  <si>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</si>
  <si>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</si>
  <si>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</si>
  <si>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</si>
  <si>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</si>
  <si>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</si>
  <si>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</si>
  <si>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</si>
  <si>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</si>
  <si>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</si>
  <si>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</si>
  <si>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</si>
  <si>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</si>
  <si>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</si>
  <si>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</si>
  <si>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</si>
  <si>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</si>
  <si>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</si>
  <si>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</si>
  <si>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</si>
  <si>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</si>
  <si>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</si>
  <si>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</si>
  <si>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</si>
  <si>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</si>
  <si>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</si>
  <si>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</si>
  <si>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</si>
  <si>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</si>
  <si>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</si>
  <si>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</si>
  <si>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</si>
  <si>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</si>
  <si>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</si>
  <si>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</si>
  <si>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</si>
  <si>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</si>
  <si>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</si>
  <si>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</si>
  <si>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</si>
  <si>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</si>
  <si>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</si>
  <si>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</si>
  <si>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</si>
  <si>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</si>
  <si>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</si>
  <si>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</si>
  <si>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</si>
  <si>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</si>
  <si>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</si>
  <si>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</si>
  <si>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</si>
  <si>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</si>
  <si>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</si>
  <si>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</si>
  <si>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</si>
  <si>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</si>
  <si>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</si>
  <si>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</si>
  <si>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</si>
  <si>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</si>
  <si>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</si>
  <si>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</si>
  <si>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</si>
  <si>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</si>
  <si>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</si>
  <si>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</si>
  <si>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</si>
  <si>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</si>
  <si>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</si>
  <si>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</si>
  <si>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</si>
  <si>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</si>
  <si>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</si>
  <si>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</si>
  <si>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</si>
  <si>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</si>
  <si>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</si>
  <si>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</si>
  <si>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</si>
  <si>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</si>
  <si>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</si>
  <si>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</si>
  <si>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</si>
  <si>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</si>
  <si>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</si>
  <si>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</si>
  <si>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</si>
  <si>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</si>
  <si>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</si>
  <si>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</si>
  <si>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</si>
  <si>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</si>
  <si>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</si>
  <si>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</si>
  <si>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</si>
  <si>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</si>
  <si>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</si>
  <si>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</si>
  <si>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</si>
  <si>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</si>
  <si>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</si>
  <si>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</si>
  <si>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</si>
  <si>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</si>
  <si>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</si>
  <si>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</si>
  <si>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</si>
  <si>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</si>
  <si>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</si>
  <si>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</si>
  <si>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</si>
  <si>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</si>
  <si>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</si>
  <si>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</si>
  <si>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</si>
  <si>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</si>
  <si>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</si>
  <si>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</si>
  <si>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</si>
  <si>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</si>
  <si>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</si>
  <si>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</si>
  <si>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</si>
  <si>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</si>
  <si>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</si>
  <si>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</si>
  <si>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</si>
  <si>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</si>
  <si>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</si>
  <si>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</si>
  <si>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</si>
  <si>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</si>
  <si>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</si>
  <si>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</si>
  <si>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</si>
  <si>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</si>
  <si>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</si>
  <si>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</si>
  <si>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</si>
  <si>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</si>
  <si>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</si>
  <si>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</si>
  <si>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</si>
  <si>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</si>
  <si>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</si>
  <si>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</si>
  <si>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</si>
  <si>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</si>
  <si>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</si>
  <si>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</si>
  <si>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</si>
  <si>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</si>
  <si>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</si>
  <si>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</si>
  <si>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</si>
  <si>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</si>
  <si>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</si>
  <si>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</si>
  <si>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</si>
  <si>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</si>
  <si>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</si>
  <si>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</si>
  <si>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</si>
  <si>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</si>
  <si>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</si>
  <si>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</si>
  <si>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</si>
  <si>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</si>
  <si>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</si>
  <si>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</si>
  <si>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</si>
  <si>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</si>
  <si>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</si>
  <si>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</si>
  <si>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</si>
  <si>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</si>
  <si>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</si>
  <si>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</si>
  <si>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</si>
  <si>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</si>
  <si>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</si>
  <si>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</si>
  <si>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</si>
  <si>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</si>
  <si>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</si>
  <si>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</si>
  <si>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</si>
  <si>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</si>
  <si>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</si>
  <si>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</si>
  <si>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</si>
  <si>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</si>
  <si>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</si>
  <si>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</si>
  <si>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</si>
  <si>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</si>
  <si>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</si>
  <si>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</si>
  <si>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</si>
  <si>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</si>
  <si>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</si>
  <si>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</si>
  <si>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</si>
  <si>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</si>
  <si>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</si>
  <si>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</si>
  <si>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</si>
  <si>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</si>
  <si>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</si>
  <si>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</si>
  <si>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</si>
  <si>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</si>
  <si>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</si>
  <si>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</si>
  <si>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</si>
  <si>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</si>
  <si>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</si>
  <si>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</si>
  <si>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</si>
  <si>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</si>
  <si>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</si>
  <si>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</si>
  <si>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</si>
  <si>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</si>
  <si>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</si>
  <si>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</si>
  <si>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</si>
  <si>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</si>
  <si>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</si>
  <si>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</si>
  <si>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</si>
  <si>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</si>
  <si>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</si>
  <si>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</si>
  <si>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</si>
  <si>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</si>
  <si>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</si>
  <si>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</si>
  <si>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</si>
  <si>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</si>
  <si>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</si>
  <si>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</si>
  <si>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</si>
  <si>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</si>
  <si>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</si>
  <si>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</si>
  <si>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</si>
  <si>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</si>
  <si>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</si>
  <si>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</si>
  <si>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</si>
  <si>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</si>
  <si>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</si>
  <si>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</si>
  <si>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</si>
  <si>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</si>
  <si>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</si>
  <si>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</si>
  <si>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</si>
  <si>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</si>
  <si>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</si>
  <si>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</si>
  <si>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</si>
  <si>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</si>
  <si>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</si>
  <si>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</si>
  <si>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</si>
  <si>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</si>
  <si>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</si>
  <si>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</si>
  <si>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</si>
  <si>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</si>
  <si>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</si>
  <si>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</si>
  <si>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</si>
  <si>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</si>
  <si>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</si>
  <si>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</si>
  <si>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</si>
  <si>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</si>
  <si>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</si>
  <si>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</si>
  <si>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</si>
  <si>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</si>
  <si>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</si>
  <si>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</si>
  <si>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</si>
  <si>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</si>
  <si>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</si>
  <si>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</si>
  <si>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</si>
  <si>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</si>
  <si>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</si>
  <si>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</si>
  <si>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</si>
  <si>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</si>
  <si>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</si>
  <si>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</si>
  <si>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</si>
  <si>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</si>
  <si>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</si>
  <si>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</si>
  <si>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</si>
  <si>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</si>
  <si>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</si>
  <si>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</si>
  <si>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</si>
  <si>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</si>
  <si>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</si>
  <si>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</si>
  <si>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</si>
  <si>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</si>
  <si>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</si>
  <si>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</si>
  <si>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</si>
  <si>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</si>
  <si>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</si>
  <si>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</si>
  <si>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</si>
  <si>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</si>
  <si>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</si>
  <si>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</si>
  <si>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</si>
  <si>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</si>
  <si>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</si>
  <si>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</si>
  <si>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</si>
  <si>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</si>
  <si>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</si>
  <si>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</si>
  <si>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</si>
  <si>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</si>
  <si>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</si>
  <si>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</si>
  <si>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</si>
  <si>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</si>
  <si>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</si>
  <si>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</si>
  <si>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</si>
  <si>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</si>
  <si>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</si>
  <si>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</si>
  <si>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</si>
  <si>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</si>
  <si>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</si>
  <si>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</si>
  <si>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</si>
  <si>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</si>
  <si>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</si>
  <si>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</si>
  <si>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</si>
  <si>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</si>
  <si>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</si>
  <si>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</si>
  <si>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</si>
  <si>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</si>
  <si>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</si>
  <si>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</si>
  <si>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</si>
  <si>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</si>
  <si>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</si>
  <si>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</si>
  <si>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</si>
  <si>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</si>
  <si>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</si>
  <si>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</si>
  <si>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</si>
  <si>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</si>
  <si>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</si>
  <si>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</si>
  <si>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</si>
  <si>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</si>
  <si>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</si>
  <si>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</si>
  <si>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</si>
  <si>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</si>
  <si>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</si>
  <si>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</si>
  <si>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</si>
  <si>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</si>
  <si>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</si>
  <si>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</si>
  <si>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</si>
  <si>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</si>
  <si>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</si>
  <si>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</si>
  <si>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</si>
  <si>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</si>
  <si>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</si>
  <si>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</si>
  <si>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</si>
  <si>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</si>
  <si>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</si>
  <si>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</si>
  <si>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</si>
  <si>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</si>
  <si>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</si>
  <si>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</si>
  <si>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</si>
  <si>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</si>
  <si>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</si>
  <si>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</si>
  <si>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</si>
  <si>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</si>
  <si>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</si>
  <si>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</si>
  <si>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</si>
  <si>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</si>
  <si>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</si>
  <si>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</si>
  <si>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</si>
  <si>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</si>
  <si>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</si>
  <si>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</si>
  <si>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</si>
  <si>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</si>
  <si>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</si>
  <si>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</si>
  <si>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</si>
  <si>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</si>
  <si>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</si>
  <si>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</si>
  <si>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</si>
  <si>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</si>
  <si>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</si>
  <si>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</si>
  <si>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</si>
  <si>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</si>
  <si>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</si>
  <si>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</si>
  <si>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</si>
  <si>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</si>
  <si>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</si>
  <si>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</si>
  <si>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</si>
  <si>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</si>
  <si>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</si>
  <si>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</si>
  <si>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</si>
  <si>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</si>
  <si>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</si>
  <si>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</si>
  <si>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</si>
  <si>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</si>
  <si>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</si>
  <si>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</si>
  <si>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</si>
  <si>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</si>
  <si>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</si>
  <si>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</si>
  <si>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</si>
  <si>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</si>
  <si>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</si>
  <si>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</si>
  <si>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</si>
  <si>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</si>
  <si>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</si>
  <si>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</si>
  <si>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</si>
  <si>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</si>
  <si>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</si>
  <si>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</si>
  <si>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</si>
  <si>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</si>
  <si>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</si>
  <si>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</si>
  <si>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</si>
  <si>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</si>
  <si>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</si>
  <si>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</si>
  <si>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</si>
  <si>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</si>
  <si>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</si>
  <si>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</si>
  <si>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</si>
  <si>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</si>
  <si>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</si>
  <si>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</si>
  <si>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</si>
  <si>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</si>
  <si>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</si>
  <si>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</si>
  <si>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</si>
  <si>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</si>
  <si>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</si>
  <si>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</si>
  <si>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</si>
  <si>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</si>
  <si>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</si>
  <si>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</si>
  <si>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</si>
  <si>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</si>
  <si>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</si>
  <si>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</si>
  <si>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</si>
  <si>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</si>
  <si>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</si>
  <si>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</si>
  <si>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</si>
  <si>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</si>
  <si>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</si>
  <si>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</si>
  <si>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</si>
  <si>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</si>
  <si>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</si>
  <si>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</si>
  <si>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</si>
  <si>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</si>
  <si>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</si>
  <si>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</si>
  <si>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</si>
  <si>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</si>
  <si>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</si>
  <si>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</si>
  <si>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</si>
  <si>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</si>
  <si>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</si>
  <si>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</si>
  <si>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</si>
  <si>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</si>
  <si>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</si>
  <si>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</si>
  <si>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</si>
  <si>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</si>
  <si>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</si>
  <si>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</si>
  <si>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</si>
  <si>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</si>
  <si>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</si>
  <si>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</si>
  <si>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</si>
  <si>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</si>
  <si>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</si>
  <si>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</si>
  <si>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</si>
  <si>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</si>
  <si>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</si>
  <si>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</si>
  <si>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</si>
  <si>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</si>
  <si>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</si>
  <si>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</si>
  <si>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</si>
  <si>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</si>
  <si>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</si>
  <si>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</si>
  <si>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</si>
  <si>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</si>
  <si>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</si>
  <si>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</si>
  <si>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</si>
  <si>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</si>
  <si>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</si>
  <si>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</si>
  <si>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</si>
  <si>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</si>
  <si>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</si>
  <si>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</si>
  <si>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</si>
  <si>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</si>
  <si>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</si>
  <si>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</si>
  <si>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</si>
  <si>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</si>
  <si>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</si>
  <si>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</si>
  <si>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</si>
  <si>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</si>
  <si>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</si>
  <si>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</si>
  <si>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</si>
  <si>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</si>
  <si>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</si>
  <si>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</si>
  <si>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</si>
  <si>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</si>
  <si>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</si>
  <si>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</si>
  <si>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</si>
  <si>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</si>
  <si>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</si>
  <si>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</si>
  <si>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</si>
  <si>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</si>
  <si>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</si>
  <si>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</si>
  <si>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</si>
  <si>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</si>
  <si>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</si>
  <si>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</si>
  <si>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</si>
  <si>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</si>
  <si>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</si>
  <si>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</si>
  <si>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</si>
  <si>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</si>
  <si>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</si>
  <si>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</si>
  <si>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</si>
  <si>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</si>
  <si>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</si>
  <si>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</si>
  <si>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</si>
  <si>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</si>
  <si>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</si>
  <si>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</si>
  <si>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</si>
  <si>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</si>
  <si>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</si>
  <si>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</si>
  <si>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</si>
  <si>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</si>
  <si>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</si>
  <si>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</si>
  <si>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</si>
  <si>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</si>
  <si>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</si>
  <si>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</si>
  <si>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</si>
  <si>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</si>
  <si>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</si>
  <si>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</si>
  <si>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</si>
  <si>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</si>
  <si>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</si>
  <si>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</si>
  <si>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</si>
  <si>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</si>
  <si>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</si>
  <si>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</si>
  <si>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</si>
  <si>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</si>
  <si>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</si>
  <si>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</si>
  <si>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</si>
  <si>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</si>
  <si>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</si>
  <si>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</si>
  <si>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</si>
  <si>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</si>
  <si>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</si>
  <si>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</si>
  <si>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</si>
  <si>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</si>
  <si>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</si>
  <si>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</si>
  <si>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</si>
  <si>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</si>
  <si>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</si>
  <si>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</si>
  <si>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</si>
  <si>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</si>
  <si>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</si>
  <si>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</si>
  <si>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</si>
  <si>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</si>
  <si>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</si>
  <si>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</si>
  <si>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</si>
  <si>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</si>
  <si>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</si>
  <si>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</si>
  <si>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</si>
  <si>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</si>
  <si>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</si>
  <si>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</si>
  <si>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</si>
  <si>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</si>
  <si>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</si>
  <si>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</si>
  <si>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</si>
  <si>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</si>
  <si>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</si>
  <si>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</si>
  <si>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</si>
  <si>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</si>
  <si>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</si>
  <si>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</si>
  <si>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</si>
  <si>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</si>
  <si>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</si>
  <si>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</si>
  <si>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</si>
  <si>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</si>
  <si>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</si>
  <si>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</si>
  <si>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</si>
  <si>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</si>
  <si>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</si>
  <si>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</si>
  <si>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</si>
  <si>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</si>
  <si>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</si>
  <si>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</si>
  <si>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</si>
  <si>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</si>
  <si>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</si>
  <si>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</si>
  <si>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</si>
  <si>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</si>
  <si>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</si>
  <si>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</si>
  <si>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</si>
  <si>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</si>
  <si>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</si>
  <si>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</si>
  <si>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</si>
  <si>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</si>
  <si>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</si>
  <si>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</si>
  <si>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</si>
  <si>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</si>
  <si>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</si>
  <si>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</si>
  <si>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</si>
  <si>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</si>
  <si>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</si>
  <si>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</si>
  <si>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</si>
  <si>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</si>
  <si>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</si>
  <si>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</si>
  <si>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</si>
  <si>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</si>
  <si>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</si>
  <si>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</si>
  <si>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</si>
  <si>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</si>
  <si>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</si>
  <si>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</si>
  <si>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</si>
  <si>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</si>
  <si>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</si>
  <si>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</si>
  <si>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</si>
  <si>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</si>
  <si>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</si>
  <si>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</si>
  <si>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</si>
  <si>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</si>
  <si>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</si>
  <si>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</si>
  <si>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</si>
  <si>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</si>
  <si>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</si>
  <si>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</si>
  <si>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</si>
  <si>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</si>
  <si>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</si>
  <si>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</si>
  <si>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</si>
  <si>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</si>
  <si>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</si>
  <si>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</si>
  <si>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</si>
  <si>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</si>
  <si>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</si>
  <si>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</si>
  <si>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</si>
  <si>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</si>
  <si>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</si>
  <si>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</si>
  <si>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</si>
  <si>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</si>
  <si>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</si>
  <si>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</si>
  <si>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</si>
  <si>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</si>
  <si>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</si>
  <si>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</si>
  <si>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</si>
  <si>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</si>
  <si>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</si>
  <si>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</si>
  <si>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</si>
  <si>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</si>
  <si>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</si>
  <si>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</si>
  <si>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</si>
  <si>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</si>
  <si>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</si>
  <si>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</si>
  <si>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</si>
  <si>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</si>
  <si>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</si>
  <si>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</si>
  <si>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</si>
  <si>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</si>
  <si>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</si>
  <si>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</si>
  <si>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</si>
  <si>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</si>
  <si>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</si>
  <si>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</si>
  <si>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</si>
  <si>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</si>
  <si>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</si>
  <si>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</si>
  <si>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</si>
  <si>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</si>
  <si>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</si>
  <si>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</si>
  <si>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</si>
  <si>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</si>
  <si>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</si>
  <si>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</si>
  <si>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</si>
  <si>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</si>
  <si>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</si>
  <si>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</si>
  <si>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</si>
  <si>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</si>
  <si>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</si>
  <si>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</si>
  <si>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</si>
  <si>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</si>
  <si>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</si>
  <si>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</si>
  <si>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</si>
  <si>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</si>
  <si>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</si>
  <si>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</si>
  <si>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</si>
  <si>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</si>
  <si>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</si>
  <si>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</si>
  <si>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</si>
  <si>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</si>
  <si>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</si>
  <si>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</si>
  <si>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</si>
  <si>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</si>
  <si>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</si>
  <si>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</si>
  <si>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</si>
  <si>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</si>
  <si>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</si>
  <si>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</si>
  <si>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</si>
  <si>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</si>
  <si>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</si>
  <si>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</si>
  <si>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</si>
  <si>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</si>
  <si>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</si>
  <si>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</si>
  <si>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</si>
  <si>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</si>
  <si>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</si>
  <si>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</si>
  <si>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</si>
  <si>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</si>
  <si>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</si>
  <si>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</si>
  <si>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</si>
  <si>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</si>
  <si>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</si>
  <si>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</si>
  <si>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</si>
  <si>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</si>
  <si>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</si>
  <si>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</si>
  <si>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</si>
  <si>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</si>
  <si>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</si>
  <si>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</si>
  <si>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</si>
  <si>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</si>
  <si>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</si>
  <si>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</si>
  <si>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</si>
  <si>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</si>
  <si>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</si>
  <si>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</si>
  <si>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</si>
  <si>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</si>
  <si>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</si>
  <si>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</si>
  <si>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</si>
  <si>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</si>
  <si>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</si>
  <si>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</si>
  <si>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</si>
  <si>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</si>
  <si>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</si>
  <si>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</si>
  <si>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</si>
  <si>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</si>
  <si>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</si>
  <si>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</si>
  <si>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</si>
  <si>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</si>
  <si>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</si>
  <si>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</si>
  <si>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</si>
  <si>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</si>
  <si>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</si>
  <si>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</si>
  <si>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</si>
  <si>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</si>
  <si>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</si>
  <si>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</si>
  <si>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</si>
  <si>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</si>
  <si>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</si>
  <si>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</si>
  <si>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</si>
  <si>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</si>
  <si>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</si>
  <si>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</si>
  <si>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</si>
  <si>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</si>
  <si>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</si>
  <si>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</si>
  <si>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</si>
  <si>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</si>
  <si>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</si>
  <si>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</si>
  <si>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</si>
  <si>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</si>
  <si>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</si>
  <si>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</si>
  <si>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</si>
  <si>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</si>
  <si>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</si>
  <si>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</si>
  <si>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</si>
  <si>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</si>
  <si>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</si>
  <si>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</si>
  <si>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</si>
  <si>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</si>
  <si>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</si>
  <si>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</si>
  <si>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</si>
  <si>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</si>
  <si>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</si>
  <si>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</si>
  <si>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</si>
  <si>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</si>
  <si>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</si>
  <si>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</si>
  <si>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</si>
  <si>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</si>
  <si>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</si>
  <si>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</si>
  <si>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</si>
  <si>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</si>
  <si>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</si>
  <si>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</si>
  <si>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</si>
  <si>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</si>
  <si>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</si>
  <si>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</si>
  <si>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</si>
  <si>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</si>
  <si>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</si>
  <si>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</si>
  <si>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</si>
  <si>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</si>
  <si>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</si>
  <si>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</si>
  <si>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</si>
  <si>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</si>
  <si>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</si>
  <si>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</si>
  <si>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</si>
  <si>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</si>
  <si>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</si>
  <si>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</si>
  <si>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</si>
  <si>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</si>
  <si>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</si>
  <si>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</si>
  <si>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</si>
  <si>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</si>
  <si>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</si>
  <si>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</si>
  <si>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</si>
  <si>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</si>
  <si>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</si>
  <si>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</si>
  <si>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</si>
  <si>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</si>
  <si>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</si>
  <si>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</si>
  <si>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</si>
  <si>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</si>
  <si>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</si>
  <si>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</si>
  <si>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</si>
  <si>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</si>
  <si>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</si>
  <si>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</si>
  <si>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</si>
  <si>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</si>
  <si>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</si>
  <si>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</si>
  <si>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</si>
  <si>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</si>
  <si>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</si>
  <si>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</si>
  <si>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</si>
  <si>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</si>
  <si>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</si>
  <si>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</si>
  <si>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</si>
  <si>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</si>
  <si>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</si>
  <si>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</si>
  <si>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</si>
  <si>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</si>
  <si>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</si>
  <si>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</si>
  <si>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</si>
  <si>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</si>
  <si>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</si>
  <si>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</si>
  <si>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</si>
  <si>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</si>
  <si>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</si>
  <si>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</si>
  <si>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</si>
  <si>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</si>
  <si>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</si>
  <si>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</si>
  <si>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</si>
  <si>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</si>
  <si>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</si>
  <si>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</si>
  <si>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</si>
  <si>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</si>
  <si>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</si>
  <si>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</si>
  <si>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</si>
  <si>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</si>
  <si>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</si>
  <si>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</si>
  <si>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</si>
  <si>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</si>
  <si>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</si>
  <si>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</si>
  <si>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</si>
  <si>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</si>
  <si>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</si>
  <si>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</si>
  <si>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</si>
  <si>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</si>
  <si>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</si>
  <si>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</si>
  <si>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</si>
  <si>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</si>
  <si>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</si>
  <si>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</si>
  <si>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</si>
  <si>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</si>
  <si>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</si>
  <si>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</si>
  <si>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</si>
  <si>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</si>
  <si>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</si>
  <si>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</si>
  <si>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</si>
  <si>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</si>
  <si>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</si>
  <si>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</si>
  <si>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</si>
  <si>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</si>
  <si>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</si>
  <si>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</si>
  <si>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</si>
  <si>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</si>
  <si>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</si>
  <si>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</si>
  <si>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</si>
  <si>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</si>
  <si>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</si>
  <si>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</si>
  <si>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</si>
  <si>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</si>
  <si>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</si>
  <si>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</si>
  <si>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</si>
  <si>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</si>
  <si>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</si>
  <si>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</si>
  <si>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</si>
  <si>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</si>
  <si>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</si>
  <si>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</si>
  <si>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</si>
  <si>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</si>
  <si>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</si>
  <si>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</si>
  <si>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</si>
  <si>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</si>
  <si>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</si>
  <si>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</si>
  <si>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</si>
  <si>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</si>
  <si>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</si>
  <si>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</si>
  <si>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</si>
  <si>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</si>
  <si>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</si>
  <si>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</si>
  <si>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</si>
  <si>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</si>
  <si>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</si>
  <si>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</si>
  <si>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</si>
  <si>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</si>
  <si>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</si>
  <si>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</si>
  <si>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</si>
  <si>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</si>
  <si>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</si>
  <si>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</si>
  <si>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</si>
  <si>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</si>
  <si>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</si>
  <si>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</si>
  <si>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</si>
  <si>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</si>
  <si>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</si>
  <si>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</si>
  <si>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</si>
  <si>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</si>
  <si>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</si>
  <si>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</si>
  <si>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</si>
  <si>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</si>
  <si>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</si>
  <si>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</si>
  <si>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</si>
  <si>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</si>
  <si>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</si>
  <si>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</si>
  <si>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</si>
  <si>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</si>
  <si>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</si>
  <si>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</si>
  <si>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</si>
  <si>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</si>
  <si>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</si>
  <si>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</si>
  <si>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</si>
  <si>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</si>
  <si>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</si>
  <si>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</si>
  <si>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</si>
  <si>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</si>
  <si>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</si>
  <si>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</si>
  <si>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</si>
  <si>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</si>
  <si>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</si>
  <si>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</si>
  <si>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</si>
  <si>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</si>
  <si>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</si>
  <si>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</si>
  <si>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</si>
  <si>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</si>
  <si>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</si>
  <si>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</si>
  <si>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</si>
  <si>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</si>
  <si>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</si>
  <si>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</si>
  <si>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</si>
  <si>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</si>
  <si>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</si>
  <si>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</si>
  <si>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</si>
  <si>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</si>
  <si>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</si>
  <si>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</si>
  <si>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</si>
  <si>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</si>
  <si>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</si>
  <si>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</si>
  <si>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</si>
  <si>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</si>
  <si>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</si>
  <si>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</si>
  <si>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</si>
  <si>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</si>
  <si>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</si>
  <si>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</si>
  <si>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</si>
  <si>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</si>
  <si>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</si>
  <si>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</si>
  <si>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</si>
  <si>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</si>
  <si>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</si>
  <si>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</si>
  <si>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</si>
  <si>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</si>
  <si>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</si>
  <si>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</si>
  <si>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</si>
  <si>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</si>
  <si>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</si>
  <si>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</si>
  <si>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</si>
  <si>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</si>
  <si>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</si>
  <si>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</si>
  <si>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</si>
  <si>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</si>
  <si>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</si>
  <si>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</si>
  <si>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</si>
  <si>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</si>
  <si>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</si>
  <si>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</si>
  <si>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</si>
  <si>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</si>
  <si>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</si>
  <si>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</si>
  <si>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</si>
  <si>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</si>
  <si>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</si>
  <si>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</si>
  <si>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</si>
  <si>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</si>
  <si>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</si>
  <si>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</si>
  <si>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</si>
  <si>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</si>
  <si>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</si>
  <si>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</si>
  <si>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</si>
  <si>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</si>
  <si>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</si>
  <si>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</si>
  <si>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</si>
  <si>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</si>
  <si>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</si>
  <si>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</si>
  <si>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</si>
  <si>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</si>
  <si>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</si>
  <si>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</si>
  <si>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</si>
  <si>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</si>
  <si>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</si>
  <si>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</si>
  <si>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</si>
  <si>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</si>
  <si>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</si>
  <si>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</si>
  <si>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</si>
  <si>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</si>
  <si>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</si>
  <si>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</si>
  <si>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</si>
  <si>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</si>
  <si>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</si>
  <si>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</si>
  <si>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</si>
  <si>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</si>
  <si>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</si>
  <si>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</si>
  <si>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</si>
  <si>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</si>
  <si>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</si>
  <si>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</si>
  <si>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</si>
  <si>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</si>
  <si>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</si>
  <si>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</si>
  <si>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</si>
  <si>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</si>
  <si>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</si>
  <si>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</si>
  <si>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</si>
  <si>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</si>
  <si>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</si>
  <si>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</si>
  <si>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</si>
  <si>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</si>
  <si>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</si>
  <si>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</si>
  <si>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</si>
  <si>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</si>
  <si>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</si>
  <si>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</si>
  <si>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</si>
  <si>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</si>
  <si>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</si>
  <si>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</si>
  <si>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</si>
  <si>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</si>
  <si>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</si>
  <si>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</si>
  <si>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</si>
  <si>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</si>
  <si>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</si>
  <si>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</si>
  <si>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</si>
  <si>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</si>
  <si>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</si>
  <si>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</si>
  <si>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</si>
  <si>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</si>
  <si>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</si>
  <si>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</si>
  <si>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</si>
  <si>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</si>
  <si>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</si>
  <si>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</si>
  <si>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</si>
  <si>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</si>
  <si>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</si>
  <si>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</si>
  <si>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</si>
  <si>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</si>
  <si>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</si>
  <si>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</si>
  <si>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</si>
  <si>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</si>
  <si>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</si>
  <si>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</si>
  <si>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</si>
  <si>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</si>
  <si>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</si>
  <si>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</si>
  <si>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</si>
  <si>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</si>
  <si>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</si>
  <si>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</si>
  <si>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</si>
  <si>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</si>
  <si>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</si>
  <si>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</si>
  <si>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</si>
  <si>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</si>
  <si>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</si>
  <si>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</si>
  <si>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</si>
  <si>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</si>
  <si>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</si>
  <si>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</si>
  <si>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</si>
  <si>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</si>
  <si>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</si>
  <si>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</si>
  <si>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</si>
  <si>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</si>
  <si>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</si>
  <si>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</si>
  <si>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</si>
  <si>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</si>
  <si>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</si>
  <si>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</si>
  <si>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</si>
  <si>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</si>
  <si>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</si>
  <si>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</si>
  <si>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</si>
  <si>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</si>
  <si>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</si>
  <si>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</si>
  <si>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</si>
  <si>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</si>
  <si>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</si>
  <si>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</si>
  <si>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</si>
  <si>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</si>
  <si>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</si>
  <si>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</si>
  <si>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</si>
  <si>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</si>
  <si>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</si>
  <si>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</si>
  <si>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</si>
  <si>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</si>
  <si>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</si>
  <si>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</si>
  <si>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</si>
  <si>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</si>
  <si>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</si>
  <si>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</si>
  <si>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</si>
  <si>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</si>
  <si>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</si>
  <si>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</si>
  <si>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</si>
  <si>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</si>
  <si>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</si>
  <si>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</si>
  <si>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</si>
  <si>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</si>
  <si>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</si>
  <si>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</si>
  <si>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</si>
  <si>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</si>
  <si>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</si>
  <si>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</si>
  <si>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</si>
  <si>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</si>
  <si>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</si>
  <si>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</si>
  <si>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</si>
  <si>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</si>
  <si>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</si>
  <si>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</si>
  <si>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</si>
  <si>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</si>
  <si>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</si>
  <si>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</si>
  <si>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</si>
  <si>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</si>
  <si>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</si>
  <si>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</si>
  <si>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</si>
  <si>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</si>
  <si>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</si>
  <si>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</si>
  <si>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</si>
  <si>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</si>
  <si>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</si>
  <si>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</si>
  <si>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</si>
  <si>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</si>
  <si>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</si>
  <si>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</si>
  <si>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</si>
  <si>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</si>
  <si>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</si>
  <si>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</si>
  <si>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</si>
  <si>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</si>
  <si>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</si>
  <si>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</si>
  <si>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</si>
  <si>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</si>
  <si>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</si>
  <si>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</si>
  <si>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</si>
  <si>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</si>
  <si>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</si>
  <si>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</si>
  <si>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</si>
  <si>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</si>
  <si>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</si>
  <si>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</si>
  <si>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</si>
  <si>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</si>
  <si>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</si>
  <si>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</si>
  <si>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</si>
  <si>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</si>
  <si>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</si>
  <si>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</si>
  <si>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</si>
  <si>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</si>
  <si>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</si>
  <si>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</si>
  <si>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</si>
  <si>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</si>
  <si>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</si>
  <si>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</si>
  <si>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</si>
  <si>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</si>
  <si>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</si>
  <si>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</si>
  <si>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</si>
  <si>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</si>
  <si>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</si>
  <si>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</si>
  <si>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</si>
  <si>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</si>
  <si>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</si>
  <si>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</si>
  <si>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</si>
  <si>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</si>
  <si>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</si>
  <si>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</si>
  <si>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</si>
  <si>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</si>
  <si>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</si>
  <si>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</si>
  <si>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</si>
  <si>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</si>
  <si>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</si>
  <si>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</si>
  <si>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</si>
  <si>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</si>
  <si>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</si>
  <si>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</si>
  <si>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</si>
  <si>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</si>
  <si>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</si>
  <si>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</si>
  <si>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</si>
  <si>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</si>
  <si>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</si>
  <si>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</si>
  <si>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</si>
  <si>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</si>
  <si>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</si>
  <si>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</si>
  <si>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</si>
  <si>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</si>
  <si>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</si>
  <si>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</si>
  <si>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</si>
  <si>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</si>
  <si>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</si>
  <si>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</si>
  <si>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</si>
  <si>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</si>
  <si>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</si>
  <si>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</si>
  <si>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</si>
  <si>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</si>
  <si>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</si>
  <si>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</si>
  <si>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</si>
  <si>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</si>
  <si>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</si>
  <si>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</si>
  <si>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</si>
  <si>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</si>
  <si>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</si>
  <si>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</si>
  <si>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</si>
  <si>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</si>
  <si>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</si>
  <si>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</si>
  <si>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</si>
  <si>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</si>
  <si>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</si>
  <si>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</si>
  <si>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</si>
  <si>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</si>
  <si>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</si>
  <si>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</si>
  <si>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</si>
  <si>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</si>
  <si>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</si>
  <si>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</si>
  <si>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</si>
  <si>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</si>
  <si>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</si>
  <si>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</si>
  <si>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</si>
  <si>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</si>
  <si>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</si>
  <si>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</si>
  <si>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</si>
  <si>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</si>
  <si>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</si>
  <si>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</si>
  <si>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</si>
  <si>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</si>
  <si>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</si>
  <si>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</si>
  <si>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</si>
  <si>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</si>
  <si>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</si>
  <si>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</si>
  <si>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</si>
  <si>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</si>
  <si>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</si>
  <si>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</si>
  <si>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</si>
  <si>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</si>
  <si>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</si>
  <si>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</si>
  <si>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</si>
  <si>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</si>
  <si>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</si>
  <si>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</si>
  <si>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</si>
  <si>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</si>
  <si>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</si>
  <si>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</si>
  <si>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</si>
  <si>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</si>
  <si>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</si>
  <si>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</si>
  <si>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</si>
  <si>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</si>
  <si>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</si>
  <si>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</si>
  <si>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</si>
  <si>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</si>
  <si>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</si>
  <si>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</si>
  <si>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</si>
  <si>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</si>
  <si>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</si>
  <si>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</si>
  <si>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</si>
  <si>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</si>
  <si>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</si>
  <si>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</si>
  <si>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</si>
  <si>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</si>
  <si>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</si>
  <si>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</si>
  <si>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</si>
  <si>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</si>
  <si>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</si>
  <si>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</si>
  <si>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</si>
  <si>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</si>
  <si>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</si>
  <si>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</si>
  <si>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</si>
  <si>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</si>
  <si>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</si>
  <si>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</si>
  <si>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</si>
  <si>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</si>
  <si>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</si>
  <si>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</si>
  <si>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</si>
  <si>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</si>
  <si>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</si>
  <si>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</si>
  <si>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</si>
  <si>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</si>
  <si>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</si>
  <si>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</si>
  <si>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</si>
  <si>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</si>
  <si>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</si>
  <si>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</si>
  <si>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</si>
  <si>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</si>
  <si>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</si>
  <si>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</si>
  <si>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</si>
  <si>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</si>
  <si>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</si>
  <si>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</si>
  <si>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</si>
  <si>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</si>
  <si>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</si>
  <si>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</si>
  <si>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</si>
  <si>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</si>
  <si>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</si>
  <si>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</si>
  <si>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</si>
  <si>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</si>
  <si>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</si>
  <si>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</si>
  <si>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</si>
  <si>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</si>
  <si>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</si>
  <si>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</si>
  <si>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</si>
  <si>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</si>
  <si>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</si>
  <si>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</si>
  <si>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</si>
  <si>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</si>
  <si>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</si>
  <si>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</si>
  <si>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</si>
  <si>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</si>
  <si>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</si>
  <si>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</si>
  <si>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</si>
  <si>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</si>
  <si>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</si>
  <si>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</si>
  <si>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</si>
  <si>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</si>
  <si>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</si>
  <si>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</si>
  <si>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</si>
  <si>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</si>
  <si>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</si>
  <si>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</si>
  <si>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</si>
  <si>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</si>
  <si>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</si>
  <si>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</si>
  <si>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</si>
  <si>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</si>
  <si>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</si>
  <si>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</si>
  <si>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</si>
  <si>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</si>
  <si>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</si>
  <si>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</si>
  <si>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</si>
  <si>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</si>
  <si>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</si>
  <si>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</si>
  <si>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</si>
  <si>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</si>
  <si>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</si>
  <si>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</si>
  <si>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</si>
  <si>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</si>
  <si>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</si>
  <si>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</si>
  <si>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</si>
  <si>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</si>
  <si>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</si>
  <si>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</si>
  <si>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</si>
  <si>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</si>
  <si>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</si>
  <si>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</si>
  <si>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</si>
  <si>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</si>
  <si>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</si>
  <si>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</si>
  <si>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</si>
  <si>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</si>
  <si>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</si>
  <si>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</si>
  <si>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</si>
  <si>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</si>
  <si>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</si>
  <si>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</si>
  <si>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</si>
  <si>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</si>
  <si>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</si>
  <si>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</si>
  <si>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</si>
  <si>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</si>
  <si>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</si>
  <si>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</si>
  <si>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</si>
  <si>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</si>
  <si>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</si>
  <si>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</si>
  <si>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</si>
  <si>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</si>
  <si>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</si>
  <si>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</si>
  <si>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</si>
  <si>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</si>
  <si>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</si>
  <si>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</si>
  <si>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</si>
  <si>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</si>
  <si>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</si>
  <si>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</si>
  <si>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</si>
  <si>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</si>
  <si>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</si>
  <si>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</si>
  <si>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</si>
  <si>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</si>
  <si>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</si>
  <si>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</si>
  <si>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</si>
  <si>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</si>
  <si>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</si>
  <si>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</si>
  <si>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</si>
  <si>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</si>
  <si>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</si>
  <si>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</si>
  <si>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</si>
  <si>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</si>
  <si>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</si>
  <si>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</si>
  <si>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</si>
  <si>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</si>
  <si>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</si>
  <si>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</si>
  <si>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</si>
  <si>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</si>
  <si>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</si>
  <si>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</si>
  <si>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</si>
  <si>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</si>
  <si>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</si>
  <si>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</si>
  <si>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</si>
  <si>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</si>
  <si>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</si>
  <si>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</si>
  <si>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</si>
  <si>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</si>
  <si>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</si>
  <si>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</si>
  <si>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</si>
  <si>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</si>
  <si>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</si>
  <si>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</si>
  <si>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</si>
  <si>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</si>
  <si>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</si>
  <si>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</si>
  <si>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</si>
  <si>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</si>
  <si>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</si>
  <si>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</si>
  <si>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</si>
  <si>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</si>
  <si>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</si>
  <si>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</si>
  <si>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</si>
  <si>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</si>
  <si>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</si>
  <si>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</si>
  <si>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</si>
  <si>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</si>
  <si>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</si>
  <si>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</si>
  <si>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</si>
  <si>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</si>
  <si>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</si>
  <si>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</si>
  <si>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</si>
  <si>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</si>
  <si>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</si>
  <si>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</si>
  <si>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</si>
  <si>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</si>
  <si>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</si>
  <si>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</si>
  <si>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</si>
  <si>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</si>
  <si>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</si>
  <si>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</si>
  <si>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</si>
  <si>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</si>
  <si>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</si>
  <si>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</si>
  <si>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</si>
  <si>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</si>
  <si>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</si>
  <si>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</si>
  <si>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</si>
  <si>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</si>
  <si>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</si>
  <si>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</si>
  <si>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</si>
  <si>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</si>
  <si>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</si>
  <si>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</si>
  <si>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</si>
  <si>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</si>
  <si>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</si>
  <si>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</si>
  <si>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</si>
  <si>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</si>
  <si>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</si>
  <si>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</si>
  <si>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</si>
  <si>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</si>
  <si>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</si>
  <si>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</si>
  <si>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</si>
  <si>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</si>
  <si>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</si>
  <si>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</si>
  <si>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</si>
  <si>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</si>
  <si>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</si>
  <si>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</si>
  <si>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</si>
  <si>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</si>
  <si>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</si>
  <si>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</si>
  <si>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</si>
  <si>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</si>
  <si>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</si>
  <si>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</si>
  <si>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</si>
  <si>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</si>
  <si>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</si>
  <si>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</si>
  <si>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</si>
  <si>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</si>
  <si>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</si>
  <si>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</si>
  <si>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</si>
  <si>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</si>
  <si>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</si>
  <si>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</si>
  <si>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</si>
  <si>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</si>
  <si>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</si>
  <si>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</si>
  <si>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</si>
  <si>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</si>
  <si>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</si>
  <si>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</si>
  <si>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</si>
  <si>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</si>
  <si>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</si>
  <si>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</si>
  <si>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</si>
  <si>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</si>
  <si>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</si>
  <si>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</si>
  <si>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</si>
  <si>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</si>
  <si>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</si>
  <si>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</si>
  <si>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</si>
  <si>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</si>
  <si>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</si>
  <si>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</si>
  <si>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</si>
  <si>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</si>
  <si>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</si>
  <si>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</si>
  <si>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</si>
  <si>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</si>
  <si>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</si>
  <si>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</si>
  <si>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</si>
  <si>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</si>
  <si>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</si>
  <si>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</si>
  <si>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</si>
  <si>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</si>
  <si>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</si>
  <si>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</si>
  <si>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</si>
  <si>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</si>
  <si>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</si>
  <si>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</si>
  <si>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</si>
  <si>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</si>
  <si>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</si>
  <si>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</si>
  <si>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</si>
  <si>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</si>
  <si>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</si>
  <si>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</si>
  <si>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</si>
  <si>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</si>
  <si>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</si>
  <si>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</si>
  <si>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</si>
  <si>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</si>
  <si>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</si>
  <si>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</si>
  <si>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</si>
  <si>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</si>
  <si>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</si>
  <si>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</si>
  <si>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</si>
  <si>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</si>
  <si>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</si>
  <si>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</si>
  <si>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</si>
  <si>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</si>
  <si>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</si>
  <si>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</si>
  <si>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</si>
  <si>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</si>
  <si>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</si>
  <si>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</si>
  <si>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</si>
  <si>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</si>
  <si>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</si>
  <si>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</si>
  <si>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</si>
  <si>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</si>
  <si>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</si>
  <si>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</si>
  <si>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</si>
  <si>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</si>
  <si>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</si>
  <si>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</si>
  <si>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</si>
  <si>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</si>
  <si>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</si>
  <si>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</si>
  <si>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</si>
  <si>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</si>
  <si>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</si>
  <si>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</si>
  <si>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</si>
  <si>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</si>
  <si>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</si>
  <si>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</si>
  <si>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</si>
  <si>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</si>
  <si>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</si>
  <si>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</si>
  <si>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</si>
  <si>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</si>
  <si>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</si>
  <si>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</si>
  <si>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</si>
  <si>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</si>
  <si>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</si>
  <si>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</si>
  <si>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</si>
  <si>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</si>
  <si>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</si>
  <si>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</si>
  <si>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</si>
  <si>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</si>
  <si>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</si>
  <si>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</si>
  <si>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</si>
  <si>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</si>
  <si>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</si>
  <si>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</si>
  <si>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</si>
  <si>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</si>
  <si>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</si>
  <si>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</si>
  <si>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</si>
  <si>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</si>
  <si>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</si>
  <si>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</si>
  <si>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</si>
  <si>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</si>
  <si>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</si>
  <si>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</si>
  <si>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</si>
  <si>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</si>
  <si>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</si>
  <si>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</si>
  <si>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</si>
  <si>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</si>
  <si>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</si>
  <si>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</si>
  <si>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</si>
  <si>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</si>
  <si>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</si>
  <si>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</si>
  <si>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</si>
  <si>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</si>
  <si>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</si>
  <si>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</si>
  <si>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</si>
  <si>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</si>
  <si>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</si>
  <si>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</si>
  <si>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</si>
  <si>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</si>
  <si>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</si>
  <si>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</si>
  <si>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</si>
  <si>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</si>
  <si>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</si>
  <si>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</si>
  <si>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</si>
  <si>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</si>
  <si>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</si>
  <si>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</si>
  <si>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</si>
  <si>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</si>
  <si>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</si>
  <si>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</si>
  <si>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</si>
  <si>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</si>
  <si>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</si>
  <si>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</si>
  <si>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</si>
  <si>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</si>
  <si>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</si>
  <si>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</si>
  <si>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</si>
  <si>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</si>
  <si>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</si>
  <si>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</si>
  <si>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</si>
  <si>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</si>
  <si>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</si>
  <si>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</si>
  <si>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</si>
  <si>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</si>
  <si>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</si>
  <si>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</si>
  <si>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</si>
  <si>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</si>
  <si>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</si>
  <si>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</si>
  <si>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</si>
  <si>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</si>
  <si>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</si>
  <si>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</si>
  <si>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</si>
  <si>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</si>
  <si>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</si>
  <si>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</si>
  <si>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</si>
  <si>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</si>
  <si>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</si>
  <si>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</si>
  <si>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</si>
  <si>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</si>
  <si>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</si>
  <si>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</si>
  <si>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</si>
  <si>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</si>
  <si>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</si>
  <si>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</si>
  <si>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</si>
  <si>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</si>
  <si>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</si>
  <si>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</si>
  <si>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</si>
  <si>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</si>
  <si>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</si>
  <si>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</si>
  <si>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</si>
  <si>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</si>
  <si>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</si>
  <si>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</si>
  <si>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</si>
  <si>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</si>
  <si>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</si>
  <si>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</si>
  <si>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</si>
  <si>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</si>
  <si>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</si>
  <si>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</si>
  <si>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</si>
  <si>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</si>
  <si>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</si>
  <si>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</si>
  <si>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</si>
  <si>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</si>
  <si>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</si>
  <si>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</si>
  <si>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</si>
  <si>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</si>
  <si>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</si>
  <si>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</si>
  <si>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</si>
  <si>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</si>
  <si>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</si>
  <si>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</si>
  <si>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</si>
  <si>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</si>
  <si>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</si>
  <si>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</si>
  <si>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</si>
  <si>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</si>
  <si>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</si>
  <si>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</si>
  <si>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</si>
  <si>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</si>
  <si>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</si>
  <si>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</si>
  <si>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</si>
  <si>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</si>
  <si>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</si>
  <si>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</si>
  <si>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</si>
  <si>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</si>
  <si>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</si>
  <si>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</si>
  <si>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</si>
  <si>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</si>
  <si>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</si>
  <si>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</si>
  <si>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</si>
  <si>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</si>
  <si>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</si>
  <si>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</si>
  <si>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</si>
  <si>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</si>
  <si>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</si>
  <si>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</si>
  <si>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</si>
  <si>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</si>
  <si>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</si>
  <si>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</si>
  <si>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</si>
  <si>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</si>
  <si>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</si>
  <si>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</si>
  <si>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</si>
  <si>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</si>
  <si>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</si>
  <si>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</si>
  <si>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</si>
  <si>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</si>
  <si>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</si>
  <si>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</si>
  <si>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</si>
  <si>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</si>
  <si>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</si>
  <si>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</si>
  <si>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</si>
  <si>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</si>
  <si>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</si>
  <si>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</si>
  <si>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</si>
  <si>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</si>
  <si>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</si>
  <si>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</si>
  <si>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</si>
  <si>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</si>
  <si>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</si>
  <si>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</si>
  <si>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</si>
  <si>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</si>
  <si>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</si>
  <si>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</si>
  <si>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</si>
  <si>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</si>
  <si>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</si>
  <si>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</si>
  <si>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</si>
  <si>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</si>
  <si>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</si>
  <si>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</si>
  <si>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</si>
  <si>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</si>
  <si>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</si>
  <si>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</si>
  <si>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</si>
  <si>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</si>
  <si>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</si>
  <si>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</si>
  <si>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</si>
  <si>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</si>
  <si>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</si>
  <si>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</si>
  <si>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</si>
  <si>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</si>
  <si>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</si>
  <si>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</si>
  <si>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</si>
  <si>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</si>
  <si>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</si>
  <si>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</si>
  <si>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</si>
  <si>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</si>
  <si>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</si>
  <si>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</si>
  <si>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</si>
  <si>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</si>
  <si>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</si>
  <si>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</si>
  <si>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</si>
  <si>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</si>
  <si>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</si>
  <si>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</si>
  <si>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</si>
  <si>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</si>
  <si>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</si>
  <si>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</si>
  <si>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</si>
  <si>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</si>
  <si>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</si>
  <si>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</si>
  <si>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</si>
  <si>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</si>
  <si>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</si>
  <si>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</si>
  <si>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</si>
  <si>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</si>
  <si>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</si>
  <si>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</si>
  <si>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</si>
  <si>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</si>
  <si>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</si>
  <si>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</si>
  <si>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</si>
  <si>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</si>
  <si>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</si>
  <si>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</si>
  <si>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</si>
  <si>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</si>
  <si>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</si>
  <si>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</si>
  <si>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</si>
  <si>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</si>
  <si>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</si>
  <si>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</si>
  <si>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</si>
  <si>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</si>
  <si>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</si>
  <si>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</si>
  <si>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</si>
  <si>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</si>
  <si>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</si>
  <si>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</si>
  <si>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</si>
  <si>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</si>
  <si>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</si>
  <si>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</si>
  <si>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</si>
  <si>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</si>
  <si>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</si>
  <si>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</si>
  <si>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</si>
  <si>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</si>
  <si>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</si>
  <si>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</si>
  <si>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</si>
  <si>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</si>
  <si>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</si>
  <si>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</si>
  <si>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</si>
  <si>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</si>
  <si>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</si>
  <si>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</si>
  <si>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</si>
  <si>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</si>
  <si>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</si>
  <si>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</si>
  <si>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</si>
  <si>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</si>
  <si>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</si>
  <si>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</si>
  <si>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</si>
  <si>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</si>
  <si>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</si>
  <si>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</si>
  <si>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</si>
  <si>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</si>
  <si>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</si>
  <si>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</si>
  <si>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</si>
  <si>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</si>
  <si>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</si>
  <si>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</si>
  <si>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</si>
  <si>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</si>
  <si>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</si>
  <si>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</si>
  <si>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</si>
  <si>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</si>
  <si>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</si>
  <si>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</si>
  <si>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</si>
  <si>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</si>
  <si>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</si>
  <si>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</si>
  <si>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</si>
  <si>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</si>
  <si>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</si>
  <si>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</si>
  <si>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</si>
  <si>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</si>
  <si>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</si>
  <si>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</si>
  <si>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</si>
  <si>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</si>
  <si>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</si>
  <si>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</si>
  <si>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</si>
  <si>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</si>
  <si>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</si>
  <si>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</si>
  <si>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</si>
  <si>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</si>
  <si>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</si>
  <si>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</si>
  <si>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</si>
  <si>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</si>
  <si>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</si>
  <si>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</si>
  <si>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</si>
  <si>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</si>
  <si>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</si>
  <si>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</si>
  <si>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</si>
  <si>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</si>
  <si>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</si>
  <si>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</si>
  <si>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</si>
  <si>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</si>
  <si>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</si>
  <si>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</si>
  <si>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</si>
  <si>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</si>
  <si>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</si>
  <si>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</si>
  <si>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</si>
  <si>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</si>
  <si>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</si>
  <si>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</si>
  <si>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</si>
  <si>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</si>
  <si>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</si>
  <si>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</si>
  <si>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</si>
  <si>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</si>
  <si>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</si>
  <si>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</si>
  <si>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</si>
  <si>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</si>
  <si>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</si>
  <si>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</si>
  <si>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</si>
  <si>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</si>
  <si>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</si>
  <si>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</si>
  <si>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</si>
  <si>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</si>
  <si>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</si>
  <si>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</si>
  <si>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</si>
  <si>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</si>
  <si>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</si>
  <si>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</si>
  <si>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</si>
  <si>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</si>
  <si>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</si>
  <si>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</si>
  <si>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</si>
  <si>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</si>
  <si>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</si>
  <si>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</si>
  <si>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</si>
  <si>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</si>
  <si>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</si>
  <si>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</si>
  <si>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</si>
  <si>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</si>
  <si>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</si>
  <si>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</si>
  <si>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</si>
  <si>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</si>
  <si>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</si>
  <si>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</si>
  <si>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</si>
  <si>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</si>
  <si>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</si>
  <si>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</si>
  <si>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</si>
  <si>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</si>
  <si>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</si>
  <si>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</si>
  <si>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</si>
  <si>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</si>
  <si>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</si>
  <si>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</si>
  <si>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</si>
  <si>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</si>
  <si>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</si>
  <si>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</si>
  <si>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</si>
  <si>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</si>
  <si>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</si>
  <si>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</si>
  <si>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</si>
  <si>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</si>
  <si>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</si>
  <si>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</si>
  <si>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</si>
  <si>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</si>
  <si>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</si>
  <si>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</si>
  <si>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</si>
  <si>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</si>
  <si>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</si>
  <si>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</si>
  <si>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</si>
  <si>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</si>
  <si>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</si>
  <si>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</si>
  <si>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</si>
  <si>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</si>
  <si>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</si>
  <si>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</si>
  <si>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</si>
  <si>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</si>
  <si>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</si>
  <si>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</si>
  <si>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</si>
  <si>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</si>
  <si>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</si>
  <si>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</si>
  <si>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</si>
  <si>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</si>
  <si>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</si>
  <si>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</si>
  <si>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</si>
  <si>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</si>
  <si>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</si>
  <si>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</si>
  <si>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</si>
  <si>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</si>
  <si>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</si>
  <si>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</si>
  <si>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</si>
  <si>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</si>
  <si>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</si>
  <si>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</si>
  <si>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</si>
  <si>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</si>
  <si>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</si>
  <si>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</si>
  <si>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</si>
  <si>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</si>
  <si>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</si>
  <si>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</si>
  <si>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</si>
  <si>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</si>
  <si>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</si>
  <si>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</si>
  <si>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</si>
  <si>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</si>
  <si>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</si>
  <si>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</si>
  <si>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</si>
  <si>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</si>
  <si>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</si>
  <si>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</si>
  <si>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</si>
  <si>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</si>
  <si>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</si>
  <si>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</si>
  <si>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</si>
  <si>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</si>
  <si>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</si>
  <si>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</si>
  <si>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</si>
  <si>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</si>
  <si>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</si>
  <si>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</si>
  <si>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</si>
  <si>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</si>
  <si>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</si>
  <si>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</si>
  <si>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</si>
  <si>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</si>
  <si>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</si>
  <si>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</si>
  <si>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</si>
  <si>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</si>
  <si>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</si>
  <si>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</si>
  <si>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</si>
  <si>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</si>
  <si>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</si>
  <si>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</si>
  <si>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</si>
  <si>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</si>
  <si>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</si>
  <si>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</si>
  <si>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</si>
  <si>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</si>
  <si>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</si>
  <si>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</si>
  <si>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</si>
  <si>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</si>
  <si>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</si>
  <si>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</si>
  <si>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</si>
  <si>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</si>
  <si>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</si>
  <si>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</si>
  <si>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</si>
  <si>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</si>
  <si>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</si>
  <si>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</si>
  <si>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</si>
  <si>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</si>
  <si>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</si>
  <si>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</si>
  <si>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</si>
  <si>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</si>
  <si>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</si>
  <si>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</si>
  <si>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</si>
  <si>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</si>
  <si>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</si>
  <si>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</si>
  <si>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</si>
  <si>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</si>
  <si>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</si>
  <si>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</si>
  <si>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</si>
  <si>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</si>
  <si>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</si>
  <si>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</si>
  <si>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</si>
  <si>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</si>
  <si>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</si>
  <si>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</si>
  <si>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</si>
  <si>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</si>
  <si>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</si>
  <si>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</si>
  <si>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</si>
  <si>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</si>
  <si>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</si>
  <si>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</si>
  <si>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</si>
  <si>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</si>
  <si>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</si>
  <si>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</si>
  <si>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</si>
  <si>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</si>
  <si>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</si>
  <si>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</si>
  <si>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</si>
  <si>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</si>
  <si>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</si>
  <si>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</si>
  <si>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</si>
  <si>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</si>
  <si>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</si>
  <si>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</si>
  <si>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</si>
  <si>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</si>
  <si>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</si>
  <si>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</si>
  <si>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</si>
  <si>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</si>
  <si>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</si>
  <si>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</si>
  <si>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</si>
  <si>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</si>
  <si>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</si>
  <si>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</si>
  <si>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</si>
  <si>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</si>
  <si>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</si>
  <si>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</si>
  <si>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</si>
  <si>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</si>
  <si>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</si>
  <si>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</si>
  <si>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</si>
  <si>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</si>
  <si>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</si>
  <si>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</si>
  <si>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</si>
  <si>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</si>
  <si>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</si>
  <si>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</si>
  <si>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</si>
  <si>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</si>
  <si>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</si>
  <si>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</si>
  <si>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</si>
  <si>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</si>
  <si>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</si>
  <si>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</si>
  <si>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</si>
  <si>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</si>
  <si>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</si>
  <si>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</si>
  <si>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</si>
  <si>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</si>
  <si>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</si>
  <si>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</si>
  <si>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</si>
  <si>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</si>
  <si>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</si>
  <si>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</si>
  <si>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</si>
  <si>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</si>
  <si>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</si>
  <si>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</si>
  <si>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</si>
  <si>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</si>
  <si>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</si>
  <si>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</si>
  <si>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</si>
  <si>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</si>
  <si>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</si>
  <si>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</si>
  <si>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</si>
  <si>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</si>
  <si>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</si>
  <si>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</si>
  <si>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</si>
  <si>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</si>
  <si>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</si>
  <si>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</si>
  <si>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</si>
  <si>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</si>
  <si>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</si>
  <si>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</si>
  <si>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</si>
  <si>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</si>
  <si>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</si>
  <si>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</si>
  <si>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</si>
  <si>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</si>
  <si>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</si>
  <si>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</si>
  <si>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</si>
  <si>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</si>
  <si>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</si>
  <si>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</si>
  <si>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</si>
  <si>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</si>
  <si>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</si>
  <si>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</si>
  <si>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</si>
  <si>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</si>
  <si>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</si>
  <si>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</si>
  <si>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</si>
  <si>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</si>
  <si>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</si>
  <si>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</si>
  <si>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</si>
  <si>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</si>
  <si>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</si>
  <si>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</si>
  <si>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</si>
  <si>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</si>
  <si>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</si>
  <si>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</si>
  <si>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</si>
  <si>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</si>
  <si>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</si>
  <si>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</si>
  <si>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</si>
  <si>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</si>
  <si>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</si>
  <si>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</si>
  <si>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</si>
  <si>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</si>
  <si>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</si>
  <si>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</si>
  <si>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</si>
  <si>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</si>
  <si>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</si>
  <si>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</si>
  <si>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</si>
  <si>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</si>
  <si>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</si>
  <si>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</si>
  <si>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</si>
  <si>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</si>
  <si>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</si>
  <si>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</si>
  <si>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</si>
  <si>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</si>
  <si>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</si>
  <si>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</si>
  <si>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</si>
  <si>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</si>
  <si>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</si>
  <si>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</si>
  <si>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</si>
  <si>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</si>
  <si>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</si>
  <si>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</si>
  <si>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</si>
  <si>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</si>
  <si>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</si>
  <si>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</si>
  <si>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</si>
  <si>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</si>
  <si>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</si>
  <si>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</si>
  <si>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</si>
  <si>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</si>
  <si>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</si>
  <si>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</si>
  <si>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</si>
  <si>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</si>
  <si>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</si>
  <si>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</si>
  <si>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</si>
  <si>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</si>
  <si>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</si>
  <si>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</si>
  <si>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</si>
  <si>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</si>
  <si>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</si>
  <si>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</si>
  <si>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</si>
  <si>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</si>
  <si>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</si>
  <si>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</si>
  <si>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</si>
  <si>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</si>
  <si>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</si>
  <si>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</si>
  <si>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</si>
  <si>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</si>
  <si>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</si>
  <si>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</si>
  <si>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</si>
  <si>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</si>
  <si>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</si>
  <si>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</si>
  <si>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</si>
  <si>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</si>
  <si>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</si>
  <si>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</si>
  <si>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</si>
  <si>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</si>
  <si>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</si>
  <si>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</si>
  <si>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</si>
  <si>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</si>
  <si>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</si>
  <si>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</si>
  <si>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</si>
  <si>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</si>
  <si>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</si>
  <si>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</si>
  <si>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</si>
  <si>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</si>
  <si>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</si>
  <si>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</si>
  <si>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</si>
  <si>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</si>
  <si>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</si>
  <si>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</si>
  <si>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</si>
  <si>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</si>
  <si>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</si>
  <si>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</si>
  <si>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</si>
  <si>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</si>
  <si>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</si>
  <si>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</si>
  <si>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</si>
  <si>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</si>
  <si>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</si>
  <si>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</si>
  <si>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</si>
  <si>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</si>
  <si>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</si>
  <si>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</si>
  <si>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</si>
  <si>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</si>
  <si>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</si>
  <si>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</si>
  <si>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</si>
  <si>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</si>
  <si>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</si>
  <si>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</si>
  <si>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</si>
  <si>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</si>
  <si>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</si>
  <si>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</si>
  <si>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</si>
  <si>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</si>
  <si>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</si>
  <si>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</si>
  <si>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</si>
  <si>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</si>
  <si>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</si>
  <si>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</si>
  <si>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</si>
  <si>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</si>
  <si>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</si>
  <si>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</si>
  <si>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</si>
  <si>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</si>
  <si>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</si>
  <si>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</si>
  <si>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</si>
  <si>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</si>
  <si>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</si>
  <si>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</si>
  <si>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</si>
  <si>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</si>
  <si>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</si>
  <si>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</si>
  <si>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</si>
  <si>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</si>
  <si>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</si>
  <si>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</si>
  <si>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</si>
  <si>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</si>
  <si>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</si>
  <si>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</si>
  <si>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</si>
  <si>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</si>
  <si>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</si>
  <si>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</si>
  <si>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</si>
  <si>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</si>
  <si>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</si>
  <si>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</si>
  <si>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</si>
  <si>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</si>
  <si>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</si>
  <si>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</si>
  <si>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</si>
  <si>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</si>
  <si>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</si>
  <si>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</si>
  <si>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</si>
  <si>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</si>
  <si>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</si>
  <si>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</si>
  <si>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</si>
  <si>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</si>
  <si>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</si>
  <si>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</si>
  <si>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</si>
  <si>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</si>
  <si>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</si>
  <si>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</si>
  <si>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</si>
  <si>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</si>
  <si>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</si>
  <si>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</si>
  <si>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</si>
  <si>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</si>
  <si>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</si>
  <si>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</si>
  <si>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</si>
  <si>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</si>
  <si>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</si>
  <si>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</si>
  <si>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</si>
  <si>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</si>
  <si>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</si>
  <si>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</si>
  <si>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</si>
  <si>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</si>
  <si>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</si>
  <si>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</si>
  <si>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</si>
  <si>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</si>
  <si>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</si>
  <si>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</si>
  <si>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</si>
  <si>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</si>
  <si>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</si>
  <si>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</si>
  <si>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</si>
  <si>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</si>
  <si>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</si>
  <si>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</si>
  <si>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</si>
  <si>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</si>
  <si>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</si>
  <si>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</si>
  <si>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</si>
  <si>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</si>
  <si>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</si>
  <si>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</si>
  <si>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</si>
  <si>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</si>
  <si>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</si>
  <si>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</si>
  <si>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</si>
  <si>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</si>
  <si>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</si>
  <si>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</si>
  <si>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</si>
  <si>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</si>
  <si>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</si>
  <si>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</si>
  <si>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</si>
  <si>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</si>
  <si>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</si>
  <si>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</si>
  <si>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</si>
  <si>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</si>
  <si>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</si>
  <si>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</si>
  <si>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</si>
  <si>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</si>
  <si>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</si>
  <si>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</si>
  <si>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</si>
  <si>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</si>
  <si>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</si>
  <si>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</si>
  <si>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</si>
  <si>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</si>
  <si>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</si>
  <si>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</si>
  <si>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</si>
  <si>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</si>
  <si>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</si>
  <si>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</si>
  <si>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</si>
  <si>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</si>
  <si>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</si>
  <si>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</si>
  <si>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</si>
  <si>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</si>
  <si>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</si>
  <si>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</si>
  <si>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</si>
  <si>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</si>
  <si>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</si>
  <si>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</si>
  <si>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</si>
  <si>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</si>
  <si>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</si>
  <si>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</si>
  <si>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</si>
  <si>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</si>
  <si>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</si>
  <si>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</si>
  <si>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</si>
  <si>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</si>
  <si>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</si>
  <si>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</si>
  <si>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</si>
  <si>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</si>
  <si>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</si>
  <si>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</si>
  <si>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</si>
  <si>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</si>
  <si>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</si>
  <si>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</si>
  <si>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</si>
  <si>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</si>
  <si>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</si>
  <si>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</si>
  <si>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</si>
  <si>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</si>
  <si>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</si>
  <si>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</si>
  <si>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</si>
  <si>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</si>
  <si>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</si>
  <si>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</si>
  <si>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</si>
  <si>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</si>
  <si>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</si>
  <si>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</si>
  <si>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</si>
  <si>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</si>
  <si>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</si>
  <si>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</si>
  <si>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</si>
  <si>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</si>
  <si>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</si>
  <si>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</si>
  <si>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</si>
  <si>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</si>
  <si>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</si>
  <si>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</si>
  <si>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</si>
  <si>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</si>
  <si>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</si>
  <si>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</si>
  <si>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</si>
  <si>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</si>
  <si>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</si>
  <si>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</si>
  <si>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</si>
  <si>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</si>
  <si>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</si>
  <si>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</si>
  <si>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</si>
  <si>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</si>
  <si>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</si>
  <si>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</si>
  <si>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</si>
  <si>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</si>
  <si>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</si>
  <si>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</si>
  <si>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</si>
  <si>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</si>
  <si>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</si>
  <si>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</si>
  <si>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</si>
  <si>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</si>
  <si>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</si>
  <si>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</si>
  <si>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</si>
  <si>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</si>
  <si>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</si>
  <si>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</si>
  <si>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</si>
  <si>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</si>
  <si>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</si>
  <si>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</si>
  <si>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</si>
  <si>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</si>
  <si>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</si>
  <si>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</si>
  <si>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</si>
  <si>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</si>
  <si>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</si>
  <si>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</si>
  <si>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</si>
  <si>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</si>
  <si>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</si>
  <si>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</si>
  <si>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</si>
  <si>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</si>
  <si>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</si>
  <si>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</si>
  <si>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</si>
  <si>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</si>
  <si>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</si>
  <si>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</si>
  <si>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</si>
  <si>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</si>
  <si>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</si>
  <si>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</si>
  <si>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</si>
  <si>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</si>
  <si>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</si>
  <si>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</si>
  <si>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</si>
  <si>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</si>
  <si>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</si>
  <si>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</si>
  <si>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</si>
  <si>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</si>
  <si>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</si>
  <si>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</si>
  <si>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</si>
  <si>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</si>
  <si>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</si>
  <si>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</si>
  <si>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</si>
  <si>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</si>
  <si>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</si>
  <si>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</si>
  <si>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</si>
  <si>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</si>
  <si>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</si>
  <si>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</si>
  <si>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</si>
  <si>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</si>
  <si>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</si>
  <si>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</si>
  <si>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</si>
  <si>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</si>
  <si>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</si>
  <si>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</si>
  <si>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</si>
  <si>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</si>
  <si>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</si>
  <si>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</si>
  <si>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</si>
  <si>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</si>
  <si>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</si>
  <si>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</si>
  <si>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</si>
  <si>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</si>
  <si>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</si>
  <si>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</si>
  <si>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</si>
  <si>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</si>
  <si>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</si>
  <si>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</si>
  <si>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</si>
  <si>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</si>
  <si>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</si>
  <si>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</si>
  <si>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</si>
  <si>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</si>
  <si>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</si>
  <si>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</si>
  <si>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</si>
  <si>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</si>
  <si>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</si>
  <si>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</si>
  <si>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</si>
  <si>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</si>
  <si>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</si>
  <si>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</si>
  <si>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</si>
  <si>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</si>
  <si>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</si>
  <si>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</si>
  <si>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</si>
  <si>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</si>
  <si>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</si>
  <si>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</si>
  <si>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</si>
  <si>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</si>
  <si>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</si>
  <si>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</si>
  <si>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</si>
  <si>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</si>
  <si>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</si>
  <si>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</si>
  <si>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</si>
  <si>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</si>
  <si>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</si>
  <si>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</si>
  <si>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</si>
  <si>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</si>
  <si>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</si>
  <si>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</si>
  <si>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</si>
  <si>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</si>
  <si>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</si>
  <si>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</si>
  <si>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</si>
  <si>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</si>
  <si>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</si>
  <si>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</si>
  <si>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</si>
  <si>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</si>
  <si>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</si>
  <si>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</si>
  <si>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</si>
  <si>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</si>
  <si>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</si>
  <si>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</si>
  <si>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</si>
  <si>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</si>
  <si>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</si>
  <si>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</si>
  <si>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</si>
  <si>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</si>
  <si>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</si>
  <si>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</si>
  <si>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</si>
  <si>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</si>
  <si>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</si>
  <si>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</si>
  <si>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</si>
  <si>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</si>
  <si>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</si>
  <si>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</si>
  <si>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</si>
  <si>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</si>
  <si>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</si>
  <si>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</si>
  <si>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</si>
  <si>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</si>
  <si>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</si>
  <si>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</si>
  <si>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</si>
  <si>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</si>
  <si>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</si>
  <si>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</si>
  <si>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</si>
  <si>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</si>
  <si>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</si>
  <si>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</si>
  <si>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</si>
  <si>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</si>
  <si>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</si>
  <si>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</si>
  <si>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</si>
  <si>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</si>
  <si>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</si>
  <si>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</si>
  <si>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</si>
  <si>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</si>
  <si>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</si>
  <si>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</si>
  <si>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</si>
  <si>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</si>
  <si>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</si>
  <si>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</si>
  <si>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</si>
  <si>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</si>
  <si>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</si>
  <si>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</si>
  <si>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</si>
  <si>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</si>
  <si>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</si>
  <si>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</si>
  <si>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</si>
  <si>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</si>
  <si>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</si>
  <si>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</si>
  <si>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</si>
  <si>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</si>
  <si>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</si>
  <si>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</si>
  <si>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</si>
  <si>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</si>
  <si>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</si>
  <si>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</si>
  <si>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</si>
  <si>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</si>
  <si>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</si>
  <si>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</si>
  <si>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</si>
  <si>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</si>
  <si>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</si>
  <si>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</si>
  <si>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</si>
  <si>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</si>
  <si>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</si>
  <si>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</si>
  <si>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</si>
  <si>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</si>
  <si>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</si>
  <si>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</si>
  <si>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</si>
  <si>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</si>
  <si>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</si>
  <si>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</si>
  <si>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</si>
  <si>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</si>
  <si>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</si>
  <si>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</si>
  <si>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</si>
  <si>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</si>
  <si>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</si>
  <si>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</si>
  <si>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</si>
  <si>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</si>
  <si>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</si>
  <si>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</si>
  <si>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</si>
  <si>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</si>
  <si>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</si>
  <si>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</si>
  <si>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</si>
  <si>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</si>
  <si>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</si>
  <si>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</si>
  <si>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</si>
  <si>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</si>
  <si>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</si>
  <si>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</si>
  <si>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</si>
  <si>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</si>
  <si>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</si>
  <si>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</si>
  <si>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</si>
  <si>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</si>
  <si>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</si>
  <si>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</si>
  <si>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</si>
  <si>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</si>
  <si>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</si>
  <si>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</si>
  <si>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</si>
  <si>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</si>
  <si>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</si>
  <si>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</si>
  <si>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</si>
  <si>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</si>
  <si>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</si>
  <si>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</si>
  <si>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</si>
  <si>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</si>
  <si>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</si>
  <si>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</si>
  <si>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</si>
  <si>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</si>
  <si>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</si>
  <si>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</si>
  <si>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</si>
  <si>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</si>
  <si>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</si>
  <si>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</si>
  <si>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</si>
  <si>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</si>
  <si>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</si>
  <si>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</si>
  <si>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</si>
  <si>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</si>
  <si>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</si>
  <si>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</si>
  <si>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</si>
  <si>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</si>
  <si>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</si>
  <si>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</si>
  <si>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</si>
  <si>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</si>
  <si>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</si>
  <si>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</si>
  <si>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</si>
  <si>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</si>
  <si>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</si>
  <si>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</si>
  <si>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</si>
  <si>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</si>
  <si>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</si>
  <si>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</si>
  <si>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</si>
  <si>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</si>
  <si>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</si>
  <si>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</si>
  <si>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</si>
  <si>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</si>
  <si>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</si>
  <si>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</si>
  <si>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</si>
  <si>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</si>
  <si>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</si>
  <si>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</si>
  <si>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</si>
  <si>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</si>
  <si>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</si>
  <si>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</si>
  <si>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</si>
  <si>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</si>
  <si>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</si>
  <si>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</si>
  <si>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</si>
  <si>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</si>
  <si>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</si>
  <si>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</si>
  <si>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</si>
  <si>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</si>
  <si>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</si>
  <si>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</si>
  <si>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</si>
  <si>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</si>
  <si>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</si>
  <si>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</si>
  <si>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</si>
  <si>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</si>
  <si>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</si>
  <si>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</si>
  <si>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</si>
  <si>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</si>
  <si>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</si>
  <si>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</si>
  <si>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</si>
  <si>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</si>
  <si>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</si>
  <si>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</si>
  <si>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</si>
  <si>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</si>
  <si>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</si>
  <si>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</si>
  <si>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</si>
  <si>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</si>
  <si>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</si>
  <si>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</si>
  <si>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</si>
  <si>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</si>
  <si>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</si>
  <si>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</si>
  <si>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</si>
  <si>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</si>
  <si>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</si>
  <si>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</si>
  <si>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</si>
  <si>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</si>
  <si>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</si>
  <si>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</si>
  <si>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</si>
  <si>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</si>
  <si>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</si>
  <si>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</si>
  <si>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</si>
  <si>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</si>
  <si>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</si>
  <si>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</si>
  <si>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</si>
  <si>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</si>
  <si>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</si>
  <si>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</si>
  <si>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</si>
  <si>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</si>
  <si>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</si>
  <si>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</si>
  <si>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</si>
  <si>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</si>
  <si>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</si>
  <si>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</si>
  <si>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</si>
  <si>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</si>
  <si>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</si>
  <si>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</si>
  <si>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</si>
  <si>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</si>
  <si>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</si>
  <si>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</si>
  <si>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</si>
  <si>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</si>
  <si>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</si>
  <si>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</si>
  <si>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</si>
  <si>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</si>
  <si>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</si>
  <si>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</si>
  <si>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</si>
  <si>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</si>
  <si>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</si>
  <si>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</si>
  <si>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</si>
  <si>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</si>
  <si>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</si>
  <si>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</si>
  <si>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</si>
  <si>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</si>
  <si>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</si>
  <si>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</si>
  <si>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</si>
  <si>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</si>
  <si>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</si>
  <si>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</si>
  <si>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</si>
  <si>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</si>
  <si>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</si>
  <si>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</si>
  <si>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</si>
  <si>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</si>
  <si>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</si>
  <si>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</si>
  <si>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</si>
  <si>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</si>
  <si>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</si>
  <si>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</si>
  <si>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</si>
  <si>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</si>
  <si>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</si>
  <si>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</si>
  <si>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</si>
  <si>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</si>
  <si>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</si>
  <si>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</si>
  <si>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</si>
  <si>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</si>
  <si>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</si>
  <si>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</si>
  <si>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</si>
  <si>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</si>
  <si>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</si>
  <si>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</si>
  <si>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</si>
  <si>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</si>
  <si>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</si>
  <si>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</si>
  <si>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</si>
  <si>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</si>
  <si>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</si>
  <si>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</si>
  <si>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</si>
  <si>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</si>
  <si>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</si>
  <si>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</si>
  <si>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</si>
  <si>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</si>
  <si>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</si>
  <si>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</si>
  <si>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</si>
  <si>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</si>
  <si>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</si>
  <si>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</si>
  <si>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</si>
  <si>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</si>
  <si>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</si>
  <si>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</si>
  <si>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</si>
  <si>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</si>
  <si>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</si>
  <si>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</si>
  <si>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</si>
  <si>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</si>
  <si>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</si>
  <si>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</si>
  <si>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</si>
  <si>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</si>
  <si>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</si>
  <si>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</si>
  <si>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</si>
  <si>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</si>
  <si>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</si>
  <si>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</si>
  <si>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</si>
  <si>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</si>
  <si>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</si>
  <si>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</si>
  <si>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</si>
  <si>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</si>
  <si>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</si>
  <si>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</si>
  <si>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</si>
  <si>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</si>
  <si>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</si>
  <si>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</si>
  <si>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</si>
  <si>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</si>
  <si>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</si>
  <si>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</si>
  <si>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</si>
  <si>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</si>
  <si>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</si>
  <si>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</si>
  <si>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</si>
  <si>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</si>
  <si>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</si>
  <si>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</si>
  <si>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</si>
  <si>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</si>
  <si>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</si>
  <si>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</si>
  <si>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</si>
  <si>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</si>
  <si>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</si>
  <si>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</si>
  <si>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</si>
  <si>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</si>
  <si>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</si>
  <si>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</si>
  <si>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</si>
  <si>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</si>
  <si>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</si>
  <si>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</si>
  <si>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</si>
  <si>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</si>
  <si>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</si>
  <si>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</si>
  <si>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</si>
  <si>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</si>
  <si>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</si>
  <si>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</si>
  <si>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</si>
  <si>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</si>
  <si>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</si>
  <si>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</si>
  <si>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</si>
  <si>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</si>
  <si>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</si>
  <si>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</si>
  <si>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</si>
  <si>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</si>
  <si>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</si>
  <si>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</si>
  <si>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</si>
  <si>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</si>
  <si>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</si>
  <si>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</si>
  <si>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</si>
  <si>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</si>
  <si>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</si>
  <si>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</si>
  <si>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</si>
  <si>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</si>
  <si>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</si>
  <si>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</si>
  <si>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</si>
  <si>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</si>
  <si>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</si>
  <si>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</si>
  <si>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</si>
  <si>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</si>
  <si>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</si>
  <si>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</si>
  <si>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</si>
  <si>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</si>
  <si>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</si>
  <si>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</si>
  <si>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</si>
  <si>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</si>
  <si>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</si>
  <si>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</si>
  <si>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</si>
  <si>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</si>
  <si>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</si>
  <si>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</si>
  <si>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</si>
  <si>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</si>
  <si>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</si>
  <si>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</si>
  <si>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</si>
  <si>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</si>
  <si>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</si>
  <si>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</si>
  <si>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</si>
  <si>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</si>
  <si>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</si>
  <si>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</si>
  <si>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</si>
  <si>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</si>
  <si>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</si>
  <si>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</si>
  <si>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</si>
  <si>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</si>
  <si>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</si>
  <si>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</si>
  <si>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</si>
  <si>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</si>
  <si>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</si>
  <si>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</si>
  <si>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</si>
  <si>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</si>
  <si>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</si>
  <si>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</si>
  <si>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</si>
  <si>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</si>
  <si>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</si>
  <si>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</si>
  <si>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</si>
  <si>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</si>
  <si>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</si>
  <si>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</si>
  <si>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</si>
  <si>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</si>
  <si>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</si>
  <si>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</si>
  <si>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</si>
  <si>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</si>
  <si>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</si>
  <si>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</si>
  <si>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</si>
  <si>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</si>
  <si>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</si>
  <si>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</si>
  <si>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</si>
  <si>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</si>
  <si>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</si>
  <si>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</si>
  <si>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</si>
  <si>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</si>
  <si>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</si>
  <si>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</si>
  <si>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</si>
  <si>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</si>
  <si>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</si>
  <si>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</si>
  <si>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</si>
  <si>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</si>
  <si>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</si>
  <si>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</si>
  <si>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</si>
  <si>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</si>
  <si>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</si>
  <si>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</si>
  <si>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</si>
  <si>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</si>
  <si>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</si>
  <si>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</si>
  <si>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</si>
  <si>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</si>
  <si>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</si>
  <si>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</si>
  <si>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</si>
  <si>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</si>
  <si>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</si>
  <si>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</si>
  <si>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</si>
  <si>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</si>
  <si>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</si>
  <si>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</si>
  <si>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</si>
  <si>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</si>
  <si>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</si>
  <si>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</si>
  <si>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</si>
  <si>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</si>
  <si>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</si>
  <si>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</si>
  <si>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</si>
  <si>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</si>
  <si>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</si>
  <si>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</si>
  <si>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</si>
  <si>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</si>
  <si>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</si>
  <si>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</si>
  <si>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</si>
  <si>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</si>
  <si>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</si>
  <si>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</si>
  <si>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</si>
  <si>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</si>
  <si>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</si>
  <si>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</si>
  <si>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</si>
  <si>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</si>
  <si>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</si>
  <si>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</si>
  <si>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</si>
  <si>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</si>
  <si>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</si>
  <si>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</si>
  <si>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</si>
  <si>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</si>
  <si>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</si>
  <si>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</si>
  <si>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</si>
  <si>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</si>
  <si>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</si>
  <si>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</si>
  <si>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</si>
  <si>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</si>
  <si>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</si>
  <si>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</si>
  <si>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</si>
  <si>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</si>
  <si>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</si>
  <si>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</si>
  <si>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</si>
  <si>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</si>
  <si>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</si>
  <si>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</si>
  <si>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</si>
  <si>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</si>
  <si>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</si>
  <si>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</si>
  <si>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</si>
  <si>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</si>
  <si>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</si>
  <si>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</si>
  <si>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</si>
  <si>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</si>
  <si>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</si>
  <si>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</si>
  <si>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</si>
  <si>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</si>
  <si>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</si>
  <si>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</si>
  <si>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</si>
  <si>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</si>
  <si>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</si>
  <si>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</si>
  <si>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</si>
  <si>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</si>
  <si>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</si>
  <si>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</si>
  <si>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</si>
  <si>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</si>
  <si>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</si>
  <si>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</si>
  <si>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</si>
  <si>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</si>
  <si>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</si>
  <si>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</si>
  <si>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</si>
  <si>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</si>
  <si>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</si>
  <si>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</si>
  <si>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</si>
  <si>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</si>
  <si>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</si>
  <si>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</si>
  <si>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</si>
  <si>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</si>
  <si>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</si>
  <si>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</si>
  <si>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</si>
  <si>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</si>
  <si>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</si>
  <si>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</si>
  <si>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</si>
  <si>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</si>
  <si>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</si>
  <si>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</si>
  <si>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</si>
  <si>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</si>
  <si>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</si>
  <si>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</si>
  <si>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</si>
  <si>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</si>
  <si>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</si>
  <si>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</si>
  <si>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</si>
  <si>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</si>
  <si>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</si>
  <si>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</si>
  <si>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</si>
  <si>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</si>
  <si>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</si>
  <si>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</si>
  <si>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</si>
  <si>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</si>
  <si>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</si>
  <si>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</si>
  <si>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</si>
  <si>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</si>
  <si>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</si>
  <si>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</si>
  <si>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</si>
  <si>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</si>
  <si>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</si>
  <si>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</si>
  <si>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</si>
  <si>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</si>
  <si>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</si>
  <si>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</si>
  <si>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</si>
  <si>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</si>
  <si>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</si>
  <si>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</si>
  <si>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</si>
  <si>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</si>
  <si>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</si>
  <si>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</si>
  <si>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</si>
  <si>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</si>
  <si>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</si>
  <si>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</si>
  <si>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</si>
  <si>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</si>
  <si>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</si>
  <si>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</si>
  <si>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</si>
  <si>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</si>
  <si>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</si>
  <si>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</si>
  <si>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</si>
  <si>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</si>
  <si>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</si>
  <si>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</si>
  <si>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</si>
  <si>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</si>
  <si>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</si>
  <si>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</si>
  <si>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</si>
  <si>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</si>
  <si>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</si>
  <si>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</si>
  <si>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</si>
  <si>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</si>
  <si>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</si>
  <si>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</si>
  <si>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</si>
  <si>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</si>
  <si>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</si>
  <si>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</si>
  <si>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</si>
  <si>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</si>
  <si>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</si>
  <si>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</si>
  <si>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</si>
  <si>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</si>
  <si>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</si>
  <si>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</si>
  <si>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</si>
  <si>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</si>
  <si>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</si>
  <si>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</si>
  <si>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</si>
  <si>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</si>
  <si>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</si>
  <si>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</si>
  <si>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</si>
  <si>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</si>
  <si>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</si>
  <si>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</si>
  <si>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</si>
  <si>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</si>
  <si>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</si>
  <si>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</si>
  <si>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</si>
  <si>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</si>
  <si>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</si>
  <si>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</si>
  <si>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</si>
  <si>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</si>
  <si>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</si>
  <si>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</si>
  <si>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</si>
  <si>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</si>
  <si>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</si>
  <si>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</si>
  <si>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</si>
  <si>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</si>
  <si>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</si>
  <si>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</si>
  <si>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</si>
  <si>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</si>
  <si>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</si>
  <si>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</si>
  <si>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</si>
  <si>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</si>
  <si>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</si>
  <si>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</si>
  <si>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</si>
  <si>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</si>
  <si>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</si>
  <si>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</si>
  <si>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</si>
  <si>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</si>
  <si>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</si>
  <si>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</si>
  <si>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</si>
  <si>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</si>
  <si>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</si>
  <si>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</si>
  <si>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</si>
  <si>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</si>
  <si>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</si>
  <si>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</si>
  <si>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</si>
  <si>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</si>
  <si>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</si>
  <si>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</si>
  <si>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</si>
  <si>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</si>
  <si>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</si>
  <si>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</si>
  <si>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</si>
  <si>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</si>
  <si>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</si>
  <si>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</si>
  <si>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</si>
  <si>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</si>
  <si>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</si>
  <si>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</si>
  <si>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</si>
  <si>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</si>
  <si>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</si>
  <si>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</si>
  <si>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</si>
  <si>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</si>
  <si>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</si>
  <si>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</si>
  <si>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</si>
  <si>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</si>
  <si>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</si>
  <si>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</si>
  <si>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</si>
  <si>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</si>
  <si>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</si>
  <si>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</si>
  <si>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</si>
  <si>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</si>
  <si>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</si>
  <si>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</si>
  <si>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</si>
  <si>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</si>
  <si>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</si>
  <si>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</si>
  <si>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</si>
  <si>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</si>
  <si>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</si>
  <si>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</si>
  <si>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</si>
  <si>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</si>
  <si>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</si>
  <si>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</si>
  <si>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</si>
  <si>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</si>
  <si>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</si>
  <si>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</si>
  <si>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</si>
  <si>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</si>
  <si>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</si>
  <si>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</si>
  <si>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</si>
  <si>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</si>
  <si>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</si>
  <si>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</si>
  <si>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</si>
  <si>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</si>
  <si>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</si>
  <si>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</si>
  <si>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</si>
  <si>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</si>
  <si>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</si>
  <si>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</si>
  <si>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</si>
  <si>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</si>
  <si>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</si>
  <si>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</si>
  <si>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</si>
  <si>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</si>
  <si>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</si>
  <si>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</si>
  <si>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</si>
  <si>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</si>
  <si>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</si>
  <si>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</si>
  <si>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</si>
  <si>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</si>
  <si>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</si>
  <si>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</si>
  <si>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</si>
  <si>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</si>
  <si>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</si>
  <si>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</si>
  <si>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</si>
  <si>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</si>
  <si>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</si>
  <si>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</si>
  <si>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</si>
  <si>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</si>
  <si>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</si>
  <si>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</si>
  <si>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</si>
  <si>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</si>
  <si>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</si>
  <si>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</si>
  <si>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</si>
  <si>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</si>
  <si>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</si>
  <si>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</si>
  <si>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</si>
  <si>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</si>
  <si>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</si>
  <si>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</si>
  <si>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</si>
  <si>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</si>
  <si>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</si>
  <si>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</si>
  <si>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</si>
  <si>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</si>
  <si>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</si>
  <si>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</si>
  <si>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</si>
  <si>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</si>
  <si>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</si>
  <si>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</si>
  <si>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</si>
  <si>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</si>
  <si>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</si>
  <si>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</si>
  <si>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</si>
  <si>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</si>
  <si>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</si>
  <si>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</si>
  <si>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</si>
  <si>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</si>
  <si>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</si>
  <si>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</si>
  <si>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</si>
  <si>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</si>
  <si>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</si>
  <si>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</si>
  <si>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</si>
  <si>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</si>
  <si>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</si>
  <si>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</si>
  <si>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</si>
  <si>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</si>
  <si>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</si>
  <si>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</si>
  <si>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</si>
  <si>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</si>
  <si>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</si>
  <si>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</si>
  <si>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</si>
  <si>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</si>
  <si>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</si>
  <si>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</si>
  <si>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</si>
  <si>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</si>
  <si>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</si>
  <si>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</si>
  <si>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</si>
  <si>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</si>
  <si>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</si>
  <si>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</si>
  <si>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</si>
  <si>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</si>
  <si>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</si>
  <si>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</si>
  <si>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</si>
  <si>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</si>
  <si>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</si>
  <si>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</si>
  <si>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</si>
  <si>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</si>
  <si>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</si>
  <si>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</si>
  <si>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</si>
  <si>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</si>
  <si>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</si>
  <si>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</si>
  <si>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</si>
  <si>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</si>
  <si>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</si>
  <si>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</si>
  <si>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</si>
  <si>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</si>
  <si>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</si>
  <si>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</si>
  <si>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</si>
  <si>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</si>
  <si>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</si>
  <si>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</si>
  <si>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</si>
  <si>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</si>
  <si>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</si>
  <si>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</si>
  <si>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</si>
  <si>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</si>
  <si>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</si>
  <si>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</si>
  <si>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</si>
  <si>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</si>
  <si>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</si>
  <si>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</si>
  <si>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</si>
  <si>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</si>
  <si>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</si>
  <si>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</si>
  <si>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</si>
  <si>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</si>
  <si>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</si>
  <si>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</si>
  <si>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</si>
  <si>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</si>
  <si>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</si>
  <si>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</si>
  <si>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</si>
  <si>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</si>
  <si>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</si>
  <si>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</si>
  <si>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</si>
  <si>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</si>
  <si>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</si>
  <si>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</si>
  <si>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</si>
  <si>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</si>
  <si>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</si>
  <si>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</si>
  <si>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</si>
  <si>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</si>
  <si>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</si>
  <si>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</si>
  <si>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</si>
  <si>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</si>
  <si>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</si>
  <si>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</si>
  <si>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</si>
  <si>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</si>
  <si>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</si>
  <si>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</si>
  <si>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</si>
  <si>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</si>
  <si>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</si>
  <si>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</si>
  <si>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</si>
  <si>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</si>
  <si>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</si>
  <si>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</si>
  <si>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</si>
  <si>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</si>
  <si>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</si>
  <si>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</si>
  <si>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</si>
  <si>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</si>
  <si>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</si>
  <si>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</si>
  <si>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</si>
  <si>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</si>
  <si>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</si>
  <si>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</si>
  <si>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</si>
  <si>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</si>
  <si>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</si>
  <si>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</si>
  <si>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</si>
  <si>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</si>
  <si>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</si>
  <si>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</si>
  <si>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</si>
  <si>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</si>
  <si>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</si>
  <si>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</si>
  <si>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</si>
  <si>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</si>
  <si>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</si>
  <si>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</si>
  <si>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</si>
  <si>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</si>
  <si>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</si>
  <si>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</si>
  <si>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</si>
  <si>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</si>
  <si>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</si>
  <si>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</si>
  <si>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</si>
  <si>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</si>
  <si>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</si>
  <si>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</si>
  <si>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</si>
  <si>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</si>
  <si>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</si>
  <si>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</si>
  <si>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</si>
  <si>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</si>
  <si>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</si>
  <si>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</si>
  <si>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</si>
  <si>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</si>
  <si>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</si>
  <si>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</si>
  <si>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</si>
  <si>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</si>
  <si>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</si>
  <si>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</si>
  <si>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</si>
  <si>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</si>
  <si>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</si>
  <si>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</si>
  <si>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</si>
  <si>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</si>
  <si>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</si>
  <si>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</si>
  <si>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</si>
  <si>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</si>
  <si>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</si>
  <si>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</si>
  <si>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</si>
  <si>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</si>
  <si>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</si>
  <si>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</si>
  <si>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</si>
  <si>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</si>
  <si>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</si>
  <si>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</si>
  <si>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</si>
  <si>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</si>
  <si>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</si>
  <si>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</si>
  <si>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</si>
  <si>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</si>
  <si>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</si>
  <si>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</si>
  <si>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</si>
  <si>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</si>
  <si>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</si>
  <si>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</si>
  <si>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</si>
  <si>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</si>
  <si>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</si>
  <si>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</si>
  <si>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</si>
  <si>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</si>
  <si>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</si>
  <si>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</si>
  <si>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</si>
  <si>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</si>
  <si>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</si>
  <si>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</si>
  <si>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</si>
  <si>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</si>
  <si>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</si>
  <si>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</si>
  <si>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</si>
  <si>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</si>
  <si>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</si>
  <si>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</si>
  <si>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</si>
  <si>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</si>
  <si>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</si>
  <si>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</si>
  <si>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</si>
  <si>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</si>
  <si>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</si>
  <si>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</si>
  <si>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</si>
  <si>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</si>
  <si>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</si>
  <si>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</si>
  <si>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</si>
  <si>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</si>
  <si>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</si>
  <si>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</si>
  <si>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</si>
  <si>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</si>
  <si>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</si>
  <si>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</si>
  <si>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</si>
  <si>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</si>
  <si>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</si>
  <si>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</si>
  <si>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</si>
  <si>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</si>
  <si>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</si>
  <si>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</si>
  <si>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</si>
  <si>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</si>
  <si>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</si>
  <si>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</si>
  <si>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</si>
  <si>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</si>
  <si>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</si>
  <si>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</si>
  <si>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</si>
  <si>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</si>
  <si>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</si>
  <si>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</si>
  <si>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</si>
  <si>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</si>
  <si>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</si>
  <si>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</si>
  <si>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</si>
  <si>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</si>
  <si>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</si>
  <si>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</si>
  <si>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</si>
  <si>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</si>
  <si>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</si>
  <si>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</si>
  <si>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</si>
  <si>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</si>
  <si>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</si>
  <si>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</si>
  <si>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</si>
  <si>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</si>
  <si>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</si>
  <si>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</si>
  <si>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</si>
  <si>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</si>
  <si>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</si>
  <si>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</si>
  <si>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</si>
  <si>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</si>
  <si>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</si>
  <si>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</si>
  <si>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</si>
  <si>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</si>
  <si>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</si>
  <si>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</si>
  <si>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</si>
  <si>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</si>
  <si>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</si>
  <si>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</si>
  <si>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</si>
  <si>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</si>
  <si>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</si>
  <si>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</si>
  <si>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</si>
  <si>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</si>
  <si>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</si>
  <si>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</si>
  <si>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</si>
  <si>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</si>
  <si>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</si>
  <si>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</si>
  <si>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</si>
  <si>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</si>
  <si>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</si>
  <si>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</si>
  <si>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</si>
  <si>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</si>
  <si>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</si>
  <si>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</si>
  <si>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</si>
  <si>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</si>
  <si>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</si>
  <si>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</si>
  <si>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</si>
  <si>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</si>
  <si>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</si>
  <si>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</si>
  <si>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</si>
  <si>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</si>
  <si>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</si>
  <si>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</si>
  <si>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</si>
  <si>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</si>
  <si>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</si>
  <si>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</si>
  <si>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</si>
  <si>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</si>
  <si>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</si>
  <si>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</si>
  <si>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</si>
  <si>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</si>
  <si>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</si>
  <si>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</si>
  <si>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</si>
  <si>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</si>
  <si>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</si>
  <si>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</si>
  <si>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</si>
  <si>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</si>
  <si>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</si>
  <si>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</si>
  <si>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</si>
  <si>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</si>
  <si>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</si>
  <si>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</si>
  <si>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</si>
  <si>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</si>
  <si>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</si>
  <si>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</si>
  <si>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</si>
  <si>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</si>
  <si>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</si>
  <si>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</si>
  <si>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</si>
  <si>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</si>
  <si>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</si>
  <si>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</si>
  <si>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</si>
  <si>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</si>
  <si>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</si>
  <si>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</si>
  <si>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</si>
  <si>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</si>
  <si>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</si>
  <si>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</si>
  <si>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</si>
  <si>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</si>
  <si>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</si>
  <si>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</si>
  <si>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</si>
  <si>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</si>
  <si>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</si>
  <si>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</si>
  <si>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</si>
  <si>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</si>
  <si>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</si>
  <si>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</si>
  <si>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</si>
  <si>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</si>
  <si>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</si>
  <si>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</si>
  <si>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</si>
  <si>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</si>
  <si>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</si>
  <si>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</si>
  <si>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</si>
  <si>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</si>
  <si>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</si>
  <si>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</si>
  <si>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</si>
  <si>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</si>
  <si>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</si>
  <si>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</si>
  <si>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</si>
  <si>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</si>
  <si>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</si>
  <si>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</si>
  <si>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</si>
  <si>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</si>
  <si>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</si>
  <si>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</si>
  <si>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</si>
  <si>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</si>
  <si>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</si>
  <si>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</si>
  <si>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</si>
  <si>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</si>
  <si>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</si>
  <si>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</si>
  <si>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</si>
  <si>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</si>
  <si>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</si>
  <si>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</si>
  <si>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</si>
  <si>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</si>
  <si>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</si>
  <si>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</si>
  <si>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</si>
  <si>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</si>
  <si>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</si>
  <si>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</si>
  <si>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</si>
  <si>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</si>
  <si>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</si>
  <si>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</si>
  <si>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</si>
  <si>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</si>
  <si>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</si>
  <si>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</si>
  <si>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</si>
  <si>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</si>
  <si>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</si>
  <si>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</si>
  <si>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</si>
  <si>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</si>
  <si>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</si>
  <si>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</si>
  <si>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</si>
  <si>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</si>
  <si>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</si>
  <si>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</si>
  <si>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</si>
  <si>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</si>
  <si>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</si>
  <si>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</si>
  <si>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</si>
  <si>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</si>
  <si>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</si>
  <si>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</si>
  <si>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</si>
  <si>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</si>
  <si>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</si>
  <si>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</si>
  <si>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</si>
  <si>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</si>
  <si>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</si>
  <si>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</si>
  <si>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</si>
  <si>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</si>
  <si>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</si>
  <si>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</si>
  <si>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</si>
  <si>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</si>
  <si>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</si>
  <si>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</si>
  <si>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</si>
  <si>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</si>
  <si>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</si>
  <si>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</si>
  <si>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</si>
  <si>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</si>
  <si>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</si>
  <si>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</si>
  <si>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</si>
  <si>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</si>
  <si>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</si>
  <si>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</si>
  <si>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</si>
  <si>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</si>
  <si>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</si>
  <si>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</si>
  <si>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</si>
  <si>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</si>
  <si>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</si>
  <si>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</si>
  <si>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</si>
  <si>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</si>
  <si>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</si>
  <si>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</si>
  <si>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</si>
  <si>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</si>
  <si>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</si>
  <si>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</si>
  <si>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</si>
  <si>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</si>
  <si>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</si>
  <si>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</si>
  <si>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</si>
  <si>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</si>
  <si>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</si>
  <si>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</si>
  <si>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</si>
  <si>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</si>
  <si>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</si>
  <si>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</si>
  <si>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</si>
  <si>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</si>
  <si>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</si>
  <si>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</si>
  <si>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</si>
  <si>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</si>
  <si>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</si>
  <si>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</si>
  <si>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</si>
  <si>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</si>
  <si>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</si>
  <si>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</si>
  <si>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</si>
  <si>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</si>
  <si>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</si>
  <si>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</si>
  <si>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</si>
  <si>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</si>
  <si>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</si>
  <si>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</si>
  <si>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</si>
  <si>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</si>
  <si>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</si>
  <si>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</si>
  <si>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</si>
  <si>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</si>
  <si>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</si>
  <si>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</si>
  <si>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</si>
  <si>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</si>
  <si>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</si>
  <si>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</si>
  <si>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</si>
  <si>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</si>
  <si>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</si>
  <si>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</si>
  <si>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</si>
  <si>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</si>
  <si>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</si>
  <si>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</si>
  <si>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</si>
  <si>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</si>
  <si>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</si>
  <si>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</si>
  <si>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</si>
  <si>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</si>
  <si>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</si>
  <si>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</si>
  <si>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</si>
  <si>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</si>
  <si>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</si>
  <si>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</si>
  <si>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</si>
  <si>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</si>
  <si>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</si>
  <si>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</si>
  <si>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</si>
  <si>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</si>
  <si>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</si>
  <si>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</si>
  <si>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</si>
  <si>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</si>
  <si>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</si>
  <si>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</si>
  <si>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</si>
  <si>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</si>
  <si>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</si>
  <si>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</si>
  <si>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</si>
  <si>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</si>
  <si>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</si>
  <si>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</si>
  <si>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</si>
  <si>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</si>
  <si>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</si>
  <si>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</si>
  <si>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</si>
  <si>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</si>
  <si>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</si>
  <si>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</si>
  <si>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</si>
  <si>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</si>
  <si>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</si>
  <si>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</si>
  <si>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</si>
  <si>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</si>
  <si>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</si>
  <si>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</si>
  <si>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</si>
  <si>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</si>
  <si>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</si>
  <si>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</si>
  <si>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</si>
  <si>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</si>
  <si>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</si>
  <si>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</si>
  <si>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</si>
  <si>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</si>
  <si>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</si>
  <si>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</si>
  <si>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</si>
  <si>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</si>
  <si>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</si>
  <si>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</si>
  <si>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</si>
  <si>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</si>
  <si>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</si>
  <si>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</si>
  <si>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</si>
  <si>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</si>
  <si>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</si>
  <si>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</si>
  <si>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</si>
  <si>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</si>
  <si>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</si>
  <si>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</si>
  <si>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</si>
  <si>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</si>
  <si>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</si>
  <si>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</si>
  <si>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</si>
  <si>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</si>
  <si>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</si>
  <si>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</si>
  <si>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</si>
  <si>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</si>
  <si>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</si>
  <si>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</si>
  <si>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</si>
  <si>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</si>
  <si>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</si>
  <si>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</si>
  <si>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</si>
  <si>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</si>
  <si>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</si>
  <si>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</si>
  <si>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</si>
  <si>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</si>
  <si>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</si>
  <si>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</si>
  <si>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</si>
  <si>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</si>
  <si>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</si>
  <si>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</si>
  <si>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</si>
  <si>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</si>
  <si>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</si>
  <si>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</si>
  <si>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</si>
  <si>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</si>
  <si>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</si>
  <si>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</si>
  <si>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</si>
  <si>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</si>
  <si>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</si>
  <si>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</si>
  <si>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</si>
  <si>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</si>
  <si>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</si>
  <si>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</si>
  <si>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</si>
  <si>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</si>
  <si>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</si>
  <si>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</si>
  <si>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</si>
  <si>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</si>
  <si>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</si>
  <si>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</si>
  <si>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</si>
  <si>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</si>
  <si>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</si>
  <si>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</si>
  <si>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</si>
  <si>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</si>
  <si>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</si>
  <si>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</si>
  <si>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</si>
  <si>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</si>
  <si>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</si>
  <si>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</si>
  <si>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</si>
  <si>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</si>
  <si>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</si>
  <si>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</si>
  <si>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</si>
  <si>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</si>
  <si>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</si>
  <si>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</si>
  <si>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</si>
  <si>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</si>
  <si>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</si>
  <si>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</si>
  <si>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</si>
  <si>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</si>
  <si>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</si>
  <si>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</si>
  <si>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</si>
  <si>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</si>
  <si>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</si>
  <si>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</si>
  <si>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</si>
  <si>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</si>
  <si>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</si>
  <si>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</si>
  <si>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</si>
  <si>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</si>
  <si>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</si>
  <si>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</si>
  <si>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</si>
  <si>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</si>
  <si>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</si>
  <si>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</si>
  <si>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</si>
  <si>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</si>
  <si>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</si>
  <si>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</si>
  <si>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</si>
  <si>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</si>
  <si>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</si>
  <si>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</si>
  <si>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</si>
  <si>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</si>
  <si>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</si>
  <si>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</si>
  <si>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</si>
  <si>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</si>
  <si>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</si>
  <si>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</si>
  <si>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</si>
  <si>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</si>
  <si>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</si>
  <si>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</si>
  <si>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</si>
  <si>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</si>
  <si>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</si>
  <si>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</si>
  <si>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</si>
  <si>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</si>
  <si>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</si>
  <si>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</si>
  <si>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</si>
  <si>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</si>
  <si>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</si>
  <si>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</si>
  <si>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</si>
  <si>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</si>
  <si>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</si>
  <si>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</si>
  <si>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</si>
  <si>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</si>
  <si>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</si>
  <si>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</si>
  <si>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</si>
  <si>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</si>
  <si>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</si>
  <si>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</si>
  <si>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</si>
  <si>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</si>
  <si>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</si>
  <si>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</si>
  <si>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</si>
  <si>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</si>
  <si>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</si>
  <si>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</si>
  <si>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</si>
  <si>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</si>
  <si>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</si>
  <si>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</si>
  <si>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</si>
  <si>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</si>
  <si>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</si>
  <si>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</si>
  <si>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</si>
  <si>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</si>
  <si>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</si>
  <si>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</si>
  <si>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</si>
  <si>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</si>
  <si>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</si>
  <si>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</si>
  <si>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</si>
  <si>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</si>
  <si>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</si>
  <si>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</si>
  <si>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</si>
  <si>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</si>
  <si>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</si>
  <si>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</si>
  <si>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</si>
  <si>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</si>
  <si>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</si>
  <si>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</si>
  <si>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</si>
  <si>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</si>
  <si>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</si>
  <si>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</si>
  <si>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</si>
  <si>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</si>
  <si>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</si>
  <si>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</si>
  <si>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</si>
  <si>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</si>
  <si>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</si>
  <si>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</si>
  <si>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</si>
  <si>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</si>
  <si>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</si>
  <si>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</si>
  <si>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</si>
  <si>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</si>
  <si>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</si>
  <si>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</si>
  <si>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</si>
  <si>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</si>
  <si>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</si>
  <si>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</si>
  <si>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</si>
  <si>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</si>
  <si>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</si>
  <si>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</si>
  <si>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</si>
  <si>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</si>
  <si>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</si>
  <si>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</si>
  <si>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</si>
  <si>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</si>
  <si>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</si>
  <si>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</si>
  <si>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Data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</si>
  <si>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</si>
  <si>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</si>
  <si>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</si>
  <si>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</si>
  <si>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</si>
  <si>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</si>
  <si>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</si>
  <si>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</si>
  <si>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</si>
  <si>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</si>
  <si>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</si>
  <si>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</si>
  <si>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</si>
  <si>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</si>
  <si>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</si>
  <si>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</si>
  <si>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</si>
  <si>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</t>
  </si>
  <si>
    <t>Number of Backers</t>
  </si>
  <si>
    <t>Mean Goal</t>
  </si>
  <si>
    <t>Median Goal</t>
  </si>
  <si>
    <t>Mean Pledge</t>
  </si>
  <si>
    <t>Median Pledge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</si>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</sst>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2" fillId="0" borderId="0" xfId="0" applyFont="1" applyAlignment="1"/>
    <xf numFmtId="0" fontId="1" fillId="0" borderId="0" xfId="0" applyFont="1"/>
    <xf numFmtId="0" fontId="1" fillId="0" borderId="0" xfId="0" applyFont="1" applyAlignment="1">
      <alignment wrapText="1"/>
    </xf>
    <xf numFmtId="165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7C-4A01-823B-E48715384D4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7C-4A01-823B-E48715384D4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7C-4A01-823B-E48715384D4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7C-4A01-823B-E48715384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34892720"/>
        <c:axId val="1834887312"/>
      </c:barChart>
      <c:catAx>
        <c:axId val="1834892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4887312"/>
        <c:crosses val="autoZero"/>
        <c:auto val="1"/>
        <c:lblAlgn val="ctr"/>
        <c:lblOffset val="100"/>
        <c:noMultiLvlLbl val="0"/>
      </c:catAx>
      <c:valAx>
        <c:axId val="1834887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4892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C6-489B-B106-6E07C086FDB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C6-489B-B106-6E07C086FDB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C6-489B-B106-6E07C086FD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245999"/>
        <c:axId val="204246415"/>
      </c:barChart>
      <c:catAx>
        <c:axId val="204245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46415"/>
        <c:crosses val="autoZero"/>
        <c:auto val="1"/>
        <c:lblAlgn val="ctr"/>
        <c:lblOffset val="100"/>
        <c:noMultiLvlLbl val="0"/>
      </c:catAx>
      <c:valAx>
        <c:axId val="204246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45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E2-4E8B-88F1-F24C1D72B41D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E2-4E8B-88F1-F24C1D72B41D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E2-4E8B-88F1-F24C1D72B41D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BE2-4E8B-88F1-F24C1D72B4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2336191"/>
        <c:axId val="292336607"/>
      </c:lineChart>
      <c:catAx>
        <c:axId val="292336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336607"/>
        <c:crosses val="autoZero"/>
        <c:auto val="1"/>
        <c:lblAlgn val="ctr"/>
        <c:lblOffset val="100"/>
        <c:noMultiLvlLbl val="0"/>
      </c:catAx>
      <c:valAx>
        <c:axId val="292336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336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</a:t>
            </a:r>
            <a:r>
              <a:rPr lang="en-US" baseline="0"/>
              <a:t>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CD-4190-A539-D46BBB3059D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CD-4190-A539-D46BBB3059D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CD-4190-A539-D46BBB3059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3778111"/>
        <c:axId val="433773951"/>
      </c:lineChart>
      <c:catAx>
        <c:axId val="433778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773951"/>
        <c:crosses val="autoZero"/>
        <c:auto val="1"/>
        <c:lblAlgn val="ctr"/>
        <c:lblOffset val="100"/>
        <c:noMultiLvlLbl val="0"/>
      </c:catAx>
      <c:valAx>
        <c:axId val="43377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778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55D-4FA8-9D97-D5A381B4139A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55D-4FA8-9D97-D5A381B4139A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55D-4FA8-9D97-D5A381B413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4532144"/>
        <c:axId val="189453006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55D-4FA8-9D97-D5A381B4139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055D-4FA8-9D97-D5A381B4139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055D-4FA8-9D97-D5A381B4139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055D-4FA8-9D97-D5A381B4139A}"/>
                  </c:ext>
                </c:extLst>
              </c15:ser>
            </c15:filteredLineSeries>
          </c:ext>
        </c:extLst>
      </c:lineChart>
      <c:catAx>
        <c:axId val="1894532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530064"/>
        <c:crosses val="autoZero"/>
        <c:auto val="1"/>
        <c:lblAlgn val="ctr"/>
        <c:lblOffset val="100"/>
        <c:noMultiLvlLbl val="0"/>
      </c:catAx>
      <c:valAx>
        <c:axId val="189453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532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53975</xdr:colOff>
      <xdr:row>1</xdr:row>
      <xdr:rowOff>152400</xdr:rowOff>
    </xdr:from>
    <xdr:to>
      <xdr:col>13</xdr:col>
      <xdr:colOff>358775</xdr:colOff>
      <xdr:row>16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1EF3CE-6177-BB38-0121-0E9F7FA533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73025</xdr:colOff>
      <xdr:row>0</xdr:row>
      <xdr:rowOff>114300</xdr:rowOff>
    </xdr:from>
    <xdr:to>
      <xdr:col>19</xdr:col>
      <xdr:colOff>152400</xdr:colOff>
      <xdr:row>15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3ECB8A-699A-0C4C-F5FC-F78A2BFA7C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74612</xdr:colOff>
      <xdr:row>4</xdr:row>
      <xdr:rowOff>0</xdr:rowOff>
    </xdr:from>
    <xdr:to>
      <xdr:col>13</xdr:col>
      <xdr:colOff>379412</xdr:colOff>
      <xdr:row>19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50E739-5A63-F53D-07BF-FEAAEFA4E3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246062</xdr:colOff>
      <xdr:row>3</xdr:row>
      <xdr:rowOff>9525</xdr:rowOff>
    </xdr:from>
    <xdr:to>
      <xdr:col>12</xdr:col>
      <xdr:colOff>401637</xdr:colOff>
      <xdr:row>18</xdr:row>
      <xdr:rowOff>34925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01AF9D-FCC3-EA40-B8B2-05BFC959A1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101600</xdr:colOff>
      <xdr:row>13</xdr:row>
      <xdr:rowOff>84666</xdr:rowOff>
    </xdr:from>
    <xdr:to>
      <xdr:col>4</xdr:col>
      <xdr:colOff>129117</xdr:colOff>
      <xdr:row>28</xdr:row>
      <xdr:rowOff>110066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CE74AC-CAFE-AF5B-1D31-8B5C975711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gelina Macedo" refreshedDate="44800.513462268522" createdVersion="8" refreshedVersion="8" minRefreshableVersion="3" recordCount="4114" xr:uid="{00FA7429-C1FA-49C8-8A44-2A5F250552F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gelina Macedo" refreshedDate="44801.925896296299" createdVersion="8" refreshedVersion="8" minRefreshableVersion="3" recordCount="4114" xr:uid="{84D44896-29C8-476B-9705-E12A3BEC9DF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gelina Macedo" refreshedDate="44809.391409027776" createdVersion="8" refreshedVersion="8" minRefreshableVersion="3" recordCount="4114" xr:uid="{8A068087-AB3C-4583-8E23-D58D27E7187D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C0875C-9359-4A60-A2F9-414F0E27CED9}" name="PivotTable17" cacheId="6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F04D10-F1AB-434E-97ED-31C1C095387A}" name="PivotTable18" cacheId="6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19CA26-04E9-48AB-8D21-EC1CE61C1E0D}" name="PivotTable19" cacheId="6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327BD9-D85E-4629-B56C-F8E6D834E2C2}" name="PivotTable20" cacheId="6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zoomScale="95" zoomScaleNormal="9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5.632812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54296875" bestFit="1" customWidth="1"/>
    <col min="16" max="16" width="16.453125" bestFit="1" customWidth="1"/>
    <col min="17" max="17" width="41.1796875" customWidth="1"/>
    <col min="18" max="18" width="15.6328125" bestFit="1" customWidth="1"/>
    <col min="19" max="19" width="22.453125" bestFit="1" customWidth="1"/>
    <col min="20" max="20" width="21.26953125" style="15" bestFit="1" customWidth="1"/>
  </cols>
  <sheetData>
    <row r="1" spans="1:21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6" t="s">
        <v>8366</v>
      </c>
      <c r="U1" s="1" t="s">
        <v>8379</v>
      </c>
    </row>
    <row r="2" spans="1:21" ht="43.5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YEAR(S:S)</f>
        <v>2015</v>
      </c>
    </row>
    <row r="3" spans="1:21" ht="29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YEAR(S:S)</f>
        <v>2017</v>
      </c>
    </row>
    <row r="4" spans="1:21" ht="43.5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YEAR(S:S)</f>
        <v>2014</v>
      </c>
    </row>
    <row r="68" spans="1:21" ht="29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YEAR(S:S)</f>
        <v>2014</v>
      </c>
    </row>
    <row r="132" spans="1:21" ht="43.5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YEAR(S:S)</f>
        <v>2014</v>
      </c>
    </row>
    <row r="196" spans="1:21" ht="43.5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YEAR(S:S)</f>
        <v>2016</v>
      </c>
    </row>
    <row r="260" spans="1:21" ht="58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YEAR(S:S)</f>
        <v>2016</v>
      </c>
    </row>
    <row r="324" spans="1:21" ht="43.5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5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YEAR(S:S)</f>
        <v>2014</v>
      </c>
    </row>
    <row r="388" spans="1:21" ht="43.5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YEAR(S:S)</f>
        <v>2013</v>
      </c>
    </row>
    <row r="452" spans="1:21" ht="43.5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YEAR(S:S)</f>
        <v>2016</v>
      </c>
    </row>
    <row r="516" spans="1:21" ht="43.5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5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YEAR(S:S)</f>
        <v>2016</v>
      </c>
    </row>
    <row r="580" spans="1:21" ht="29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.5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YEAR(S:S)</f>
        <v>2015</v>
      </c>
    </row>
    <row r="644" spans="1:21" ht="43.5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58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58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58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5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9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YEAR(S:S)</f>
        <v>2016</v>
      </c>
    </row>
    <row r="708" spans="1:21" ht="43.5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58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5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58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58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YEAR(S:S)</f>
        <v>2013</v>
      </c>
    </row>
    <row r="772" spans="1:21" ht="43.5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5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YEAR(S:S)</f>
        <v>2014</v>
      </c>
    </row>
    <row r="836" spans="1:21" ht="58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5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5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3.5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YEAR(S:S)</f>
        <v>2012</v>
      </c>
    </row>
    <row r="900" spans="1:21" ht="43.5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58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3.5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3.5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YEAR(S:S)</f>
        <v>2017</v>
      </c>
    </row>
    <row r="964" spans="1:21" ht="43.5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5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3.5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29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YEAR(S:S)</f>
        <v>2015</v>
      </c>
    </row>
    <row r="1028" spans="1:21" ht="58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58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58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58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3.5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9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YEAR(S:S)</f>
        <v>2015</v>
      </c>
    </row>
    <row r="1092" spans="1:21" ht="43.5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5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58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5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5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58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9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YEAR(S:S)</f>
        <v>2015</v>
      </c>
    </row>
    <row r="1156" spans="1:21" ht="43.5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5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3.5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58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58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3.5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YEAR(S:S)</f>
        <v>2016</v>
      </c>
    </row>
    <row r="1220" spans="1:21" ht="58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3.5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YEAR(S:S)</f>
        <v>2013</v>
      </c>
    </row>
    <row r="1284" spans="1:21" ht="58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3.5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58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YEAR(S:S)</f>
        <v>2014</v>
      </c>
    </row>
    <row r="1348" spans="1:21" ht="43.5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9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58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3.5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YEAR(S:S)</f>
        <v>2014</v>
      </c>
    </row>
    <row r="1412" spans="1:21" ht="43.5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58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YEAR(S:S)</f>
        <v>2012</v>
      </c>
    </row>
    <row r="1476" spans="1:21" ht="43.5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58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58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58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YEAR(S:S)</f>
        <v>2016</v>
      </c>
    </row>
    <row r="1540" spans="1:21" ht="43.5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3.5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YEAR(S:S)</f>
        <v>2011</v>
      </c>
    </row>
    <row r="1604" spans="1:21" ht="43.5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58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3.5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58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2.5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58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YEAR(S:S)</f>
        <v>2011</v>
      </c>
    </row>
    <row r="1668" spans="1:21" ht="43.5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5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YEAR(S:S)</f>
        <v>2016</v>
      </c>
    </row>
    <row r="1732" spans="1:21" ht="43.5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.5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58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9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58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9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YEAR(S:S)</f>
        <v>2014</v>
      </c>
    </row>
    <row r="1796" spans="1:21" ht="43.5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8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58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YEAR(S:S)</f>
        <v>2014</v>
      </c>
    </row>
    <row r="1860" spans="1:21" ht="58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.5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5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58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9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YEAR(S:S)</f>
        <v>2012</v>
      </c>
    </row>
    <row r="1924" spans="1:21" ht="43.5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58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.5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YEAR(S:S)</f>
        <v>2016</v>
      </c>
    </row>
    <row r="1988" spans="1:21" ht="43.5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3.5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8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.5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3.5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YEAR(S:S)</f>
        <v>2013</v>
      </c>
    </row>
    <row r="2052" spans="1:21" ht="43.5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58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5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.5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3.5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9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YEAR(S:S)</f>
        <v>2014</v>
      </c>
    </row>
    <row r="2116" spans="1:21" ht="43.5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3.5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5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58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YEAR(S:S)</f>
        <v>2016</v>
      </c>
    </row>
    <row r="2180" spans="1:21" ht="43.5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3.5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58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58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58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58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3.5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YEAR(S:S)</f>
        <v>2017</v>
      </c>
    </row>
    <row r="2244" spans="1:21" ht="29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58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58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.5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.5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58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58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.5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3.5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YEAR(S:S)</f>
        <v>2014</v>
      </c>
    </row>
    <row r="2308" spans="1:21" ht="43.5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5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58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3.5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3.5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YEAR(S:S)</f>
        <v>2016</v>
      </c>
    </row>
    <row r="2372" spans="1:21" ht="43.5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58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8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3.5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58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58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YEAR(S:S)</f>
        <v>2016</v>
      </c>
    </row>
    <row r="2436" spans="1:21" ht="43.5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.5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8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9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YEAR(S:S)</f>
        <v>2011</v>
      </c>
    </row>
    <row r="2500" spans="1:21" ht="43.5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58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.5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3.5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YEAR(S:S)</f>
        <v>2015</v>
      </c>
    </row>
    <row r="2564" spans="1:21" ht="58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.5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58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YEAR(S:S)</f>
        <v>2016</v>
      </c>
    </row>
    <row r="2628" spans="1:21" ht="43.5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.5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58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5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3.5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YEAR(S:S)</f>
        <v>2016</v>
      </c>
    </row>
    <row r="2692" spans="1:21" ht="58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58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2.5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YEAR(S:S)</f>
        <v>2012</v>
      </c>
    </row>
    <row r="2756" spans="1:21" ht="43.5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YEAR(S:S)</f>
        <v>2015</v>
      </c>
    </row>
    <row r="2820" spans="1:21" ht="43.5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1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YEAR(S:S)</f>
        <v>2014</v>
      </c>
    </row>
    <row r="2884" spans="1:21" ht="43.5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9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3.5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3.5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3.5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3.5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3.5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58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3.5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3.5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3.5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3.5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3.5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29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3.5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3.5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3.5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3.5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3.5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1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58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YEAR(S:S)</f>
        <v>2015</v>
      </c>
    </row>
    <row r="2948" spans="1:21" ht="43.5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58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58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3.5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3.5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58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3.5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3.5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58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58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3.5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58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3.5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3.5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3.5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3.5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3.5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3.5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29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3.5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3.5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3.5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3.5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3.5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3.5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58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58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29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3.5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1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3.5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YEAR(S:S)</f>
        <v>2014</v>
      </c>
    </row>
    <row r="3012" spans="1:21" ht="43.5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3.5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3.5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3.5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58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58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3.5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3.5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58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3.5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3.5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3.5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2.5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3.5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3.5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2.5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3.5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3.5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3.5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3.5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58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3.5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58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58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3.5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3.5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58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58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3.5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58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58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58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3.5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58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58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3.5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3.5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58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1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3.5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YEAR(S:S)</f>
        <v>2015</v>
      </c>
    </row>
    <row r="3076" spans="1:21" ht="58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58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58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3.5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58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58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3.5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58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3.5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58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29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58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3.5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3.5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3.5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29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29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72.5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58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1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29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YEAR(S:S)</f>
        <v>2017</v>
      </c>
    </row>
    <row r="3140" spans="1:21" ht="58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3.5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58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3.5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3.5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58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58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58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58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1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3.5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YEAR(S:S)</f>
        <v>2014</v>
      </c>
    </row>
    <row r="3204" spans="1:21" ht="43.5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58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1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YEAR(S:S)</f>
        <v>2015</v>
      </c>
    </row>
    <row r="3268" spans="1:21" ht="43.5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3.5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1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YEAR(S:S)</f>
        <v>2014</v>
      </c>
    </row>
    <row r="3332" spans="1:21" ht="43.5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1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YEAR(S:S)</f>
        <v>2014</v>
      </c>
    </row>
    <row r="3396" spans="1:21" ht="43.5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1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YEAR(S:S)</f>
        <v>2015</v>
      </c>
    </row>
    <row r="3460" spans="1:21" ht="43.5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3.5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3.5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3.5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1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58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YEAR(S:S)</f>
        <v>2014</v>
      </c>
    </row>
    <row r="3524" spans="1:21" ht="43.5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58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3.5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3.5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1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YEAR(S:S)</f>
        <v>2014</v>
      </c>
    </row>
    <row r="3588" spans="1:21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58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58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3.5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58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3.5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58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3.5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3.5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29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58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29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3.5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3.5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1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YEAR(S:S)</f>
        <v>2014</v>
      </c>
    </row>
    <row r="3652" spans="1:21" ht="43.5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3.5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3.5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1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YEAR(S:S)</f>
        <v>2016</v>
      </c>
    </row>
    <row r="3716" spans="1:21" ht="43.5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3.5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3.5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3.5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87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3.5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58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3.5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3.5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3.5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3.5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3.5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29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29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3.5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58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3.5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29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3.5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3.5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3.5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3.5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3.5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3.5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3.5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29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3.5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29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58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3.5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58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1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3.5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YEAR(S:S)</f>
        <v>2014</v>
      </c>
    </row>
    <row r="3780" spans="1:21" ht="29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29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58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3.5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3.5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3.5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3.5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2.5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3.5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3.5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29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3.5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58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3.5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3.5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58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3.5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3.5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3.5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3.5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3.5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3.5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3.5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58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3.5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58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3.5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58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1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YEAR(S:S)</f>
        <v>2014</v>
      </c>
    </row>
    <row r="3844" spans="1:21" ht="43.5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3.5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29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58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29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3.5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3.5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58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3.5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58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3.5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3.5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3.5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3.5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29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3.5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58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3.5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3.5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3.5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58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1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YEAR(S:S)</f>
        <v>2015</v>
      </c>
    </row>
    <row r="3908" spans="1:21" ht="43.5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3.5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2.5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3.5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3.5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58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58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1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58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YEAR(S:S)</f>
        <v>2016</v>
      </c>
    </row>
    <row r="3972" spans="1:21" ht="58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3.5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58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3.5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58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58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58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58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58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3.5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3.5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58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1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3.5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YEAR(S:S)</f>
        <v>2016</v>
      </c>
    </row>
    <row r="4036" spans="1:21" ht="43.5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3.5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58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58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3.5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3.5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3.5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58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58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3.5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1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3.5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YEAR(S:S)</f>
        <v>2015</v>
      </c>
    </row>
    <row r="4100" spans="1:21" ht="43.5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3.5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theme="4" tint="-0.249977111117893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58753-AD65-4E5E-9301-88A54A48409B}">
  <sheetPr codeName="Sheet2"/>
  <dimension ref="A1:F6"/>
  <sheetViews>
    <sheetView workbookViewId="0">
      <selection activeCell="B20" sqref="B20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2" t="s">
        <v>8222</v>
      </c>
      <c r="B1" t="s">
        <v>8224</v>
      </c>
    </row>
    <row r="3" spans="1:6" x14ac:dyDescent="0.35">
      <c r="A3" s="12" t="s">
        <v>8362</v>
      </c>
      <c r="B3" s="12" t="s">
        <v>8360</v>
      </c>
    </row>
    <row r="4" spans="1:6" x14ac:dyDescent="0.35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4" t="s">
        <v>8315</v>
      </c>
      <c r="B5" s="13">
        <v>6</v>
      </c>
      <c r="C5" s="13">
        <v>89</v>
      </c>
      <c r="D5" s="13">
        <v>6</v>
      </c>
      <c r="E5" s="13">
        <v>258</v>
      </c>
      <c r="F5" s="13">
        <v>359</v>
      </c>
    </row>
    <row r="6" spans="1:6" x14ac:dyDescent="0.35">
      <c r="A6" s="14" t="s">
        <v>8361</v>
      </c>
      <c r="B6" s="13">
        <v>6</v>
      </c>
      <c r="C6" s="13">
        <v>89</v>
      </c>
      <c r="D6" s="13">
        <v>6</v>
      </c>
      <c r="E6" s="13">
        <v>258</v>
      </c>
      <c r="F6" s="13">
        <v>359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ED3F4-3B39-420C-AE70-0EF608336903}">
  <sheetPr codeName="Sheet3"/>
  <dimension ref="A1:E7"/>
  <sheetViews>
    <sheetView workbookViewId="0">
      <selection activeCell="B2" sqref="B2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4.08984375" bestFit="1" customWidth="1"/>
    <col min="4" max="4" width="9.54296875" bestFit="1" customWidth="1"/>
    <col min="5" max="6" width="10.7265625" bestFit="1" customWidth="1"/>
  </cols>
  <sheetData>
    <row r="1" spans="1:5" x14ac:dyDescent="0.35">
      <c r="A1" s="12" t="s">
        <v>8222</v>
      </c>
      <c r="B1" t="s">
        <v>8223</v>
      </c>
    </row>
    <row r="2" spans="1:5" x14ac:dyDescent="0.35">
      <c r="A2" s="12" t="s">
        <v>8358</v>
      </c>
      <c r="B2" t="s">
        <v>8315</v>
      </c>
    </row>
    <row r="4" spans="1:5" x14ac:dyDescent="0.35">
      <c r="A4" s="12" t="s">
        <v>8362</v>
      </c>
      <c r="B4" s="12" t="s">
        <v>8360</v>
      </c>
    </row>
    <row r="5" spans="1:5" x14ac:dyDescent="0.35">
      <c r="A5" s="12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4" t="s">
        <v>8316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35">
      <c r="A7" s="14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497DD-D8F2-4DFA-B460-3E5748FED941}">
  <sheetPr codeName="Sheet4"/>
  <dimension ref="A2:F19"/>
  <sheetViews>
    <sheetView workbookViewId="0">
      <selection activeCell="F22" sqref="F22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2" spans="1:6" x14ac:dyDescent="0.35">
      <c r="A2" s="12" t="s">
        <v>8358</v>
      </c>
      <c r="B2" t="s">
        <v>8315</v>
      </c>
    </row>
    <row r="3" spans="1:6" x14ac:dyDescent="0.35">
      <c r="A3" s="12" t="s">
        <v>8379</v>
      </c>
      <c r="B3" t="s">
        <v>8364</v>
      </c>
    </row>
    <row r="5" spans="1:6" x14ac:dyDescent="0.35">
      <c r="A5" s="12" t="s">
        <v>8362</v>
      </c>
      <c r="B5" s="12" t="s">
        <v>8360</v>
      </c>
    </row>
    <row r="6" spans="1:6" x14ac:dyDescent="0.35">
      <c r="A6" s="12" t="s">
        <v>8363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35">
      <c r="A7" s="17" t="s">
        <v>8373</v>
      </c>
      <c r="B7" s="13">
        <v>7</v>
      </c>
      <c r="C7" s="13">
        <v>33</v>
      </c>
      <c r="D7" s="13">
        <v>2</v>
      </c>
      <c r="E7" s="13">
        <v>56</v>
      </c>
      <c r="F7" s="13">
        <v>98</v>
      </c>
    </row>
    <row r="8" spans="1:6" x14ac:dyDescent="0.35">
      <c r="A8" s="17" t="s">
        <v>8374</v>
      </c>
      <c r="B8" s="13">
        <v>3</v>
      </c>
      <c r="C8" s="13">
        <v>39</v>
      </c>
      <c r="D8" s="13">
        <v>8</v>
      </c>
      <c r="E8" s="13">
        <v>71</v>
      </c>
      <c r="F8" s="13">
        <v>121</v>
      </c>
    </row>
    <row r="9" spans="1:6" x14ac:dyDescent="0.35">
      <c r="A9" s="17" t="s">
        <v>8375</v>
      </c>
      <c r="B9" s="13">
        <v>3</v>
      </c>
      <c r="C9" s="13">
        <v>33</v>
      </c>
      <c r="D9" s="13">
        <v>14</v>
      </c>
      <c r="E9" s="13">
        <v>56</v>
      </c>
      <c r="F9" s="13">
        <v>106</v>
      </c>
    </row>
    <row r="10" spans="1:6" x14ac:dyDescent="0.35">
      <c r="A10" s="17" t="s">
        <v>8376</v>
      </c>
      <c r="B10" s="13">
        <v>2</v>
      </c>
      <c r="C10" s="13">
        <v>40</v>
      </c>
      <c r="D10" s="13"/>
      <c r="E10" s="13">
        <v>71</v>
      </c>
      <c r="F10" s="13">
        <v>113</v>
      </c>
    </row>
    <row r="11" spans="1:6" x14ac:dyDescent="0.35">
      <c r="A11" s="17" t="s">
        <v>8367</v>
      </c>
      <c r="B11" s="13">
        <v>3</v>
      </c>
      <c r="C11" s="13">
        <v>52</v>
      </c>
      <c r="D11" s="13"/>
      <c r="E11" s="13">
        <v>111</v>
      </c>
      <c r="F11" s="13">
        <v>166</v>
      </c>
    </row>
    <row r="12" spans="1:6" x14ac:dyDescent="0.35">
      <c r="A12" s="17" t="s">
        <v>8377</v>
      </c>
      <c r="B12" s="13">
        <v>4</v>
      </c>
      <c r="C12" s="13">
        <v>49</v>
      </c>
      <c r="D12" s="13"/>
      <c r="E12" s="13">
        <v>100</v>
      </c>
      <c r="F12" s="13">
        <v>153</v>
      </c>
    </row>
    <row r="13" spans="1:6" x14ac:dyDescent="0.35">
      <c r="A13" s="17" t="s">
        <v>8368</v>
      </c>
      <c r="B13" s="13">
        <v>1</v>
      </c>
      <c r="C13" s="13">
        <v>50</v>
      </c>
      <c r="D13" s="13"/>
      <c r="E13" s="13">
        <v>87</v>
      </c>
      <c r="F13" s="13">
        <v>138</v>
      </c>
    </row>
    <row r="14" spans="1:6" x14ac:dyDescent="0.35">
      <c r="A14" s="17" t="s">
        <v>8369</v>
      </c>
      <c r="B14" s="13">
        <v>4</v>
      </c>
      <c r="C14" s="13">
        <v>47</v>
      </c>
      <c r="D14" s="13"/>
      <c r="E14" s="13">
        <v>72</v>
      </c>
      <c r="F14" s="13">
        <v>123</v>
      </c>
    </row>
    <row r="15" spans="1:6" x14ac:dyDescent="0.35">
      <c r="A15" s="17" t="s">
        <v>8370</v>
      </c>
      <c r="B15" s="13">
        <v>4</v>
      </c>
      <c r="C15" s="13">
        <v>34</v>
      </c>
      <c r="D15" s="13"/>
      <c r="E15" s="13">
        <v>59</v>
      </c>
      <c r="F15" s="13">
        <v>97</v>
      </c>
    </row>
    <row r="16" spans="1:6" x14ac:dyDescent="0.35">
      <c r="A16" s="17" t="s">
        <v>8371</v>
      </c>
      <c r="B16" s="13"/>
      <c r="C16" s="13">
        <v>50</v>
      </c>
      <c r="D16" s="13"/>
      <c r="E16" s="13">
        <v>65</v>
      </c>
      <c r="F16" s="13">
        <v>115</v>
      </c>
    </row>
    <row r="17" spans="1:6" x14ac:dyDescent="0.35">
      <c r="A17" s="17" t="s">
        <v>8372</v>
      </c>
      <c r="B17" s="13">
        <v>3</v>
      </c>
      <c r="C17" s="13">
        <v>31</v>
      </c>
      <c r="D17" s="13"/>
      <c r="E17" s="13">
        <v>54</v>
      </c>
      <c r="F17" s="13">
        <v>88</v>
      </c>
    </row>
    <row r="18" spans="1:6" x14ac:dyDescent="0.35">
      <c r="A18" s="17" t="s">
        <v>8378</v>
      </c>
      <c r="B18" s="13">
        <v>3</v>
      </c>
      <c r="C18" s="13">
        <v>35</v>
      </c>
      <c r="D18" s="13"/>
      <c r="E18" s="13">
        <v>37</v>
      </c>
      <c r="F18" s="13">
        <v>75</v>
      </c>
    </row>
    <row r="19" spans="1:6" x14ac:dyDescent="0.35">
      <c r="A19" s="17" t="s">
        <v>8361</v>
      </c>
      <c r="B19" s="13">
        <v>37</v>
      </c>
      <c r="C19" s="13">
        <v>493</v>
      </c>
      <c r="D19" s="13">
        <v>24</v>
      </c>
      <c r="E19" s="13">
        <v>839</v>
      </c>
      <c r="F19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E18E2-F445-4538-950A-5AA68E1C4694}">
  <sheetPr codeName="Sheet5"/>
  <dimension ref="A1:F6"/>
  <sheetViews>
    <sheetView workbookViewId="0">
      <selection activeCell="E10" sqref="E10"/>
    </sheetView>
  </sheetViews>
  <sheetFormatPr defaultRowHeight="14.5" x14ac:dyDescent="0.35"/>
  <cols>
    <col min="1" max="1" width="32" bestFit="1" customWidth="1"/>
    <col min="2" max="2" width="74.81640625" customWidth="1"/>
    <col min="5" max="5" width="16.1796875" bestFit="1" customWidth="1"/>
    <col min="6" max="6" width="17.1796875" bestFit="1" customWidth="1"/>
  </cols>
  <sheetData>
    <row r="1" spans="1:6" s="19" customFormat="1" x14ac:dyDescent="0.35">
      <c r="A1" s="19" t="s">
        <v>8380</v>
      </c>
      <c r="B1" s="20" t="s">
        <v>8381</v>
      </c>
      <c r="C1" s="19" t="s">
        <v>8382</v>
      </c>
      <c r="D1" s="19" t="s">
        <v>8383</v>
      </c>
      <c r="E1" s="19" t="s">
        <v>8307</v>
      </c>
      <c r="F1" s="19" t="s">
        <v>8384</v>
      </c>
    </row>
    <row r="2" spans="1:6" x14ac:dyDescent="0.35">
      <c r="A2" s="18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29" x14ac:dyDescent="0.3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29" x14ac:dyDescent="0.3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3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29" x14ac:dyDescent="0.3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F13D4-5ED5-4285-BFAC-87DB498A163C}">
  <sheetPr codeName="Sheet8"/>
  <dimension ref="A1:C14"/>
  <sheetViews>
    <sheetView zoomScale="120" zoomScaleNormal="120" workbookViewId="0">
      <selection activeCell="C15" sqref="C15"/>
    </sheetView>
  </sheetViews>
  <sheetFormatPr defaultRowHeight="14.5" x14ac:dyDescent="0.35"/>
  <cols>
    <col min="1" max="1" width="25.36328125" bestFit="1" customWidth="1"/>
    <col min="2" max="2" width="13.1796875" customWidth="1"/>
    <col min="3" max="3" width="13.54296875" customWidth="1"/>
  </cols>
  <sheetData>
    <row r="1" spans="1:3" x14ac:dyDescent="0.35">
      <c r="B1" t="s">
        <v>8389</v>
      </c>
      <c r="C1" t="s">
        <v>8390</v>
      </c>
    </row>
    <row r="2" spans="1:3" x14ac:dyDescent="0.35">
      <c r="A2" t="s">
        <v>8385</v>
      </c>
      <c r="B2" s="21" t="e">
        <f>AVERAGE(#REF!)</f>
        <v>#REF!</v>
      </c>
      <c r="C2" s="21" t="e">
        <f>AVERAGE(#REF!)</f>
        <v>#REF!</v>
      </c>
    </row>
    <row r="3" spans="1:3" x14ac:dyDescent="0.35">
      <c r="A3" t="s">
        <v>8386</v>
      </c>
      <c r="B3" s="21" t="e">
        <f>MEDIAN(#REF!)</f>
        <v>#REF!</v>
      </c>
      <c r="C3" s="21" t="e">
        <f>MEDIAN(#REF!)</f>
        <v>#REF!</v>
      </c>
    </row>
    <row r="4" spans="1:3" x14ac:dyDescent="0.35">
      <c r="A4" t="s">
        <v>8391</v>
      </c>
      <c r="B4" s="21" t="e">
        <f>_xlfn.STDEV.P(#REF!)</f>
        <v>#REF!</v>
      </c>
      <c r="C4" s="21" t="e">
        <f>_xlfn.STDEV.P(#REF!)</f>
        <v>#REF!</v>
      </c>
    </row>
    <row r="5" spans="1:3" x14ac:dyDescent="0.35">
      <c r="A5" t="s">
        <v>8392</v>
      </c>
      <c r="B5" s="21" t="e">
        <f>_xlfn.QUARTILE.EXC(#REF!, 3)</f>
        <v>#REF!</v>
      </c>
      <c r="C5" s="21" t="e">
        <f>_xlfn.QUARTILE.EXC(#REF!, 3)</f>
        <v>#REF!</v>
      </c>
    </row>
    <row r="6" spans="1:3" x14ac:dyDescent="0.35">
      <c r="A6" t="s">
        <v>8393</v>
      </c>
      <c r="B6" s="21" t="e">
        <f>_xlfn.QUARTILE.EXC(#REF!, 1)</f>
        <v>#REF!</v>
      </c>
      <c r="C6" s="21" t="e">
        <f>_xlfn.QUARTILE.EXC(#REF!, 1)</f>
        <v>#REF!</v>
      </c>
    </row>
    <row r="7" spans="1:3" x14ac:dyDescent="0.35">
      <c r="A7" t="s">
        <v>8394</v>
      </c>
      <c r="B7" s="21" t="e">
        <f>B5-B6</f>
        <v>#REF!</v>
      </c>
      <c r="C7" s="21" t="e">
        <f>C5-C6</f>
        <v>#REF!</v>
      </c>
    </row>
    <row r="8" spans="1:3" x14ac:dyDescent="0.35">
      <c r="B8" s="21"/>
      <c r="C8" s="21"/>
    </row>
    <row r="9" spans="1:3" x14ac:dyDescent="0.35">
      <c r="A9" t="s">
        <v>8387</v>
      </c>
      <c r="B9" s="21" t="e">
        <f>AVERAGE(#REF!)</f>
        <v>#REF!</v>
      </c>
      <c r="C9" s="21" t="e">
        <f>AVERAGE(#REF!)</f>
        <v>#REF!</v>
      </c>
    </row>
    <row r="10" spans="1:3" x14ac:dyDescent="0.35">
      <c r="A10" t="s">
        <v>8388</v>
      </c>
      <c r="B10" s="21" t="e">
        <f>MEDIAN(#REF!)</f>
        <v>#REF!</v>
      </c>
      <c r="C10" s="21" t="e">
        <f>MEDIAN(#REF!)</f>
        <v>#REF!</v>
      </c>
    </row>
    <row r="11" spans="1:3" x14ac:dyDescent="0.35">
      <c r="A11" t="s">
        <v>8395</v>
      </c>
      <c r="B11" s="21" t="e">
        <f>_xlfn.STDEV.P(#REF!)</f>
        <v>#REF!</v>
      </c>
      <c r="C11" s="21" t="e">
        <f>_xlfn.STDEV.P(#REF!)</f>
        <v>#REF!</v>
      </c>
    </row>
    <row r="12" spans="1:3" x14ac:dyDescent="0.35">
      <c r="A12" t="s">
        <v>8396</v>
      </c>
      <c r="B12" s="21" t="e">
        <f>_xlfn.QUARTILE.EXC(#REF!, 3)</f>
        <v>#REF!</v>
      </c>
      <c r="C12" s="21" t="e">
        <f>_xlfn.QUARTILE.EXC(#REF!, 3)</f>
        <v>#REF!</v>
      </c>
    </row>
    <row r="13" spans="1:3" x14ac:dyDescent="0.35">
      <c r="A13" t="s">
        <v>8397</v>
      </c>
      <c r="B13" s="21" t="e">
        <f>_xlfn.QUARTILE.EXC(#REF!, 1)</f>
        <v>#REF!</v>
      </c>
      <c r="C13" s="21" t="e">
        <f>_xlfn.QUARTILE.EXC(#REF!, 1)</f>
        <v>#REF!</v>
      </c>
    </row>
    <row r="14" spans="1:3" x14ac:dyDescent="0.35">
      <c r="A14" t="s">
        <v>8398</v>
      </c>
      <c r="B14" s="21" t="e">
        <f>B12-B13</f>
        <v>#REF!</v>
      </c>
      <c r="C14" s="21" t="e">
        <f>C12-C13</f>
        <v>#REF!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E9E0F-E595-489F-AB22-C6F2EDB050FA}">
  <sheetPr codeName="Sheet9"/>
  <dimension ref="A1:E18"/>
  <sheetViews>
    <sheetView workbookViewId="0">
      <selection activeCell="E11" sqref="E11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6" width="10.7265625" bestFit="1" customWidth="1"/>
  </cols>
  <sheetData>
    <row r="1" spans="1:5" x14ac:dyDescent="0.35">
      <c r="A1" s="12" t="s">
        <v>8358</v>
      </c>
      <c r="B1" t="s">
        <v>8315</v>
      </c>
    </row>
    <row r="2" spans="1:5" x14ac:dyDescent="0.35">
      <c r="A2" s="12" t="s">
        <v>8379</v>
      </c>
      <c r="B2" t="s">
        <v>8364</v>
      </c>
    </row>
    <row r="4" spans="1:5" x14ac:dyDescent="0.35">
      <c r="A4" s="12" t="s">
        <v>8362</v>
      </c>
      <c r="B4" s="12" t="s">
        <v>8360</v>
      </c>
    </row>
    <row r="5" spans="1:5" x14ac:dyDescent="0.35">
      <c r="A5" s="12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7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5">
      <c r="A7" s="17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5">
      <c r="A8" s="17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5">
      <c r="A9" s="17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5">
      <c r="A10" s="17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5">
      <c r="A11" s="17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5">
      <c r="A12" s="17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5">
      <c r="A13" s="17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5">
      <c r="A14" s="17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5">
      <c r="A15" s="17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35">
      <c r="A16" s="17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5">
      <c r="A17" s="17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5">
      <c r="A18" s="17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D8931-D8C2-44A4-9E17-A4EB44ADA8B1}">
  <sheetPr codeName="Sheet10"/>
  <dimension ref="A1:H13"/>
  <sheetViews>
    <sheetView zoomScale="90" zoomScaleNormal="90" workbookViewId="0">
      <selection activeCell="F19" sqref="F19"/>
    </sheetView>
  </sheetViews>
  <sheetFormatPr defaultRowHeight="14.5" x14ac:dyDescent="0.35"/>
  <cols>
    <col min="1" max="1" width="17.90625" customWidth="1"/>
    <col min="2" max="2" width="17.26953125" customWidth="1"/>
    <col min="3" max="3" width="13.6328125" bestFit="1" customWidth="1"/>
    <col min="4" max="4" width="16.1796875" bestFit="1" customWidth="1"/>
    <col min="5" max="5" width="12.54296875" bestFit="1" customWidth="1"/>
    <col min="6" max="6" width="19.90625" style="22" bestFit="1" customWidth="1"/>
    <col min="7" max="7" width="16.1796875" bestFit="1" customWidth="1"/>
    <col min="8" max="8" width="18.90625" bestFit="1" customWidth="1"/>
  </cols>
  <sheetData>
    <row r="1" spans="1:8" x14ac:dyDescent="0.35">
      <c r="A1" t="s">
        <v>8382</v>
      </c>
      <c r="B1" t="s">
        <v>8399</v>
      </c>
      <c r="C1" t="s">
        <v>8400</v>
      </c>
      <c r="D1" t="s">
        <v>8401</v>
      </c>
      <c r="E1" t="s">
        <v>8402</v>
      </c>
      <c r="F1" s="22" t="s">
        <v>8403</v>
      </c>
      <c r="G1" t="s">
        <v>8404</v>
      </c>
      <c r="H1" t="s">
        <v>8405</v>
      </c>
    </row>
    <row r="2" spans="1:8" x14ac:dyDescent="0.35">
      <c r="A2" t="s">
        <v>8406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SUM(B2:D2)</f>
        <v>186</v>
      </c>
      <c r="F2" s="22">
        <f>B2/E2*100</f>
        <v>75.806451612903231</v>
      </c>
      <c r="G2" s="22">
        <f>C2/E2*100</f>
        <v>24.193548387096776</v>
      </c>
      <c r="H2">
        <f>D2/E2*100</f>
        <v>0</v>
      </c>
    </row>
    <row r="3" spans="1:8" x14ac:dyDescent="0.35">
      <c r="A3" t="s">
        <v>8407</v>
      </c>
      <c r="B3">
        <f>COUNTIFS(Kickstarter!$D:$D, "&gt;=1000", Kickstarter!$F:$F, "Successful", Kickstarter!$D:$D, "&lt;=4999", Kickstarter!$R:$R, "Plays")</f>
        <v>388</v>
      </c>
      <c r="C3">
        <f>COUNTIFS(Kickstarter!$D:$D, "&gt;=1000", Kickstarter!$F:$F, "Failed", Kickstarter!$D:$D, "&lt;=4999", Kickstarter!$R:$R, "Plays")</f>
        <v>146</v>
      </c>
      <c r="D3">
        <f>COUNTIFS(Kickstarter!$D:$D, "&gt;=1000", Kickstarter!$F:$F, "Canceled", Kickstarter!$D:$D, "&lt;=4999", Kickstarter!$R:$R, "Plays")</f>
        <v>0</v>
      </c>
      <c r="E3">
        <f t="shared" ref="E3:E13" si="0">SUM(B3:D3)</f>
        <v>534</v>
      </c>
      <c r="F3" s="22">
        <f t="shared" ref="F3:F13" si="1">B3/E3*100</f>
        <v>72.659176029962552</v>
      </c>
      <c r="G3" s="22">
        <f t="shared" ref="G3:G13" si="2">C3/E3*100</f>
        <v>27.340823970037455</v>
      </c>
      <c r="H3">
        <f t="shared" ref="H3:H13" si="3">D3/E3*100</f>
        <v>0</v>
      </c>
    </row>
    <row r="4" spans="1:8" x14ac:dyDescent="0.35">
      <c r="A4" t="s">
        <v>8408</v>
      </c>
      <c r="B4">
        <f>COUNTIFS(Kickstarter!$D:$D, "&gt;=5000", Kickstarter!$F:$F, "Successful", Kickstarter!$D:$D, "&lt;=9999", Kickstarter!$R:$R, "Plays")</f>
        <v>93</v>
      </c>
      <c r="C4">
        <f>COUNTIFS(Kickstarter!$D:$D, "&gt;=5000", Kickstarter!$F:$F, "Failed", Kickstarter!$D:$D, "&lt;=9999", Kickstarter!$R:$R, "Plays")</f>
        <v>76</v>
      </c>
      <c r="D4">
        <f>COUNTIFS(Kickstarter!$D:$D, "&gt;=5000", Kickstarter!$F:$F, "Canceled", Kickstarter!$D:$D, "&lt;=9999", Kickstarter!$R:$R, "Plays")</f>
        <v>0</v>
      </c>
      <c r="E4">
        <f t="shared" si="0"/>
        <v>169</v>
      </c>
      <c r="F4" s="22">
        <f t="shared" si="1"/>
        <v>55.029585798816569</v>
      </c>
      <c r="G4" s="22">
        <f t="shared" si="2"/>
        <v>44.970414201183431</v>
      </c>
      <c r="H4">
        <f t="shared" si="3"/>
        <v>0</v>
      </c>
    </row>
    <row r="5" spans="1:8" x14ac:dyDescent="0.35">
      <c r="A5" t="s">
        <v>8409</v>
      </c>
      <c r="B5">
        <f>COUNTIFS(Kickstarter!$D:$D, "&gt;=10000", Kickstarter!$F:$F, "Successful", Kickstarter!$D:$D, "&lt;=14999", Kickstarter!$R:$R, "Plays")</f>
        <v>39</v>
      </c>
      <c r="C5">
        <f>COUNTIFS(Kickstarter!$D:$D, "&gt;=10000", Kickstarter!$F:$F, "Failed", Kickstarter!$D:$D, "&lt;=14999", Kickstarter!$R:$R, "Plays")</f>
        <v>33</v>
      </c>
      <c r="D5">
        <f>COUNTIFS(Kickstarter!$D:$D, "&gt;=10000", Kickstarter!$F:$F, "Canceled", Kickstarter!$D:$D, "&lt;=14999", Kickstarter!$R:$R, "Plays")</f>
        <v>0</v>
      </c>
      <c r="E5">
        <f t="shared" si="0"/>
        <v>72</v>
      </c>
      <c r="F5" s="22">
        <f t="shared" si="1"/>
        <v>54.166666666666664</v>
      </c>
      <c r="G5" s="22">
        <f t="shared" si="2"/>
        <v>45.833333333333329</v>
      </c>
      <c r="H5">
        <f t="shared" si="3"/>
        <v>0</v>
      </c>
    </row>
    <row r="6" spans="1:8" x14ac:dyDescent="0.35">
      <c r="A6" t="s">
        <v>8410</v>
      </c>
      <c r="B6">
        <f>COUNTIFS(Kickstarter!$D:$D, "&gt;=15000", Kickstarter!$F:$F, "Successful", Kickstarter!$D:$D, "&lt;=19999", Kickstarter!$R:$R, "Plays")</f>
        <v>12</v>
      </c>
      <c r="C6">
        <f>COUNTIFS(Kickstarter!$D:$D, "&gt;=15000", Kickstarter!$F:$F, "Failed", Kickstarter!$D:$D, "&lt;=19999", Kickstarter!$R:$R, "Plays")</f>
        <v>12</v>
      </c>
      <c r="D6">
        <f>COUNTIFS(Kickstarter!$D:$D, "&gt;=15000", Kickstarter!$F:$F, "Canceled", Kickstarter!$D:$D, "&lt;=19999", Kickstarter!$R:$R, "Plays")</f>
        <v>0</v>
      </c>
      <c r="E6">
        <f t="shared" si="0"/>
        <v>24</v>
      </c>
      <c r="F6" s="22">
        <f t="shared" si="1"/>
        <v>50</v>
      </c>
      <c r="G6" s="22">
        <f t="shared" si="2"/>
        <v>50</v>
      </c>
      <c r="H6">
        <f t="shared" si="3"/>
        <v>0</v>
      </c>
    </row>
    <row r="7" spans="1:8" x14ac:dyDescent="0.35">
      <c r="A7" t="s">
        <v>8411</v>
      </c>
      <c r="B7">
        <f>COUNTIFS(Kickstarter!$D:$D, "&gt;=20000", Kickstarter!$F:$F, "Successful", Kickstarter!$D:$D, "&lt;=24999", Kickstarter!$R:$R, "Plays")</f>
        <v>9</v>
      </c>
      <c r="C7">
        <f>COUNTIFS(Kickstarter!$D:$D, "&gt;=20000", Kickstarter!$F:$F, "Failed", Kickstarter!$D:$D, "&lt;=24999", Kickstarter!$R:$R, "Plays")</f>
        <v>11</v>
      </c>
      <c r="D7">
        <f>COUNTIFS(Kickstarter!$D:$D, "&gt;=20000", Kickstarter!$F:$F, "Canceled", Kickstarter!$D:$D, "&lt;=24999", Kickstarter!$R:$R, "Plays")</f>
        <v>0</v>
      </c>
      <c r="E7">
        <f t="shared" si="0"/>
        <v>20</v>
      </c>
      <c r="F7" s="22">
        <f t="shared" si="1"/>
        <v>45</v>
      </c>
      <c r="G7" s="22">
        <f t="shared" si="2"/>
        <v>55.000000000000007</v>
      </c>
      <c r="H7">
        <f t="shared" si="3"/>
        <v>0</v>
      </c>
    </row>
    <row r="8" spans="1:8" x14ac:dyDescent="0.35">
      <c r="A8" t="s">
        <v>8412</v>
      </c>
      <c r="B8">
        <f>COUNTIFS(Kickstarter!$D:$D, "&gt;=25000", Kickstarter!$F:$F, "Successful", Kickstarter!$D:$D, "&lt;29999", Kickstarter!$R:$R, "Plays")</f>
        <v>1</v>
      </c>
      <c r="C8">
        <f>COUNTIFS(Kickstarter!$D:$D, "&gt;=25000", Kickstarter!$F:$F, "Failed", Kickstarter!$D:$D, "&lt;29999", Kickstarter!$R:$R, "Plays")</f>
        <v>4</v>
      </c>
      <c r="D8">
        <f>COUNTIFS(Kickstarter!$D:$D, "&gt;=25000", Kickstarter!$F:$F, "Canceled", Kickstarter!$D:$D, "&lt;29999", Kickstarter!$R:$R, "Plays")</f>
        <v>0</v>
      </c>
      <c r="E8">
        <f t="shared" si="0"/>
        <v>5</v>
      </c>
      <c r="F8" s="22">
        <f t="shared" si="1"/>
        <v>20</v>
      </c>
      <c r="G8" s="22">
        <f t="shared" si="2"/>
        <v>80</v>
      </c>
      <c r="H8">
        <f t="shared" si="3"/>
        <v>0</v>
      </c>
    </row>
    <row r="9" spans="1:8" x14ac:dyDescent="0.35">
      <c r="A9" t="s">
        <v>8413</v>
      </c>
      <c r="B9">
        <f>COUNTIFS(Kickstarter!$D:$D, "&gt;=30000", Kickstarter!$F:$F, "Successful", Kickstarter!$D:$D, "&lt;=34999", Kickstarter!$R:$R, "Plays")</f>
        <v>3</v>
      </c>
      <c r="C9">
        <f>COUNTIFS(Kickstarter!$D:$D, "&gt;=30000", Kickstarter!$F:$F, "Failed", Kickstarter!$D:$D, "&lt;=34999", Kickstarter!$R:$R, "Plays")</f>
        <v>8</v>
      </c>
      <c r="D9">
        <f>COUNTIFS(Kickstarter!$D:$D, "&gt;=30000", Kickstarter!$F:$F, "Canceled", Kickstarter!$D:$D, "&lt;=34999", Kickstarter!$R:$R, "Plays")</f>
        <v>0</v>
      </c>
      <c r="E9">
        <f t="shared" si="0"/>
        <v>11</v>
      </c>
      <c r="F9" s="22">
        <f t="shared" si="1"/>
        <v>27.27272727272727</v>
      </c>
      <c r="G9" s="22">
        <f t="shared" si="2"/>
        <v>72.727272727272734</v>
      </c>
      <c r="H9">
        <f t="shared" si="3"/>
        <v>0</v>
      </c>
    </row>
    <row r="10" spans="1:8" x14ac:dyDescent="0.35">
      <c r="A10" t="s">
        <v>8414</v>
      </c>
      <c r="B10">
        <f>COUNTIFS(Kickstarter!$D:$D, "&gt;=35000", Kickstarter!$F:$F, "Successful", Kickstarter!$D:$D, "&lt;=39999", Kickstarter!$R:$R, "Plays")</f>
        <v>4</v>
      </c>
      <c r="C10">
        <f>COUNTIFS(Kickstarter!$D:$D, "&gt;=35000", Kickstarter!$F:$F, "Failed", Kickstarter!$D:$D, "&lt;=39999", Kickstarter!$R:$R, "Plays")</f>
        <v>2</v>
      </c>
      <c r="D10">
        <f>COUNTIFS(Kickstarter!$D:$D, "&gt;=35000", Kickstarter!$F:$F, "Canceled", Kickstarter!$D:$D, "&lt;=39999", Kickstarter!$R:$R, "Plays")</f>
        <v>0</v>
      </c>
      <c r="E10">
        <f t="shared" si="0"/>
        <v>6</v>
      </c>
      <c r="F10" s="22">
        <f t="shared" si="1"/>
        <v>66.666666666666657</v>
      </c>
      <c r="G10" s="22">
        <f t="shared" si="2"/>
        <v>33.333333333333329</v>
      </c>
      <c r="H10">
        <f t="shared" si="3"/>
        <v>0</v>
      </c>
    </row>
    <row r="11" spans="1:8" x14ac:dyDescent="0.35">
      <c r="A11" t="s">
        <v>8415</v>
      </c>
      <c r="B11">
        <f>COUNTIFS(Kickstarter!$D:$D, "&gt;=40000", Kickstarter!$F:$F, "Successful", Kickstarter!$D:$D, "&lt;=44999", Kickstarter!$R:$R, "Plays")</f>
        <v>2</v>
      </c>
      <c r="C11">
        <f>COUNTIFS(Kickstarter!$D:$D, "&gt;=40000", Kickstarter!$F:$F, "Failed", Kickstarter!$D:$D, "&lt;=44999", Kickstarter!$R:$R, "Plays")</f>
        <v>1</v>
      </c>
      <c r="D11">
        <f>COUNTIFS(Kickstarter!$D:$D, "&gt;=40000", Kickstarter!$F:$F, "Canceled", Kickstarter!$D:$D, "&lt;=44999", Kickstarter!$R:$R, "Plays")</f>
        <v>0</v>
      </c>
      <c r="E11">
        <f t="shared" si="0"/>
        <v>3</v>
      </c>
      <c r="F11" s="22">
        <f t="shared" si="1"/>
        <v>66.666666666666657</v>
      </c>
      <c r="G11" s="22">
        <f t="shared" si="2"/>
        <v>33.333333333333329</v>
      </c>
      <c r="H11">
        <f t="shared" si="3"/>
        <v>0</v>
      </c>
    </row>
    <row r="12" spans="1:8" x14ac:dyDescent="0.35">
      <c r="A12" t="s">
        <v>8416</v>
      </c>
      <c r="B12">
        <f>COUNTIFS(Kickstarter!$D:$D, "&gt;=45000", Kickstarter!$F:$F, "Successful", Kickstarter!$D:$D, "&lt;=49999", Kickstarter!$R:$R, "Plays")</f>
        <v>0</v>
      </c>
      <c r="C12">
        <f>COUNTIFS(Kickstarter!$D:$D, "&gt;=45000", Kickstarter!$F:$F, "Failed", Kickstarter!$D:$D, "&lt;=49999", Kickstarter!$R:$R, "Plays")</f>
        <v>1</v>
      </c>
      <c r="D12">
        <f>COUNTIFS(Kickstarter!$D:$D, "&gt;=45000", Kickstarter!$F:$F, "Canceled", Kickstarter!$D:$D, "&lt;=49999", Kickstarter!$R:$R, "Plays")</f>
        <v>0</v>
      </c>
      <c r="E12">
        <f t="shared" si="0"/>
        <v>1</v>
      </c>
      <c r="F12" s="22">
        <f t="shared" si="1"/>
        <v>0</v>
      </c>
      <c r="G12" s="22">
        <f t="shared" si="2"/>
        <v>100</v>
      </c>
      <c r="H12">
        <f t="shared" si="3"/>
        <v>0</v>
      </c>
    </row>
    <row r="13" spans="1:8" x14ac:dyDescent="0.35">
      <c r="A13" t="s">
        <v>8417</v>
      </c>
      <c r="B13">
        <f>COUNTIFS(Kickstarter!$D:$D, "&gt;=50000", Kickstarter!$F:$F, "Successful", Kickstarter!$R:$R, "Plays")</f>
        <v>2</v>
      </c>
      <c r="C13">
        <f>COUNTIFS(Kickstarter!$D:$D, "&gt;=50000", Kickstarter!$F:$F, "Failed", Kickstarter!$R:$R, "Plays")</f>
        <v>14</v>
      </c>
      <c r="D13">
        <f>COUNTIFS(Kickstarter!$D:$D, "&gt;=50000", Kickstarter!$F:$F, "Canceled", Kickstarter!$R:$R, "Plays")</f>
        <v>0</v>
      </c>
      <c r="E13">
        <f t="shared" si="0"/>
        <v>16</v>
      </c>
      <c r="F13" s="22">
        <f t="shared" si="1"/>
        <v>12.5</v>
      </c>
      <c r="G13" s="22">
        <f t="shared" si="2"/>
        <v>87.5</v>
      </c>
      <c r="H13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Outcomes Based on Launch Date</vt:lpstr>
      <vt:lpstr>Edinburgh Research</vt:lpstr>
      <vt:lpstr>Descriptive Statistics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Angelina Macedo</cp:lastModifiedBy>
  <dcterms:created xsi:type="dcterms:W3CDTF">2017-04-20T15:17:24Z</dcterms:created>
  <dcterms:modified xsi:type="dcterms:W3CDTF">2022-09-05T22:49:15Z</dcterms:modified>
</cp:coreProperties>
</file>