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0" yWindow="0" windowWidth="7470" windowHeight="12285" firstSheet="3" activeTab="4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Rd Calculations" sheetId="9" r:id="rId6"/>
    <sheet name="Averaged Result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5" l="1"/>
  <c r="S18" i="5"/>
  <c r="S19" i="5"/>
  <c r="J4" i="9"/>
  <c r="J3" i="9"/>
  <c r="J2" i="9"/>
  <c r="I4" i="9"/>
  <c r="I3" i="9"/>
  <c r="I2" i="9"/>
  <c r="F4" i="9"/>
  <c r="F3" i="9"/>
  <c r="F2" i="9"/>
  <c r="D4" i="9"/>
  <c r="D3" i="9"/>
  <c r="D2" i="9"/>
  <c r="C4" i="9"/>
  <c r="C3" i="9"/>
  <c r="C2" i="9"/>
  <c r="B4" i="9"/>
  <c r="B3" i="9"/>
  <c r="B2" i="9"/>
  <c r="P2" i="8" l="1"/>
  <c r="C3" i="8" l="1"/>
  <c r="B3" i="8"/>
  <c r="B2" i="8"/>
  <c r="Q6" i="5"/>
  <c r="P4" i="8" l="1"/>
  <c r="P3" i="8"/>
  <c r="Q17" i="5" l="1"/>
  <c r="L7" i="8"/>
  <c r="L6" i="8"/>
  <c r="L5" i="8"/>
  <c r="L4" i="8"/>
  <c r="L3" i="8"/>
  <c r="L2" i="8"/>
  <c r="K2" i="8"/>
  <c r="K7" i="8"/>
  <c r="K6" i="8"/>
  <c r="K5" i="8"/>
  <c r="J5" i="8"/>
  <c r="K4" i="8"/>
  <c r="K3" i="8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" i="5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T5" i="5" l="1"/>
  <c r="F3" i="8"/>
  <c r="W10" i="5"/>
  <c r="F4" i="8"/>
  <c r="U10" i="5"/>
  <c r="F6" i="8"/>
  <c r="F2" i="8"/>
  <c r="F5" i="8"/>
  <c r="G18" i="2"/>
  <c r="J18" i="5" s="1"/>
  <c r="R18" i="5" s="1"/>
  <c r="I18" i="5"/>
  <c r="Q18" i="5" s="1"/>
  <c r="G10" i="2"/>
  <c r="J10" i="5" s="1"/>
  <c r="R10" i="5" s="1"/>
  <c r="G19" i="2"/>
  <c r="J19" i="5" s="1"/>
  <c r="I19" i="5"/>
  <c r="Q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R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I12" i="5"/>
  <c r="Q12" i="5" s="1"/>
  <c r="U12" i="5" s="1"/>
  <c r="I11" i="5"/>
  <c r="Q11" i="5" s="1"/>
  <c r="W11" i="5" s="1"/>
  <c r="F2" i="2"/>
  <c r="G2" i="2" s="1"/>
  <c r="J2" i="5" s="1"/>
  <c r="T18" i="5" l="1"/>
  <c r="U18" i="5"/>
  <c r="H3" i="9" s="1"/>
  <c r="K3" i="9" s="1"/>
  <c r="H3" i="8"/>
  <c r="G3" i="8"/>
  <c r="R17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B6" i="8"/>
  <c r="C6" i="8"/>
  <c r="U8" i="5"/>
  <c r="W8" i="5"/>
  <c r="U16" i="5"/>
  <c r="U19" i="5" s="1"/>
  <c r="H4" i="9" s="1"/>
  <c r="K4" i="9" s="1"/>
  <c r="W9" i="5"/>
  <c r="W19" i="5"/>
  <c r="W18" i="5"/>
  <c r="U7" i="5"/>
  <c r="W14" i="5"/>
  <c r="C5" i="8"/>
  <c r="B5" i="8"/>
  <c r="U11" i="5"/>
  <c r="U14" i="5"/>
  <c r="W17" i="5" s="1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E3" i="8" l="1"/>
  <c r="D3" i="8"/>
  <c r="T19" i="5"/>
  <c r="T17" i="5"/>
  <c r="F7" i="8"/>
  <c r="U17" i="5"/>
  <c r="H5" i="8"/>
  <c r="G6" i="8"/>
  <c r="H6" i="8"/>
  <c r="G4" i="8"/>
  <c r="H4" i="8"/>
  <c r="G7" i="8"/>
  <c r="H7" i="8"/>
  <c r="C2" i="8"/>
  <c r="U2" i="5"/>
  <c r="W2" i="5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D7" i="8" l="1"/>
  <c r="H2" i="9"/>
  <c r="K2" i="9" s="1"/>
  <c r="E7" i="8"/>
  <c r="G2" i="8"/>
  <c r="H2" i="8"/>
  <c r="E2" i="8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<sst xmlns="http://schemas.openxmlformats.org/spreadsheetml/2006/main" count="354" uniqueCount="165">
  <si>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</si>
  <si>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</si>
  <si>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</si>
  <si>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</si>
  <si>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</si>
  <si>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</si>
  <si>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</si>
  <si>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</si>
  <si>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</si>
  <si>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</si>
  <si>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</si>
  <si>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</si>
  <si>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</si>
  <si>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</si>
  <si>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</si>
  <si>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</si>
  <si>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</si>
  <si>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</si>
  <si>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</si>
  <si>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</si>
  <si>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</si>
  <si>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</si>
  <si>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</si>
  <si>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</si>
  <si>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</si>
  <si>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</si>
  <si>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</si>
  <si>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</si>
  <si>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</si>
  <si>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</si>
  <si>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</si>
  <si>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</si>
  <si>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</si>
  <si>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</si>
  <si>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</si>
  <si>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</si>
  <si>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</si>
  <si>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</si>
  <si>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</si>
  <si>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</si>
  <si>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</si>
  <si>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</si>
  <si>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</si>
  <si>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</si>
  <si>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</si>
  <si>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</si>
  <si>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</si>
  <si>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</si>
  <si>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</si>
  <si>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</si>
  <si>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</si>
  <si>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</si>
  <si>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</si>
  <si>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</si>
  <si>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</si>
  <si>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</si>
  <si>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</si>
  <si>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</si>
  <si>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</si>
  <si>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</si>
  <si>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</si>
  <si>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</si>
  <si>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</si>
  <si>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</si>
  <si>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</si>
  <si>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</si>
  <si>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</si>
  <si>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</si>
  <si>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</si>
  <si>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</si>
  <si>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</si>
  <si>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</si>
  <si>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</si>
  <si>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</si>
  <si>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</si>
  <si>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</si>
  <si>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</si>
  <si>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</si>
  <si>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</si>
  <si>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</si>
  <si>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</si>
  <si>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</si>
  <si>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</si>
  <si>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</si>
  <si>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</si>
  <si>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</si>
  <si>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</si>
  <si>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</si>
  <si>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</si>
  <si>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</si>
  <si>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</si>
  <si>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</si>
  <si>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</si>
  <si>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</si>
  <si>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</si>
  <si>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</si>
  <si>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</si>
  <si>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</si>
  <si>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</si>
  <si>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</si>
  <si>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</si>
  <si>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</si>
  <si>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</si>
  <si>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</si>
  <si>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</si>
  <si>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</si>
  <si>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</si>
  <si>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</si>
  <si>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</si>
  <si>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</si>
  <si>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</si>
  <si>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</si>
  <si>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</si>
  <si>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</si>
  <si>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</si>
  <si>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</si>
  <si>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</si>
  <si>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</si>
  <si>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</si>
  <si>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</si>
  <si>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</si>
  <si>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</si>
  <si>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</si>
  <si>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</si>
  <si>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</si>
  <si>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</si>
  <si>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</si>
  <si>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</si>
  <si>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</si>
  <si>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</si>
  <si>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</si>
  <si>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</si>
  <si>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</si>
  <si>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</si>
  <si>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</si>
  <si>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</t>
  </si>
  <si>
    <t>Experiment Length (min)</t>
  </si>
  <si>
    <t>T1</t>
  </si>
  <si>
    <t>T2</t>
  </si>
  <si>
    <t>T3</t>
  </si>
  <si>
    <t>T4</t>
  </si>
  <si>
    <t>T5</t>
  </si>
  <si>
    <t>Desorb</t>
  </si>
  <si>
    <t>Mass (g)</t>
  </si>
  <si>
    <t>Kd</t>
  </si>
  <si>
    <t>Vol removed</t>
  </si>
  <si>
    <t>Expected starting activity</t>
  </si>
  <si>
    <t>Bq</t>
  </si>
  <si>
    <t>ml</t>
  </si>
  <si>
    <t>Desorb solution</t>
  </si>
  <si>
    <t>Total water</t>
  </si>
  <si>
    <t>Rd</t>
  </si>
  <si>
    <t>Bottle</t>
  </si>
  <si>
    <t>A</t>
  </si>
  <si>
    <t>C</t>
  </si>
  <si>
    <t>B</t>
  </si>
  <si>
    <t>Vol Left on Solid</t>
  </si>
  <si>
    <t>Ra Free (Desorb)</t>
  </si>
  <si>
    <t>Ra Free Adsorb</t>
  </si>
  <si>
    <t>Exp. Vol (Desorb)</t>
  </si>
  <si>
    <t>Ra sorbed (Bq/g)</t>
  </si>
  <si>
    <t>Ra sorbed (Desorption expt)</t>
  </si>
  <si>
    <t>Rd by Sajih</t>
  </si>
  <si>
    <t>Kd adsorb</t>
  </si>
  <si>
    <t>Kd desorb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</si>
</sst>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0.4739107033915938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27784"/>
        <c:axId val="195127000"/>
      </c:scatterChart>
      <c:valAx>
        <c:axId val="19512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7000"/>
        <c:crosses val="autoZero"/>
        <c:crossBetween val="midCat"/>
      </c:valAx>
      <c:valAx>
        <c:axId val="19512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9</xdr:row>
      <xdr:rowOff>114300</xdr:rowOff>
    </xdr:from>
    <xdr:to>
      <xdr:col>9</xdr:col>
      <xdr:colOff>152400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v>1407</v>
      </c>
      <c r="C6" s="23">
        <v>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22" sqref="H22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S17" sqref="S17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5" width="14.85546875" bestFit="1" customWidth="1"/>
    <col min="26" max="26" width="23.42578125" bestFit="1" customWidth="1"/>
  </cols>
  <sheetData>
    <row r="1" spans="1:27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136</v>
      </c>
      <c r="AA1" t="s">
        <v>151</v>
      </c>
    </row>
    <row r="2" spans="1:27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489.63599999999997</v>
      </c>
      <c r="T2">
        <f>SQRT((C2/B2)^2+(Parameters!$C$6/Parameters!$B$6)^2)*'Bottle Results'!S2</f>
        <v>21.758730937258267</v>
      </c>
      <c r="U2">
        <f t="shared" ref="U2:U19" si="0">(S2-Q2*G2)/E2</f>
        <v>14858.761595966056</v>
      </c>
      <c r="W2">
        <f t="shared" ref="W2:W19" si="1">(S2-Q2*G2)/S2</f>
        <v>0.89825777361263326</v>
      </c>
      <c r="X2" s="24">
        <v>42504.5625</v>
      </c>
      <c r="Y2" s="24">
        <v>42504.68472222222</v>
      </c>
      <c r="Z2" s="26">
        <f>Y2-X2</f>
        <v>0.12222222222044365</v>
      </c>
    </row>
    <row r="3" spans="1:27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489.63599999999997</v>
      </c>
      <c r="T3">
        <f>SQRT((C3/B3)^2+(Parameters!$C$6/Parameters!$B$6)^2)*'Bottle Results'!S3</f>
        <v>21.758730937258267</v>
      </c>
      <c r="U3">
        <f t="shared" si="0"/>
        <v>14767.242199310032</v>
      </c>
      <c r="W3">
        <f t="shared" si="1"/>
        <v>0.89875707166025165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7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489.63599999999997</v>
      </c>
      <c r="T4">
        <f>SQRT((C4/B4)^2+(Parameters!$C$6/Parameters!$B$6)^2)*'Bottle Results'!S4</f>
        <v>21.758730937258267</v>
      </c>
      <c r="U4">
        <f t="shared" si="0"/>
        <v>14904.865563174402</v>
      </c>
      <c r="W4">
        <f t="shared" si="1"/>
        <v>0.90104490002769877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7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489.63599999999997</v>
      </c>
      <c r="T5">
        <f>SQRT((C5/B5)^2+(Parameters!$C$6/Parameters!$B$6)^2)*'Bottle Results'!S5</f>
        <v>21.758730937258267</v>
      </c>
      <c r="U5">
        <f t="shared" si="0"/>
        <v>14543.17156938219</v>
      </c>
      <c r="W5">
        <f t="shared" si="1"/>
        <v>0.9059111929395649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7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489.63599999999997</v>
      </c>
      <c r="T6">
        <f>SQRT((C6/B6)^2+(Parameters!$C$6/Parameters!$B$6)^2)*'Bottle Results'!S6</f>
        <v>21.758730937258267</v>
      </c>
      <c r="U6">
        <f t="shared" si="0"/>
        <v>5774.2495999596022</v>
      </c>
      <c r="W6">
        <f t="shared" si="1"/>
        <v>0.36322265454083397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7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489.63599999999997</v>
      </c>
      <c r="T7">
        <f>SQRT((C7/B7)^2+(Parameters!$C$6/Parameters!$B$6)^2)*'Bottle Results'!S7</f>
        <v>21.758730937258267</v>
      </c>
      <c r="U7">
        <f t="shared" si="0"/>
        <v>14697.437548517481</v>
      </c>
      <c r="W7">
        <f t="shared" si="1"/>
        <v>0.90051206703658315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7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489.63599999999997</v>
      </c>
      <c r="T8">
        <f>SQRT((C8/B8)^2+(Parameters!$C$6/Parameters!$B$6)^2)*'Bottle Results'!S8</f>
        <v>21.758730937258267</v>
      </c>
      <c r="U8">
        <f t="shared" si="0"/>
        <v>14602.533697329885</v>
      </c>
      <c r="W8">
        <f t="shared" si="1"/>
        <v>0.90662660506749615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7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489.63599999999997</v>
      </c>
      <c r="T9">
        <f>SQRT((C9/B9)^2+(Parameters!$C$6/Parameters!$B$6)^2)*'Bottle Results'!S9</f>
        <v>21.758730937258267</v>
      </c>
      <c r="U9">
        <f t="shared" si="0"/>
        <v>14958.096324390041</v>
      </c>
      <c r="W9">
        <f t="shared" si="1"/>
        <v>0.8950980367142698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7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489.63599999999997</v>
      </c>
      <c r="T10">
        <f>SQRT((C10/B10)^2+(Parameters!$C$6/Parameters!$B$6)^2)*'Bottle Results'!S10</f>
        <v>21.758730937258267</v>
      </c>
      <c r="U10">
        <f t="shared" si="0"/>
        <v>14732.619760047182</v>
      </c>
      <c r="W10">
        <f t="shared" si="1"/>
        <v>0.89965878902983187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7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489.63599999999997</v>
      </c>
      <c r="T11">
        <f>SQRT((C11/B11)^2+(Parameters!$C$6/Parameters!$B$6)^2)*'Bottle Results'!S11</f>
        <v>21.758730937258267</v>
      </c>
      <c r="U11">
        <f t="shared" si="0"/>
        <v>14563.726880799226</v>
      </c>
      <c r="W11">
        <f t="shared" si="1"/>
        <v>0.86555002538877346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7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489.63599999999997</v>
      </c>
      <c r="T12">
        <f>SQRT((C12/B12)^2+(Parameters!$C$6/Parameters!$B$6)^2)*'Bottle Results'!S12</f>
        <v>21.758730937258267</v>
      </c>
      <c r="U12">
        <f t="shared" si="0"/>
        <v>14440.0771040734</v>
      </c>
      <c r="W12">
        <f t="shared" si="1"/>
        <v>0.90243846323523191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7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489.63599999999997</v>
      </c>
      <c r="T13">
        <f>SQRT((C13/B13)^2+(Parameters!$C$6/Parameters!$B$6)^2)*'Bottle Results'!S13</f>
        <v>21.758730937258267</v>
      </c>
      <c r="U13">
        <f t="shared" si="0"/>
        <v>14993.848083563349</v>
      </c>
      <c r="W13">
        <f t="shared" si="1"/>
        <v>0.90029967906110353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7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489.63599999999997</v>
      </c>
      <c r="T14">
        <f>SQRT((C14/B14)^2+(Parameters!$C$6/Parameters!$B$6)^2)*'Bottle Results'!S14</f>
        <v>21.758730937258267</v>
      </c>
      <c r="U14">
        <f t="shared" si="0"/>
        <v>14473.988447231168</v>
      </c>
      <c r="W14">
        <f t="shared" si="1"/>
        <v>0.86317277050533481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7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489.63599999999997</v>
      </c>
      <c r="T15">
        <f>SQRT((C15/B15)^2+(Parameters!$C$6/Parameters!$B$6)^2)*'Bottle Results'!S15</f>
        <v>21.758730937258267</v>
      </c>
      <c r="U15">
        <f t="shared" si="0"/>
        <v>14402.973728865269</v>
      </c>
      <c r="W15">
        <f t="shared" si="1"/>
        <v>0.88247026743531531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7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489.63599999999997</v>
      </c>
      <c r="T16">
        <f>SQRT((C16/B16)^2+(Parameters!$C$6/Parameters!$B$6)^2)*'Bottle Results'!S16</f>
        <v>21.758730937258267</v>
      </c>
      <c r="U16">
        <f t="shared" si="0"/>
        <v>14423.530623311539</v>
      </c>
      <c r="W16">
        <f t="shared" si="1"/>
        <v>0.86310942672317414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422.6404626591501</v>
      </c>
      <c r="T17" t="e">
        <f>SQRT((C17/B17)^2+(Parameters!$C$6/Parameters!$B$6)^2)*'Bottle Results'!S17</f>
        <v>#DIV/0!</v>
      </c>
      <c r="U17">
        <f t="shared" si="0"/>
        <v>7325.5612834217945</v>
      </c>
      <c r="W17">
        <f t="shared" si="1"/>
        <v>0.5061190500551459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432.08921186595802</v>
      </c>
      <c r="T18" t="e">
        <f>SQRT((C18/B18)^2+(Parameters!$C$6/Parameters!$B$6)^2)*'Bottle Results'!S18</f>
        <v>#DIV/0!</v>
      </c>
      <c r="U18">
        <f t="shared" si="0"/>
        <v>6618.3373175134911</v>
      </c>
      <c r="W18">
        <f t="shared" si="1"/>
        <v>0.45951186484840684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422.60944726302807</v>
      </c>
      <c r="T19" t="e">
        <f>SQRT((C19/B19)^2+(Parameters!$C$6/Parameters!$B$6)^2)*'Bottle Results'!S19</f>
        <v>#DIV/0!</v>
      </c>
      <c r="U19">
        <f t="shared" si="0"/>
        <v>6764.9351207574828</v>
      </c>
      <c r="W19">
        <f t="shared" si="1"/>
        <v>0.46902074793143139</v>
      </c>
      <c r="X19" s="24">
        <v>42515.486111111109</v>
      </c>
      <c r="Y19" s="24">
        <v>42516.472916666666</v>
      </c>
      <c r="Z19" s="26">
        <f t="shared" si="4"/>
        <v>0.98680555555620231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J2"/>
    </sheetView>
  </sheetViews>
  <sheetFormatPr defaultRowHeight="15" x14ac:dyDescent="0.25"/>
  <cols>
    <col min="2" max="2" width="9.7109375" bestFit="1" customWidth="1"/>
    <col min="4" max="4" width="14.42578125" bestFit="1" customWidth="1"/>
    <col min="5" max="5" width="15.5703125" bestFit="1" customWidth="1"/>
    <col min="6" max="6" width="15.85546875" bestFit="1" customWidth="1"/>
    <col min="7" max="7" width="16.42578125" bestFit="1" customWidth="1"/>
    <col min="8" max="8" width="26.42578125" bestFit="1" customWidth="1"/>
  </cols>
  <sheetData>
    <row r="1" spans="1:11" x14ac:dyDescent="0.25">
      <c r="A1" t="s">
        <v>152</v>
      </c>
      <c r="B1" t="s">
        <v>160</v>
      </c>
      <c r="C1" t="s">
        <v>143</v>
      </c>
      <c r="D1" t="s">
        <v>158</v>
      </c>
      <c r="E1" t="s">
        <v>156</v>
      </c>
      <c r="F1" t="s">
        <v>157</v>
      </c>
      <c r="G1" t="s">
        <v>159</v>
      </c>
      <c r="H1" t="s">
        <v>161</v>
      </c>
      <c r="I1" t="s">
        <v>162</v>
      </c>
      <c r="J1" t="s">
        <v>163</v>
      </c>
      <c r="K1" t="s">
        <v>164</v>
      </c>
    </row>
    <row r="2" spans="1:11" x14ac:dyDescent="0.25">
      <c r="A2" t="s">
        <v>153</v>
      </c>
      <c r="B2">
        <f>'Bottle Results'!U14</f>
        <v>14473.988447231168</v>
      </c>
      <c r="C2">
        <f>'Bottle Results'!E14</f>
        <v>2.92E-2</v>
      </c>
      <c r="D2">
        <f>'Bottle Results'!Q14</f>
        <v>0.66995537340849842</v>
      </c>
      <c r="E2">
        <v>10</v>
      </c>
      <c r="F2">
        <f>'Bottle Results'!Q17</f>
        <v>2.0873407318323371</v>
      </c>
      <c r="G2">
        <v>100</v>
      </c>
      <c r="H2">
        <f>'Bottle Results'!U17</f>
        <v>7325.5612834217945</v>
      </c>
      <c r="I2">
        <f>(B2*C2+D2*E2-D2*G2)/F2*C2</f>
        <v>5.0688699870489149</v>
      </c>
      <c r="J2">
        <f>B2/D2</f>
        <v>21604.406833238132</v>
      </c>
      <c r="K2">
        <f>H2/F2</f>
        <v>3509.5186769010029</v>
      </c>
    </row>
    <row r="3" spans="1:11" x14ac:dyDescent="0.25">
      <c r="A3" t="s">
        <v>155</v>
      </c>
      <c r="B3">
        <f>'Bottle Results'!U15</f>
        <v>14402.973728865269</v>
      </c>
      <c r="C3">
        <f>'Bottle Results'!E15</f>
        <v>0.03</v>
      </c>
      <c r="D3">
        <f>'Bottle Results'!Q15</f>
        <v>0.57546788134041926</v>
      </c>
      <c r="E3">
        <v>10</v>
      </c>
      <c r="F3">
        <f>'Bottle Results'!Q18</f>
        <v>2.3353909234055328</v>
      </c>
      <c r="G3">
        <v>100</v>
      </c>
      <c r="H3">
        <f>'Bottle Results'!U18</f>
        <v>6618.3373175134911</v>
      </c>
      <c r="I3">
        <f>(B3*C3+D3*E3-D3*G3)/F3*C3</f>
        <v>4.8852262642704849</v>
      </c>
      <c r="J3">
        <f>B3/D3</f>
        <v>25028.284281160704</v>
      </c>
      <c r="K3">
        <f>H3/F3</f>
        <v>2833.9312494468572</v>
      </c>
    </row>
    <row r="4" spans="1:11" x14ac:dyDescent="0.25">
      <c r="A4" t="s">
        <v>154</v>
      </c>
      <c r="B4">
        <f>'Bottle Results'!U16</f>
        <v>14423.530623311539</v>
      </c>
      <c r="C4">
        <f>'Bottle Results'!E16</f>
        <v>2.93E-2</v>
      </c>
      <c r="D4">
        <f>'Bottle Results'!Q16</f>
        <v>0.67026552736971901</v>
      </c>
      <c r="E4">
        <v>10</v>
      </c>
      <c r="F4">
        <f>'Bottle Results'!Q19</f>
        <v>2.2439684822483383</v>
      </c>
      <c r="G4">
        <v>100</v>
      </c>
      <c r="H4">
        <f>'Bottle Results'!U19</f>
        <v>6764.9351207574828</v>
      </c>
      <c r="I4">
        <f>(B4*C4+D4*E4-D4*G4)/F4*C4</f>
        <v>4.7304437175058434</v>
      </c>
      <c r="J4">
        <f>B4/D4</f>
        <v>21519.1294111647</v>
      </c>
      <c r="K4">
        <f>H4/F4</f>
        <v>3014.7193128039721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P4" sqref="P4"/>
    </sheetView>
  </sheetViews>
  <sheetFormatPr defaultRowHeight="15" x14ac:dyDescent="0.25"/>
  <cols>
    <col min="11" max="11" width="18" bestFit="1" customWidth="1"/>
    <col min="15" max="15" width="23.5703125" bestFit="1" customWidth="1"/>
  </cols>
  <sheetData>
    <row r="1" spans="1:17" x14ac:dyDescent="0.25">
      <c r="A1" t="s">
        <v>15</v>
      </c>
      <c r="B1" t="s">
        <v>29</v>
      </c>
      <c r="C1" t="s">
        <v>107</v>
      </c>
      <c r="D1" t="s">
        <v>31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135</v>
      </c>
      <c r="L1" t="s">
        <v>143</v>
      </c>
      <c r="M1" t="s">
        <v>144</v>
      </c>
      <c r="O1" t="s">
        <v>145</v>
      </c>
      <c r="P1">
        <v>90</v>
      </c>
      <c r="Q1" t="s">
        <v>148</v>
      </c>
    </row>
    <row r="2" spans="1:17" x14ac:dyDescent="0.25">
      <c r="A2" t="s">
        <v>137</v>
      </c>
      <c r="B2">
        <f>AVERAGE('Bottle Results'!Q2:Q4)</f>
        <v>0.49280272850001111</v>
      </c>
      <c r="C2">
        <f>_xlfn.STDEV.S('Bottle Results'!Q2:Q4)</f>
        <v>7.2766375277932257E-3</v>
      </c>
      <c r="D2">
        <f>AVERAGE('Bottle Results'!U2:U4)</f>
        <v>14843.623119483498</v>
      </c>
      <c r="E2">
        <f>_xlfn.STDEV.S('Bottle Results'!U2:U4)</f>
        <v>70.049465900861307</v>
      </c>
      <c r="F2">
        <f>AVERAGE('Bottle Results'!S2:S4)</f>
        <v>489.63599999999997</v>
      </c>
      <c r="G2">
        <f>AVERAGE('Bottle Results'!W2:W4)</f>
        <v>0.89935324843352793</v>
      </c>
      <c r="H2">
        <f>_xlfn.STDEV.S('Bottle Results'!W2:W4)</f>
        <v>1.486132050705635E-3</v>
      </c>
      <c r="I2">
        <f>AVERAGE('Bottle Results'!D2:D4)</f>
        <v>7.0533333333333337</v>
      </c>
      <c r="J2">
        <f>_xlfn.STDEV.S('Bottle Results'!D2:D4)</f>
        <v>2.5166114784235766E-2</v>
      </c>
      <c r="K2" s="26">
        <f>AVERAGE('Bottle Results'!Z2:Z4)</f>
        <v>0.12175925926082225</v>
      </c>
      <c r="L2" s="1">
        <f>AVERAGE('Bottle Results'!E2:E4)</f>
        <v>2.9666666666666664E-2</v>
      </c>
      <c r="O2" t="s">
        <v>146</v>
      </c>
      <c r="P2">
        <f>B6*(100-P1)+D6*L6</f>
        <v>432.17380846790718</v>
      </c>
      <c r="Q2" t="s">
        <v>147</v>
      </c>
    </row>
    <row r="3" spans="1:17" x14ac:dyDescent="0.25">
      <c r="A3" t="s">
        <v>138</v>
      </c>
      <c r="B3">
        <f>AVERAGE('Bottle Results'!Q5,'Bottle Results'!Q7)</f>
        <v>0.4739107033915938</v>
      </c>
      <c r="C3">
        <f>_xlfn.STDEV.S('Bottle Results'!Q5,'Bottle Results'!Q7)</f>
        <v>1.8693120197463428E-2</v>
      </c>
      <c r="D3">
        <f>AVERAGE('Bottle Results'!U5,'Bottle Results'!U7)</f>
        <v>14620.304558949836</v>
      </c>
      <c r="E3">
        <f>_xlfn.STDEV.S('Bottle Results'!U5,'Bottle Results'!U7)</f>
        <v>109.08251995294656</v>
      </c>
      <c r="F3">
        <f>AVERAGE('Bottle Results'!S5,'Bottle Results'!S7)</f>
        <v>489.63599999999997</v>
      </c>
      <c r="G3">
        <f>AVERAGE('Bottle Results'!W5,'Bottle Results'!W7)</f>
        <v>0.90321162998807403</v>
      </c>
      <c r="H3">
        <f>_xlfn.STDEV.S('Bottle Results'!W5,'Bottle Results'!W7)</f>
        <v>3.8177585384783367E-3</v>
      </c>
      <c r="I3">
        <f>AVERAGE('Bottle Results'!D5:D7)</f>
        <v>6.9899999999999993</v>
      </c>
      <c r="J3">
        <f>_xlfn.STDEV.S('Bottle Results'!D5:D7)</f>
        <v>2.0000000000000018E-2</v>
      </c>
      <c r="K3" s="26">
        <f>AVERAGE('Bottle Results'!Z5:Z7)</f>
        <v>0.25995370370461995</v>
      </c>
      <c r="L3" s="1">
        <f>AVERAGE('Bottle Results'!E5:E7)</f>
        <v>3.043333333333333E-2</v>
      </c>
      <c r="O3" t="s">
        <v>149</v>
      </c>
      <c r="P3">
        <f>100</f>
        <v>100</v>
      </c>
    </row>
    <row r="4" spans="1:17" x14ac:dyDescent="0.25">
      <c r="A4" t="s">
        <v>139</v>
      </c>
      <c r="B4">
        <f>AVERAGE('Bottle Results'!Q8:Q10)</f>
        <v>0.48737807490377466</v>
      </c>
      <c r="C4">
        <f>_xlfn.STDEV.S('Bottle Results'!Q8:Q10)</f>
        <v>2.8428336036186521E-2</v>
      </c>
      <c r="D4">
        <f>AVERAGE('Bottle Results'!U8:U10)</f>
        <v>14764.416593922369</v>
      </c>
      <c r="E4">
        <f>_xlfn.STDEV.S('Bottle Results'!U8:U10)</f>
        <v>179.90129077870571</v>
      </c>
      <c r="F4">
        <f>AVERAGE('Bottle Results'!S8:S10)</f>
        <v>489.63599999999997</v>
      </c>
      <c r="G4">
        <f>AVERAGE('Bottle Results'!W8:W10)</f>
        <v>0.90046114360386598</v>
      </c>
      <c r="H4">
        <f>_xlfn.STDEV.S('Bottle Results'!W8:W10)</f>
        <v>5.8060142710475741E-3</v>
      </c>
      <c r="I4">
        <f>AVERAGE('Bottle Results'!D8:D10)</f>
        <v>7.0233333333333334</v>
      </c>
      <c r="J4">
        <f>_xlfn.STDEV.S('Bottle Results'!D8:D10)</f>
        <v>2.3094010767585053E-2</v>
      </c>
      <c r="K4" s="26">
        <f>AVERAGE('Bottle Results'!Z8:Z10)</f>
        <v>1.0004629629644721</v>
      </c>
      <c r="L4" s="1">
        <f>AVERAGE('Bottle Results'!E8:E10)</f>
        <v>2.9866666666666666E-2</v>
      </c>
      <c r="O4" t="s">
        <v>150</v>
      </c>
      <c r="P4">
        <f>P3*B7</f>
        <v>222.22333791620693</v>
      </c>
    </row>
    <row r="5" spans="1:17" x14ac:dyDescent="0.25">
      <c r="A5" t="s">
        <v>140</v>
      </c>
      <c r="B5">
        <f>AVERAGE('Bottle Results'!Q11:Q13)</f>
        <v>0.54139351575777994</v>
      </c>
      <c r="C5">
        <f>_xlfn.STDEV.S('Bottle Results'!Q11:Q13)</f>
        <v>0.10139268183274636</v>
      </c>
      <c r="D5">
        <f>AVERAGE('Bottle Results'!U11:U13)</f>
        <v>14665.88402281199</v>
      </c>
      <c r="E5">
        <f>_xlfn.STDEV.S('Bottle Results'!U11:U13)</f>
        <v>290.6761697825894</v>
      </c>
      <c r="F5">
        <f>AVERAGE('Bottle Results'!S11:S13)</f>
        <v>489.63599999999997</v>
      </c>
      <c r="G5">
        <f>AVERAGE('Bottle Results'!W11:W13)</f>
        <v>0.88942938922836967</v>
      </c>
      <c r="H5">
        <f>_xlfn.STDEV.S('Bottle Results'!W11:W13)</f>
        <v>2.0707766960098222E-2</v>
      </c>
      <c r="I5">
        <f>AVERAGE('Bottle Results'!D11:D13)</f>
        <v>6.996666666666667</v>
      </c>
      <c r="J5">
        <f>_xlfn.STDEV.S('Bottle Results'!D11:D13)</f>
        <v>2.0816659994660883E-2</v>
      </c>
      <c r="K5" s="26">
        <f>AVERAGE('Bottle Results'!Z11:Z13)</f>
        <v>10.796990740743544</v>
      </c>
      <c r="L5" s="1">
        <f>AVERAGE('Bottle Results'!E11:E13)</f>
        <v>2.9700000000000001E-2</v>
      </c>
    </row>
    <row r="6" spans="1:17" x14ac:dyDescent="0.25">
      <c r="A6" t="s">
        <v>141</v>
      </c>
      <c r="B6">
        <f>AVERAGE('Bottle Results'!Q14:Q16)</f>
        <v>0.6385629273728789</v>
      </c>
      <c r="C6">
        <f>_xlfn.STDEV.S('Bottle Results'!Q14:Q16)</f>
        <v>5.4642132775437717E-2</v>
      </c>
      <c r="D6">
        <f>AVERAGE('Bottle Results'!U14:U16)</f>
        <v>14433.497599802658</v>
      </c>
      <c r="E6">
        <f>_xlfn.STDEV.S('Bottle Results'!U14:U16)</f>
        <v>36.541456202892242</v>
      </c>
      <c r="F6">
        <f>AVERAGE('Bottle Results'!S14:S16)</f>
        <v>489.63599999999997</v>
      </c>
      <c r="G6">
        <f>AVERAGE('Bottle Results'!W14:W16)</f>
        <v>0.86958415488794139</v>
      </c>
      <c r="H6">
        <f>_xlfn.STDEV.S('Bottle Results'!W14:W16)</f>
        <v>1.1159745765310907E-2</v>
      </c>
      <c r="I6">
        <f>AVERAGE('Bottle Results'!D14:D16)</f>
        <v>6.9900000000000011</v>
      </c>
      <c r="J6">
        <f>_xlfn.STDEV.S('Bottle Results'!D14:D16)</f>
        <v>3.6055512754639987E-2</v>
      </c>
      <c r="K6" s="26">
        <f>AVERAGE('Bottle Results'!Z14:Z16)</f>
        <v>10.784953703706075</v>
      </c>
      <c r="L6" s="1">
        <f>AVERAGE('Bottle Results'!E14:E16)</f>
        <v>2.9499999999999998E-2</v>
      </c>
    </row>
    <row r="7" spans="1:17" x14ac:dyDescent="0.25">
      <c r="A7" t="s">
        <v>142</v>
      </c>
      <c r="B7">
        <f>AVERAGE('Bottle Results'!Q17:Q19)</f>
        <v>2.2222333791620694</v>
      </c>
      <c r="C7">
        <f>_xlfn.STDEV.S('Bottle Results'!Q17:Q19)</f>
        <v>0.12544534831751561</v>
      </c>
      <c r="D7">
        <f>AVERAGE('Bottle Results'!U17:U19)</f>
        <v>6902.9445738975892</v>
      </c>
      <c r="E7">
        <f>_xlfn.STDEV.S('Bottle Results'!U17:U19)</f>
        <v>373.26450588797047</v>
      </c>
      <c r="F7">
        <f>AVERAGE('Bottle Results'!S17:S19)</f>
        <v>425.77970726271207</v>
      </c>
      <c r="G7">
        <f>AVERAGE('Bottle Results'!W17:W19)</f>
        <v>0.47821722094499469</v>
      </c>
      <c r="H7">
        <f>_xlfn.STDEV.S('Bottle Results'!W17:W19)</f>
        <v>2.4626992612593157E-2</v>
      </c>
      <c r="I7">
        <f>AVERAGE('Bottle Results'!D17:D19)</f>
        <v>7</v>
      </c>
      <c r="J7">
        <f>_xlfn.STDEV.S('Bottle Results'!D17:D19)</f>
        <v>0</v>
      </c>
      <c r="K7" s="26">
        <f>AVERAGE('Bottle Results'!Z17:Z19)</f>
        <v>0.99027777777761605</v>
      </c>
      <c r="L7" s="1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Calibration Data</vt:lpstr>
      <vt:lpstr>Scintillation Counter Results</vt:lpstr>
      <vt:lpstr>Count-&gt;Actual Activity</vt:lpstr>
      <vt:lpstr>Bottle Results</vt:lpstr>
      <vt:lpstr>Rd Calculations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2017-05-01T20:01:33Z</dcterms:modified>
</cp:coreProperties>
</file>