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CaMont_pH7\"/>
    </mc:Choice>
  </mc:AlternateContent>
  <bookViews>
    <workbookView xWindow="0" yWindow="0" windowWidth="7470" windowHeight="12285" firstSheet="3" activeTab="4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Q2" i="5" l="1"/>
  <c r="F2" i="2"/>
  <c r="P4" i="8" l="1"/>
  <c r="P3" i="8" l="1"/>
  <c r="L5" i="8" l="1"/>
  <c r="L4" i="8"/>
  <c r="L3" i="8"/>
  <c r="L2" i="8"/>
  <c r="Z3" i="5"/>
  <c r="Z4" i="5"/>
  <c r="Z5" i="5"/>
  <c r="K3" i="8" s="1"/>
  <c r="Z6" i="5"/>
  <c r="Z7" i="5"/>
  <c r="Z8" i="5"/>
  <c r="K4" i="8" s="1"/>
  <c r="Z9" i="5"/>
  <c r="Z10" i="5"/>
  <c r="Z11" i="5"/>
  <c r="K5" i="8" s="1"/>
  <c r="Z12" i="5"/>
  <c r="Z13" i="5"/>
  <c r="Z2" i="5"/>
  <c r="K2" i="8" s="1"/>
  <c r="J5" i="8" l="1"/>
  <c r="J4" i="8"/>
  <c r="J3" i="8"/>
  <c r="I5" i="8"/>
  <c r="I4" i="8"/>
  <c r="I3" i="8"/>
  <c r="J2" i="8"/>
  <c r="I2" i="8"/>
  <c r="S3" i="5" l="1"/>
  <c r="T3" i="5" s="1"/>
  <c r="S4" i="5"/>
  <c r="T4" i="5" s="1"/>
  <c r="S5" i="5"/>
  <c r="S6" i="5"/>
  <c r="T6" i="5" s="1"/>
  <c r="S7" i="5"/>
  <c r="T7" i="5" s="1"/>
  <c r="S8" i="5"/>
  <c r="T8" i="5" s="1"/>
  <c r="S9" i="5"/>
  <c r="T9" i="5" s="1"/>
  <c r="S10" i="5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F13" i="2"/>
  <c r="T10" i="5" l="1"/>
  <c r="S11" i="5"/>
  <c r="S12" i="5" s="1"/>
  <c r="S13" i="5" s="1"/>
  <c r="T5" i="5"/>
  <c r="F3" i="8"/>
  <c r="W10" i="5"/>
  <c r="F4" i="8"/>
  <c r="U10" i="5"/>
  <c r="F2" i="8"/>
  <c r="G12" i="2"/>
  <c r="J12" i="5" s="1"/>
  <c r="I12" i="5"/>
  <c r="Q12" i="5" s="1"/>
  <c r="G10" i="2"/>
  <c r="J10" i="5" s="1"/>
  <c r="R10" i="5" s="1"/>
  <c r="G13" i="2"/>
  <c r="J13" i="5" s="1"/>
  <c r="I13" i="5"/>
  <c r="Q13" i="5" s="1"/>
  <c r="G3" i="2"/>
  <c r="J3" i="5" s="1"/>
  <c r="I3" i="5"/>
  <c r="Q3" i="5" s="1"/>
  <c r="U3" i="5" s="1"/>
  <c r="G9" i="2"/>
  <c r="J9" i="5" s="1"/>
  <c r="I9" i="5"/>
  <c r="Q9" i="5" s="1"/>
  <c r="U9" i="5" s="1"/>
  <c r="I8" i="5"/>
  <c r="Q8" i="5" s="1"/>
  <c r="G8" i="2"/>
  <c r="J8" i="5" s="1"/>
  <c r="G7" i="2"/>
  <c r="J7" i="5" s="1"/>
  <c r="I7" i="5"/>
  <c r="Q7" i="5" s="1"/>
  <c r="W7" i="5" s="1"/>
  <c r="G6" i="2"/>
  <c r="J6" i="5" s="1"/>
  <c r="I6" i="5"/>
  <c r="G5" i="2"/>
  <c r="J5" i="5" s="1"/>
  <c r="I5" i="5"/>
  <c r="Q5" i="5" s="1"/>
  <c r="I4" i="5"/>
  <c r="Q4" i="5" s="1"/>
  <c r="U4" i="5" s="1"/>
  <c r="G4" i="2"/>
  <c r="J4" i="5" s="1"/>
  <c r="R4" i="5" s="1"/>
  <c r="I11" i="5"/>
  <c r="Q11" i="5" s="1"/>
  <c r="G2" i="2"/>
  <c r="J2" i="5" s="1"/>
  <c r="R12" i="5" l="1"/>
  <c r="W5" i="5"/>
  <c r="C3" i="8"/>
  <c r="B3" i="8"/>
  <c r="Q6" i="5"/>
  <c r="U6" i="5" s="1"/>
  <c r="R8" i="5"/>
  <c r="U12" i="5"/>
  <c r="R11" i="5"/>
  <c r="R13" i="5"/>
  <c r="R5" i="5"/>
  <c r="R7" i="5"/>
  <c r="R9" i="5"/>
  <c r="R3" i="5"/>
  <c r="W4" i="5"/>
  <c r="U5" i="5"/>
  <c r="B5" i="8"/>
  <c r="C5" i="8"/>
  <c r="B4" i="8"/>
  <c r="C4" i="8"/>
  <c r="W3" i="5"/>
  <c r="W6" i="5"/>
  <c r="U8" i="5"/>
  <c r="W8" i="5"/>
  <c r="W9" i="5"/>
  <c r="W12" i="5"/>
  <c r="U7" i="5"/>
  <c r="U11" i="5"/>
  <c r="I2" i="5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W11" i="5" l="1"/>
  <c r="R6" i="5"/>
  <c r="U13" i="5"/>
  <c r="R2" i="5"/>
  <c r="B2" i="8"/>
  <c r="F5" i="8"/>
  <c r="W13" i="5"/>
  <c r="E3" i="8"/>
  <c r="D3" i="8"/>
  <c r="H3" i="8"/>
  <c r="G3" i="8"/>
  <c r="G4" i="8"/>
  <c r="H4" i="8"/>
  <c r="E5" i="8"/>
  <c r="D5" i="8"/>
  <c r="C2" i="8"/>
  <c r="U2" i="5"/>
  <c r="W2" i="5"/>
  <c r="G2" i="8" s="1"/>
  <c r="D4" i="8"/>
  <c r="P2" i="8" s="1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G5" i="8" l="1"/>
  <c r="H5" i="8"/>
  <c r="E2" i="8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<sst xmlns="http://schemas.openxmlformats.org/spreadsheetml/2006/main" count="301" uniqueCount="143">
  <si>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</si>
  <si>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</si>
  <si>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</si>
  <si>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</si>
  <si>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</si>
  <si>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</si>
  <si>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</si>
  <si>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</si>
  <si>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</si>
  <si>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</si>
  <si>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</si>
  <si>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</si>
  <si>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</si>
  <si>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</si>
  <si>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</si>
  <si>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</si>
  <si>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</si>
  <si>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</si>
  <si>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</si>
  <si>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</si>
  <si>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</si>
  <si>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</si>
  <si>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</si>
  <si>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</si>
  <si>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</si>
  <si>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</si>
  <si>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</si>
  <si>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</si>
  <si>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</si>
  <si>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</si>
  <si>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</si>
  <si>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</si>
  <si>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</si>
  <si>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</si>
  <si>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</si>
  <si>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</si>
  <si>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</si>
  <si>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</si>
  <si>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</si>
  <si>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</si>
  <si>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</si>
  <si>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</si>
  <si>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</si>
  <si>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</si>
  <si>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</si>
  <si>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</si>
  <si>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</si>
  <si>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</si>
  <si>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</si>
  <si>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</si>
  <si>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</si>
  <si>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</si>
  <si>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</si>
  <si>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</si>
  <si>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</si>
  <si>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</si>
  <si>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</si>
  <si>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</si>
  <si>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</si>
  <si>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</si>
  <si>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</si>
  <si>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</si>
  <si>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</si>
  <si>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</si>
  <si>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</si>
  <si>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</si>
  <si>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</si>
  <si>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</si>
  <si>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</si>
  <si>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</si>
  <si>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</si>
  <si>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</si>
  <si>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</si>
  <si>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</si>
  <si>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</si>
  <si>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</si>
  <si>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</si>
  <si>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</si>
  <si>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</si>
  <si>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</si>
  <si>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</si>
  <si>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</si>
  <si>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</si>
  <si>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</si>
  <si>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</si>
  <si>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</si>
  <si>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</si>
  <si>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</si>
  <si>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</si>
  <si>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</si>
  <si>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</si>
  <si>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</si>
  <si>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</si>
  <si>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</si>
  <si>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</si>
  <si>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</si>
  <si>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</si>
  <si>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</si>
  <si>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</si>
  <si>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</si>
  <si>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</si>
  <si>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</si>
  <si>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</si>
  <si>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</si>
  <si>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</si>
  <si>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</si>
  <si>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</si>
  <si>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</si>
  <si>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</si>
  <si>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</si>
  <si>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</si>
  <si>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</si>
  <si>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</si>
  <si>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</si>
  <si>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</si>
  <si>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</si>
  <si>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</si>
  <si>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</si>
  <si>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</si>
  <si>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</si>
  <si>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</si>
  <si>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</si>
  <si>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</si>
  <si>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</si>
  <si>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</si>
  <si>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</si>
  <si>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</si>
  <si>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</si>
  <si>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</si>
  <si>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</si>
  <si>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</si>
  <si>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</si>
  <si>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</si>
  <si>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</si>
  <si>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Desorb</t>
  </si>
  <si>
    <t>Mass (g)</t>
  </si>
  <si>
    <t>Kd</t>
  </si>
  <si>
    <t>Vol removed</t>
  </si>
  <si>
    <t>Expected starting activity</t>
  </si>
  <si>
    <t>Bq</t>
  </si>
  <si>
    <t>ml</t>
  </si>
  <si>
    <t>Desorb solution</t>
  </si>
  <si>
    <t>Total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</si>
</sst>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66503956378151E-2"/>
          <c:y val="0.15782407407407409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Results'!$K$2:$K$4</c:f>
              <c:numCache>
                <c:formatCode>[m]</c:formatCode>
                <c:ptCount val="3"/>
                <c:pt idx="0">
                  <c:v>1.0078703703717717</c:v>
                </c:pt>
                <c:pt idx="1">
                  <c:v>11.141898148149872</c:v>
                </c:pt>
                <c:pt idx="2">
                  <c:v>11.154398148149388</c:v>
                </c:pt>
              </c:numCache>
            </c:numRef>
          </c:xVal>
          <c:yVal>
            <c:numRef>
              <c:f>'Averaged Results'!$B$2:$B$4</c:f>
              <c:numCache>
                <c:formatCode>General</c:formatCode>
                <c:ptCount val="3"/>
                <c:pt idx="0">
                  <c:v>3.300729924076629</c:v>
                </c:pt>
                <c:pt idx="1">
                  <c:v>3.1221876677928702</c:v>
                </c:pt>
                <c:pt idx="2">
                  <c:v>3.3053092560922863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73952"/>
        <c:axId val="213096408"/>
      </c:scatterChart>
      <c:valAx>
        <c:axId val="2250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6408"/>
        <c:crosses val="autoZero"/>
        <c:crossBetween val="midCat"/>
      </c:valAx>
      <c:valAx>
        <c:axId val="2130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7</xdr:row>
      <xdr:rowOff>114299</xdr:rowOff>
    </xdr:from>
    <xdr:to>
      <xdr:col>10</xdr:col>
      <xdr:colOff>752474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3" sqref="C1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126</v>
      </c>
    </row>
    <row r="6" spans="1:5" x14ac:dyDescent="0.25">
      <c r="A6" t="s">
        <v>6</v>
      </c>
      <c r="B6">
        <f>42.1/0.071</f>
        <v>592.95774647887333</v>
      </c>
      <c r="C6">
        <f>2.1/0.071</f>
        <v>29.577464788732399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A7" workbookViewId="0">
      <selection activeCell="B28" sqref="B28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37" sqref="H3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42583.413194444445</v>
      </c>
      <c r="B2" t="s">
        <v>114</v>
      </c>
      <c r="C2">
        <v>9299.2999999999993</v>
      </c>
      <c r="D2">
        <v>0.66</v>
      </c>
      <c r="E2">
        <v>0</v>
      </c>
      <c r="F2">
        <v>202.08</v>
      </c>
    </row>
    <row r="3" spans="1:6" x14ac:dyDescent="0.25">
      <c r="A3" s="24">
        <v>42583.413194444445</v>
      </c>
      <c r="B3" t="s">
        <v>115</v>
      </c>
      <c r="C3">
        <v>9161.2000000000007</v>
      </c>
      <c r="D3">
        <v>0.66</v>
      </c>
      <c r="E3">
        <v>0</v>
      </c>
      <c r="F3">
        <v>212.77</v>
      </c>
    </row>
    <row r="4" spans="1:6" x14ac:dyDescent="0.25">
      <c r="A4" s="24">
        <v>42583.413194444445</v>
      </c>
      <c r="B4" t="s">
        <v>116</v>
      </c>
      <c r="C4">
        <v>9281.7999999999993</v>
      </c>
      <c r="D4">
        <v>0.66</v>
      </c>
      <c r="E4">
        <v>0</v>
      </c>
      <c r="F4">
        <v>223.43</v>
      </c>
    </row>
    <row r="5" spans="1:6" x14ac:dyDescent="0.25">
      <c r="A5" s="24">
        <v>42583.413194444445</v>
      </c>
      <c r="B5" t="s">
        <v>117</v>
      </c>
      <c r="C5">
        <v>8770.4</v>
      </c>
      <c r="D5">
        <v>0.68</v>
      </c>
      <c r="E5">
        <v>0</v>
      </c>
      <c r="F5">
        <v>234.1</v>
      </c>
    </row>
    <row r="6" spans="1:6" x14ac:dyDescent="0.25">
      <c r="A6" s="24">
        <v>42583.413194444445</v>
      </c>
      <c r="B6" t="s">
        <v>118</v>
      </c>
      <c r="C6">
        <v>8717.6</v>
      </c>
      <c r="D6">
        <v>0.68</v>
      </c>
      <c r="E6">
        <v>0</v>
      </c>
      <c r="F6">
        <v>244.76</v>
      </c>
    </row>
    <row r="7" spans="1:6" x14ac:dyDescent="0.25">
      <c r="A7" s="24">
        <v>42583.413194444445</v>
      </c>
      <c r="B7" t="s">
        <v>120</v>
      </c>
      <c r="C7">
        <v>8565.6</v>
      </c>
      <c r="D7">
        <v>0.68</v>
      </c>
      <c r="E7">
        <v>0</v>
      </c>
      <c r="F7">
        <v>255.43</v>
      </c>
    </row>
    <row r="8" spans="1:6" x14ac:dyDescent="0.25">
      <c r="A8" s="24">
        <v>42583.413194444445</v>
      </c>
      <c r="B8" t="s">
        <v>121</v>
      </c>
      <c r="C8">
        <v>9282.7999999999993</v>
      </c>
      <c r="D8">
        <v>0.66</v>
      </c>
      <c r="E8">
        <v>0</v>
      </c>
      <c r="F8">
        <v>266.2</v>
      </c>
    </row>
    <row r="9" spans="1:6" x14ac:dyDescent="0.25">
      <c r="A9" s="24">
        <v>42583.413194444445</v>
      </c>
      <c r="B9" t="s">
        <v>122</v>
      </c>
      <c r="C9">
        <v>9115.7999999999993</v>
      </c>
      <c r="D9">
        <v>0.66</v>
      </c>
      <c r="E9">
        <v>0</v>
      </c>
      <c r="F9">
        <v>276.86</v>
      </c>
    </row>
    <row r="10" spans="1:6" x14ac:dyDescent="0.25">
      <c r="A10" s="24">
        <v>42583.413194444445</v>
      </c>
      <c r="B10" t="s">
        <v>119</v>
      </c>
      <c r="C10">
        <v>9201.4</v>
      </c>
      <c r="D10">
        <v>0.66</v>
      </c>
      <c r="E10">
        <v>0</v>
      </c>
      <c r="F10">
        <v>287.52999999999997</v>
      </c>
    </row>
    <row r="11" spans="1:6" x14ac:dyDescent="0.25">
      <c r="A11" s="24">
        <v>42583.413194444445</v>
      </c>
      <c r="B11" t="s">
        <v>123</v>
      </c>
      <c r="C11">
        <v>1193.3</v>
      </c>
      <c r="D11">
        <v>1.83</v>
      </c>
      <c r="E11">
        <v>0.01</v>
      </c>
      <c r="F11">
        <v>298.16000000000003</v>
      </c>
    </row>
    <row r="12" spans="1:6" x14ac:dyDescent="0.25">
      <c r="A12" s="24">
        <v>42583.413194444445</v>
      </c>
      <c r="B12" t="s">
        <v>124</v>
      </c>
      <c r="C12">
        <v>1943.1</v>
      </c>
      <c r="D12">
        <v>1.43</v>
      </c>
      <c r="E12">
        <v>0.01</v>
      </c>
      <c r="F12">
        <v>308.82</v>
      </c>
    </row>
    <row r="13" spans="1:6" x14ac:dyDescent="0.25">
      <c r="A13" s="24">
        <v>42583.413194444445</v>
      </c>
      <c r="B13" t="s">
        <v>125</v>
      </c>
      <c r="C13">
        <v>1041</v>
      </c>
      <c r="D13">
        <v>1.96</v>
      </c>
      <c r="E13">
        <v>0.02</v>
      </c>
      <c r="F13">
        <v>319.45</v>
      </c>
    </row>
    <row r="14" spans="1:6" x14ac:dyDescent="0.25">
      <c r="A14" s="24">
        <v>42612.703472222223</v>
      </c>
      <c r="B14" t="s">
        <v>114</v>
      </c>
      <c r="C14">
        <v>8828.4</v>
      </c>
      <c r="D14">
        <v>0.67</v>
      </c>
      <c r="E14">
        <v>0</v>
      </c>
      <c r="F14">
        <v>202.23</v>
      </c>
    </row>
    <row r="15" spans="1:6" x14ac:dyDescent="0.25">
      <c r="A15" s="24">
        <v>42612.703472222223</v>
      </c>
      <c r="B15" t="s">
        <v>115</v>
      </c>
      <c r="C15">
        <v>8664</v>
      </c>
      <c r="D15">
        <v>0.68</v>
      </c>
      <c r="E15">
        <v>0</v>
      </c>
      <c r="F15">
        <v>212.89</v>
      </c>
    </row>
    <row r="16" spans="1:6" x14ac:dyDescent="0.25">
      <c r="A16" s="24">
        <v>42612.703472222223</v>
      </c>
      <c r="B16" t="s">
        <v>116</v>
      </c>
      <c r="C16">
        <v>9054.7000000000007</v>
      </c>
      <c r="D16">
        <v>0.66</v>
      </c>
      <c r="E16">
        <v>0</v>
      </c>
      <c r="F16">
        <v>223.54</v>
      </c>
    </row>
    <row r="17" spans="1:6" x14ac:dyDescent="0.25">
      <c r="A17" s="24">
        <v>42612.703472222223</v>
      </c>
      <c r="B17" t="s">
        <v>117</v>
      </c>
      <c r="C17">
        <v>8342.4</v>
      </c>
      <c r="D17">
        <v>0.69</v>
      </c>
      <c r="E17">
        <v>0</v>
      </c>
      <c r="F17">
        <v>234.2</v>
      </c>
    </row>
    <row r="18" spans="1:6" x14ac:dyDescent="0.25">
      <c r="A18" s="24">
        <v>42612.703472222223</v>
      </c>
      <c r="B18" t="s">
        <v>118</v>
      </c>
      <c r="C18">
        <v>8324.5</v>
      </c>
      <c r="D18">
        <v>0.69</v>
      </c>
      <c r="E18">
        <v>0</v>
      </c>
      <c r="F18">
        <v>244.87</v>
      </c>
    </row>
    <row r="19" spans="1:6" x14ac:dyDescent="0.25">
      <c r="A19" s="24">
        <v>42612.703472222223</v>
      </c>
      <c r="B19" t="s">
        <v>120</v>
      </c>
      <c r="C19">
        <v>8557.2999999999993</v>
      </c>
      <c r="D19">
        <v>0.68</v>
      </c>
      <c r="E19">
        <v>0</v>
      </c>
      <c r="F19">
        <v>255.52</v>
      </c>
    </row>
    <row r="20" spans="1:6" x14ac:dyDescent="0.25">
      <c r="A20" s="24">
        <v>42612.703472222223</v>
      </c>
      <c r="B20" t="s">
        <v>121</v>
      </c>
      <c r="C20">
        <v>8994.7000000000007</v>
      </c>
      <c r="D20">
        <v>0.67</v>
      </c>
      <c r="E20">
        <v>0</v>
      </c>
      <c r="F20">
        <v>266.29000000000002</v>
      </c>
    </row>
    <row r="21" spans="1:6" x14ac:dyDescent="0.25">
      <c r="A21" s="24">
        <v>42612.703472222223</v>
      </c>
      <c r="B21" t="s">
        <v>122</v>
      </c>
      <c r="C21">
        <v>8684.6</v>
      </c>
      <c r="D21">
        <v>0.68</v>
      </c>
      <c r="E21">
        <v>0</v>
      </c>
      <c r="F21">
        <v>276.95999999999998</v>
      </c>
    </row>
    <row r="22" spans="1:6" x14ac:dyDescent="0.25">
      <c r="A22" s="24">
        <v>42612.703472222223</v>
      </c>
      <c r="B22" t="s">
        <v>119</v>
      </c>
      <c r="C22">
        <v>9085.4</v>
      </c>
      <c r="D22">
        <v>0.66</v>
      </c>
      <c r="E22">
        <v>0</v>
      </c>
      <c r="F22">
        <v>287.63</v>
      </c>
    </row>
    <row r="23" spans="1:6" x14ac:dyDescent="0.25">
      <c r="A23" s="24">
        <v>42612.703472222223</v>
      </c>
      <c r="B23" t="s">
        <v>123</v>
      </c>
      <c r="C23">
        <v>1145</v>
      </c>
      <c r="D23">
        <v>1.87</v>
      </c>
      <c r="E23">
        <v>0.01</v>
      </c>
      <c r="F23">
        <v>298.26</v>
      </c>
    </row>
    <row r="24" spans="1:6" x14ac:dyDescent="0.25">
      <c r="A24" s="24">
        <v>42612.703472222223</v>
      </c>
      <c r="B24" t="s">
        <v>124</v>
      </c>
      <c r="C24">
        <v>1891.9</v>
      </c>
      <c r="D24">
        <v>1.45</v>
      </c>
      <c r="E24">
        <v>0.01</v>
      </c>
      <c r="F24">
        <v>308.89999999999998</v>
      </c>
    </row>
    <row r="25" spans="1:6" x14ac:dyDescent="0.25">
      <c r="A25" s="24">
        <v>42612.703472222223</v>
      </c>
      <c r="B25" t="s">
        <v>125</v>
      </c>
      <c r="C25">
        <v>1008.9</v>
      </c>
      <c r="D25">
        <v>1.99</v>
      </c>
      <c r="E25">
        <v>0.01</v>
      </c>
      <c r="F25">
        <v>319.52999999999997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0" sqref="E20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151.06416666666701</v>
      </c>
      <c r="D2">
        <v>1.0045767083333299</v>
      </c>
      <c r="E2" s="1" t="s">
        <v>54</v>
      </c>
      <c r="F2" s="1">
        <f>'Calibration Data'!$B$28*'Count-&gt;Actual Activity'!C2+'Calibration Data'!$B$27</f>
        <v>33.064282429327704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0.23305827201782128</v>
      </c>
    </row>
    <row r="3" spans="1:7" x14ac:dyDescent="0.25">
      <c r="A3" t="s">
        <v>115</v>
      </c>
      <c r="B3" s="21" t="s">
        <v>105</v>
      </c>
      <c r="C3">
        <v>148.54333333333301</v>
      </c>
      <c r="D3">
        <v>0.99524033333333395</v>
      </c>
      <c r="E3" s="1" t="s">
        <v>54</v>
      </c>
      <c r="F3" s="1">
        <f>'Calibration Data'!$B$28*'Count-&gt;Actual Activity'!C3+'Calibration Data'!$B$27</f>
        <v>32.512390821862908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0.23305562832213178</v>
      </c>
    </row>
    <row r="4" spans="1:7" x14ac:dyDescent="0.25">
      <c r="A4" t="s">
        <v>116</v>
      </c>
      <c r="B4" s="21" t="s">
        <v>105</v>
      </c>
      <c r="C4">
        <v>152.80416666666699</v>
      </c>
      <c r="D4">
        <v>1.0085074999999999</v>
      </c>
      <c r="E4" s="1" t="s">
        <v>54</v>
      </c>
      <c r="F4" s="1">
        <f>'Calibration Data'!$B$28*'Count-&gt;Actual Activity'!C4+'Calibration Data'!$B$27</f>
        <v>33.445224471108261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0.23306012283752622</v>
      </c>
    </row>
    <row r="5" spans="1:7" x14ac:dyDescent="0.25">
      <c r="A5" t="s">
        <v>117</v>
      </c>
      <c r="B5" s="21" t="s">
        <v>105</v>
      </c>
      <c r="C5">
        <v>142.606666666667</v>
      </c>
      <c r="D5">
        <v>0.97685566666666701</v>
      </c>
      <c r="E5" s="1" t="s">
        <v>54</v>
      </c>
      <c r="F5" s="1">
        <f>'Calibration Data'!$B$28*'Count-&gt;Actual Activity'!C5+'Calibration Data'!$B$27</f>
        <v>31.212663280845479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0.23304957849555399</v>
      </c>
    </row>
    <row r="6" spans="1:7" x14ac:dyDescent="0.25">
      <c r="A6" t="s">
        <v>118</v>
      </c>
      <c r="B6" s="21" t="s">
        <v>105</v>
      </c>
      <c r="C6">
        <v>142.01750000000001</v>
      </c>
      <c r="D6">
        <v>0.972819875</v>
      </c>
      <c r="E6" s="1" t="s">
        <v>54</v>
      </c>
      <c r="F6" s="1">
        <f>'Calibration Data'!$B$28*'Count-&gt;Actual Activity'!C6+'Calibration Data'!$B$27</f>
        <v>31.083675721679292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0.23304899159072776</v>
      </c>
    </row>
    <row r="7" spans="1:7" x14ac:dyDescent="0.25">
      <c r="A7" t="s">
        <v>120</v>
      </c>
      <c r="B7" s="21" t="s">
        <v>105</v>
      </c>
      <c r="C7">
        <v>142.69083333333299</v>
      </c>
      <c r="D7">
        <v>0.97029766666666695</v>
      </c>
      <c r="E7" s="1" t="s">
        <v>54</v>
      </c>
      <c r="F7" s="1">
        <f>'Calibration Data'!$B$28*'Count-&gt;Actual Activity'!C7+'Calibration Data'!$B$27</f>
        <v>31.23109007501192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0.23304966253797788</v>
      </c>
    </row>
    <row r="8" spans="1:7" ht="15.75" customHeight="1" x14ac:dyDescent="0.25">
      <c r="A8" t="s">
        <v>121</v>
      </c>
      <c r="B8" s="21" t="s">
        <v>105</v>
      </c>
      <c r="C8">
        <v>152.3125</v>
      </c>
      <c r="D8">
        <v>1.0128781250000001</v>
      </c>
      <c r="E8" s="1" t="s">
        <v>54</v>
      </c>
      <c r="F8" s="1">
        <f>'Calibration Data'!$B$28*'Count-&gt;Actual Activity'!C8+'Calibration Data'!$B$27</f>
        <v>33.337582802214257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0.23305959770328316</v>
      </c>
    </row>
    <row r="9" spans="1:7" x14ac:dyDescent="0.25">
      <c r="A9" t="s">
        <v>122</v>
      </c>
      <c r="B9" s="21" t="s">
        <v>105</v>
      </c>
      <c r="C9">
        <v>148.33666666666701</v>
      </c>
      <c r="D9">
        <v>0.99385566666666703</v>
      </c>
      <c r="E9" s="1" t="s">
        <v>54</v>
      </c>
      <c r="F9" s="1">
        <f>'Calibration Data'!$B$28*'Count-&gt;Actual Activity'!C9+'Calibration Data'!$B$27</f>
        <v>32.467144832226289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0.23305541356071269</v>
      </c>
    </row>
    <row r="10" spans="1:7" x14ac:dyDescent="0.25">
      <c r="A10" t="s">
        <v>119</v>
      </c>
      <c r="B10" s="21" t="s">
        <v>105</v>
      </c>
      <c r="C10">
        <v>152.38999999999999</v>
      </c>
      <c r="D10">
        <v>1.0057739999999999</v>
      </c>
      <c r="E10" s="1" t="s">
        <v>54</v>
      </c>
      <c r="F10" s="1">
        <f>'Calibration Data'!$B$28*'Count-&gt;Actual Activity'!C10+'Calibration Data'!$B$27</f>
        <v>33.354550048328043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0.23305968036605604</v>
      </c>
    </row>
    <row r="11" spans="1:7" x14ac:dyDescent="0.25">
      <c r="A11" t="s">
        <v>123</v>
      </c>
      <c r="B11" s="21" t="s">
        <v>105</v>
      </c>
      <c r="C11">
        <v>19.4858333333333</v>
      </c>
      <c r="D11">
        <v>0.36048791666666702</v>
      </c>
      <c r="E11" s="1" t="s">
        <v>54</v>
      </c>
      <c r="F11" s="1">
        <f>'Calibration Data'!$B$28*'Count-&gt;Actual Activity'!C11+'Calibration Data'!$B$27</f>
        <v>4.2575473982455296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0.23297989353670465</v>
      </c>
    </row>
    <row r="12" spans="1:7" x14ac:dyDescent="0.25">
      <c r="A12" t="s">
        <v>124</v>
      </c>
      <c r="B12" s="21" t="s">
        <v>105</v>
      </c>
      <c r="C12">
        <v>31.9583333333333</v>
      </c>
      <c r="D12">
        <v>0.4602</v>
      </c>
      <c r="E12" s="1" t="s">
        <v>54</v>
      </c>
      <c r="F12" s="1">
        <f>'Calibration Data'!$B$28*'Count-&gt;Actual Activity'!C12+'Calibration Data'!$B$27</f>
        <v>6.9881793615259937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0.23298210649458653</v>
      </c>
    </row>
    <row r="13" spans="1:7" x14ac:dyDescent="0.25">
      <c r="A13" t="s">
        <v>125</v>
      </c>
      <c r="B13" s="21" t="s">
        <v>105</v>
      </c>
      <c r="C13">
        <v>17.0825</v>
      </c>
      <c r="D13">
        <v>0.33737937499999998</v>
      </c>
      <c r="E13" s="1" t="s">
        <v>54</v>
      </c>
      <c r="F13" s="1">
        <f>'Calibration Data'!$B$28*'Count-&gt;Actual Activity'!C13+'Calibration Data'!$B$27</f>
        <v>3.7313803252114708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0.23297959269349403</v>
      </c>
    </row>
    <row r="14" spans="1:7" x14ac:dyDescent="0.25">
      <c r="A14" s="21"/>
      <c r="B14" s="22"/>
    </row>
    <row r="15" spans="1:7" x14ac:dyDescent="0.25">
      <c r="A15" s="21"/>
      <c r="B15" s="22"/>
    </row>
    <row r="16" spans="1:7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19" sqref="Q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</cols>
  <sheetData>
    <row r="1" spans="1:26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127</v>
      </c>
      <c r="Y1" t="s">
        <v>128</v>
      </c>
      <c r="Z1" t="s">
        <v>130</v>
      </c>
    </row>
    <row r="2" spans="1:26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2.9700000000000001E-2</v>
      </c>
      <c r="F2" s="1">
        <v>1E-4</v>
      </c>
      <c r="G2" s="1">
        <v>100</v>
      </c>
      <c r="H2" s="1">
        <v>5</v>
      </c>
      <c r="I2" s="1">
        <f>'Count-&gt;Actual Activity'!F2</f>
        <v>33.064282429327704</v>
      </c>
      <c r="J2" s="1">
        <f>'Count-&gt;Actual Activity'!G2</f>
        <v>0.23305827201782128</v>
      </c>
      <c r="K2" s="1">
        <v>10</v>
      </c>
      <c r="L2" s="1">
        <v>0.02</v>
      </c>
      <c r="M2" s="1"/>
      <c r="N2" s="1"/>
      <c r="O2" s="1"/>
      <c r="P2" s="1"/>
      <c r="Q2">
        <f>I2/K2</f>
        <v>3.3064282429327703</v>
      </c>
      <c r="R2">
        <f>SQRT((L2/K2)^2+(J2/I2)^2)*Q2</f>
        <v>2.4225842657418166E-2</v>
      </c>
      <c r="S2">
        <f>B2*Parameters!$B$6</f>
        <v>206.34929577464791</v>
      </c>
      <c r="T2">
        <f>SQRT((C2/B2)^2+(Parameters!$C$6/Parameters!$B$6)^2)*'Bottle Results'!S2</f>
        <v>10.361050850528468</v>
      </c>
      <c r="U2">
        <f t="shared" ref="U2:U13" si="0">(S2-Q2*G2)/E2</f>
        <v>-4184.9672901895328</v>
      </c>
      <c r="W2">
        <f t="shared" ref="W2:W13" si="1">(S2-Q2*G2)/S2</f>
        <v>-0.60234530024453725</v>
      </c>
      <c r="X2" s="24">
        <v>42541.484722222223</v>
      </c>
      <c r="Y2" s="24">
        <v>42542.496527777781</v>
      </c>
      <c r="Z2" s="26">
        <f>Y2-X2</f>
        <v>1.0118055555576575</v>
      </c>
    </row>
    <row r="3" spans="1:26" x14ac:dyDescent="0.25">
      <c r="A3" t="s">
        <v>115</v>
      </c>
      <c r="B3">
        <v>0.34799999999999998</v>
      </c>
      <c r="C3">
        <v>2E-3</v>
      </c>
      <c r="D3" s="1">
        <v>7.03</v>
      </c>
      <c r="E3" s="1">
        <v>3.0099999999999998E-2</v>
      </c>
      <c r="F3" s="1">
        <v>1E-4</v>
      </c>
      <c r="G3" s="1">
        <v>100</v>
      </c>
      <c r="H3" s="1">
        <v>5</v>
      </c>
      <c r="I3" s="1">
        <f>'Count-&gt;Actual Activity'!F3</f>
        <v>32.512390821862908</v>
      </c>
      <c r="J3" s="1">
        <f>'Count-&gt;Actual Activity'!G3</f>
        <v>0.23305562832213178</v>
      </c>
      <c r="K3" s="1">
        <v>10</v>
      </c>
      <c r="L3" s="1">
        <v>0.02</v>
      </c>
      <c r="M3" s="1"/>
      <c r="N3" s="1"/>
      <c r="O3" s="1"/>
      <c r="P3" s="1"/>
      <c r="Q3">
        <f t="shared" ref="Q3:Q13" si="2">I3/K3</f>
        <v>3.2512390821862907</v>
      </c>
      <c r="R3">
        <f t="shared" ref="R3:R13" si="3">SQRT((L3/K3)^2+(J3/I3)^2)*Q3</f>
        <v>2.4195691376862505E-2</v>
      </c>
      <c r="S3">
        <f>B3*Parameters!$B$6</f>
        <v>206.34929577464791</v>
      </c>
      <c r="T3">
        <f>SQRT((C3/B3)^2+(Parameters!$C$6/Parameters!$B$6)^2)*'Bottle Results'!S3</f>
        <v>10.361050850528468</v>
      </c>
      <c r="U3">
        <f t="shared" si="0"/>
        <v>-3946.0004134213013</v>
      </c>
      <c r="W3">
        <f t="shared" si="1"/>
        <v>-0.5755997954734664</v>
      </c>
      <c r="X3" s="24">
        <v>42541.486111111109</v>
      </c>
      <c r="Y3" s="24">
        <v>42542.499305555553</v>
      </c>
      <c r="Z3" s="26">
        <f t="shared" ref="Z3:Z13" si="4">Y3-X3</f>
        <v>1.0131944444437977</v>
      </c>
    </row>
    <row r="4" spans="1:26" x14ac:dyDescent="0.25">
      <c r="A4" t="s">
        <v>116</v>
      </c>
      <c r="B4">
        <v>0.34799999999999998</v>
      </c>
      <c r="C4">
        <v>2E-3</v>
      </c>
      <c r="D4" s="1">
        <v>7.05</v>
      </c>
      <c r="E4" s="1">
        <v>3.0700000000000002E-2</v>
      </c>
      <c r="F4" s="1">
        <v>1E-4</v>
      </c>
      <c r="G4" s="1">
        <v>100</v>
      </c>
      <c r="H4" s="1">
        <v>5</v>
      </c>
      <c r="I4" s="1">
        <f>'Count-&gt;Actual Activity'!F4</f>
        <v>33.445224471108261</v>
      </c>
      <c r="J4" s="1">
        <f>'Count-&gt;Actual Activity'!G4</f>
        <v>0.23306012283752622</v>
      </c>
      <c r="K4" s="1">
        <v>10</v>
      </c>
      <c r="L4" s="1">
        <v>0.02</v>
      </c>
      <c r="M4" s="1"/>
      <c r="N4" s="1"/>
      <c r="O4" s="1"/>
      <c r="P4" s="1"/>
      <c r="Q4">
        <f t="shared" si="2"/>
        <v>3.3445224471108261</v>
      </c>
      <c r="R4">
        <f t="shared" si="3"/>
        <v>2.4246928262510715E-2</v>
      </c>
      <c r="S4">
        <f>B4*Parameters!$B$6</f>
        <v>206.34929577464791</v>
      </c>
      <c r="T4">
        <f>SQRT((C4/B4)^2+(Parameters!$C$6/Parameters!$B$6)^2)*'Bottle Results'!S4</f>
        <v>10.361050850528468</v>
      </c>
      <c r="U4">
        <f t="shared" si="0"/>
        <v>-4172.7344930434747</v>
      </c>
      <c r="W4">
        <f t="shared" si="1"/>
        <v>-0.6208063296534565</v>
      </c>
      <c r="X4" s="24">
        <v>42541.490277777775</v>
      </c>
      <c r="Y4" s="24">
        <v>42542.488888888889</v>
      </c>
      <c r="Z4" s="26">
        <f t="shared" si="4"/>
        <v>0.99861111111385981</v>
      </c>
    </row>
    <row r="5" spans="1:26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31.212663280845479</v>
      </c>
      <c r="J5" s="1">
        <f>'Count-&gt;Actual Activity'!G5</f>
        <v>0.23304957849555399</v>
      </c>
      <c r="K5" s="1">
        <v>10</v>
      </c>
      <c r="L5" s="1">
        <v>0.02</v>
      </c>
      <c r="M5" s="1"/>
      <c r="N5" s="1"/>
      <c r="O5" s="1"/>
      <c r="P5" s="1"/>
      <c r="Q5">
        <f t="shared" si="2"/>
        <v>3.1212663280845478</v>
      </c>
      <c r="R5">
        <f t="shared" si="3"/>
        <v>2.4126547086827228E-2</v>
      </c>
      <c r="S5">
        <f>B5*Parameters!$B$6</f>
        <v>206.34929577464791</v>
      </c>
      <c r="T5">
        <f>SQRT((C5/B5)^2+(Parameters!$C$6/Parameters!$B$6)^2)*'Bottle Results'!S5</f>
        <v>10.361050850528468</v>
      </c>
      <c r="U5">
        <f t="shared" si="0"/>
        <v>-3502.5608289340012</v>
      </c>
      <c r="W5">
        <f t="shared" si="1"/>
        <v>-0.51261302655147056</v>
      </c>
      <c r="X5" s="24">
        <v>42541.492361111108</v>
      </c>
      <c r="Y5" s="24">
        <v>42552.631249999999</v>
      </c>
      <c r="Z5" s="26">
        <f t="shared" si="4"/>
        <v>11.138888888890506</v>
      </c>
    </row>
    <row r="6" spans="1:26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31.083675721679292</v>
      </c>
      <c r="J6" s="1">
        <f>'Count-&gt;Actual Activity'!G6</f>
        <v>0.23304899159072776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3.1083675721679294</v>
      </c>
      <c r="R6">
        <f t="shared" si="3"/>
        <v>2.4119828371474198E-2</v>
      </c>
      <c r="S6">
        <f>B6*Parameters!$B$6</f>
        <v>206.34929577464791</v>
      </c>
      <c r="T6">
        <f>SQRT((C6/B6)^2+(Parameters!$C$6/Parameters!$B$6)^2)*'Bottle Results'!S6</f>
        <v>10.361050850528468</v>
      </c>
      <c r="U6">
        <f t="shared" si="0"/>
        <v>-3392.4500468228903</v>
      </c>
      <c r="W6">
        <f t="shared" si="1"/>
        <v>-0.50636209370084195</v>
      </c>
      <c r="X6" s="24">
        <v>42541.495138888888</v>
      </c>
      <c r="Y6" s="24">
        <v>42552.638194444444</v>
      </c>
      <c r="Z6" s="26">
        <f t="shared" si="4"/>
        <v>11.143055555556202</v>
      </c>
    </row>
    <row r="7" spans="1:26" x14ac:dyDescent="0.25">
      <c r="A7" t="s">
        <v>120</v>
      </c>
      <c r="B7">
        <v>0.34799999999999998</v>
      </c>
      <c r="C7">
        <v>2E-3</v>
      </c>
      <c r="D7" s="1">
        <v>6.99</v>
      </c>
      <c r="E7" s="1">
        <v>3.0200000000000001E-2</v>
      </c>
      <c r="F7" s="1">
        <v>1E-4</v>
      </c>
      <c r="G7" s="1">
        <v>100</v>
      </c>
      <c r="H7" s="1">
        <v>5</v>
      </c>
      <c r="I7" s="1">
        <f>'Count-&gt;Actual Activity'!F7</f>
        <v>31.23109007501192</v>
      </c>
      <c r="J7" s="1">
        <f>'Count-&gt;Actual Activity'!G7</f>
        <v>0.23304966253797788</v>
      </c>
      <c r="K7" s="1">
        <v>10</v>
      </c>
      <c r="L7" s="1">
        <v>0.02</v>
      </c>
      <c r="M7" s="1"/>
      <c r="N7" s="1"/>
      <c r="O7" s="1"/>
      <c r="P7" s="1"/>
      <c r="Q7">
        <f t="shared" si="2"/>
        <v>3.123109007501192</v>
      </c>
      <c r="R7">
        <f t="shared" si="3"/>
        <v>2.4127509021479903E-2</v>
      </c>
      <c r="S7">
        <f>B7*Parameters!$B$6</f>
        <v>206.34929577464791</v>
      </c>
      <c r="T7">
        <f>SQRT((C7/B7)^2+(Parameters!$C$6/Parameters!$B$6)^2)*'Bottle Results'!S7</f>
        <v>10.361050850528468</v>
      </c>
      <c r="U7">
        <f t="shared" si="0"/>
        <v>-3508.6624164063351</v>
      </c>
      <c r="W7">
        <f t="shared" si="1"/>
        <v>-0.51350601695869591</v>
      </c>
      <c r="X7" s="24">
        <v>42541.49722222222</v>
      </c>
      <c r="Y7" s="24">
        <v>42552.640972222223</v>
      </c>
      <c r="Z7" s="26">
        <f t="shared" si="4"/>
        <v>11.14375000000291</v>
      </c>
    </row>
    <row r="8" spans="1:26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3.0300000000000001E-2</v>
      </c>
      <c r="F8" s="1">
        <v>1E-4</v>
      </c>
      <c r="G8" s="1">
        <v>100</v>
      </c>
      <c r="H8" s="1">
        <v>5</v>
      </c>
      <c r="I8" s="1">
        <f>'Count-&gt;Actual Activity'!F8</f>
        <v>33.337582802214257</v>
      </c>
      <c r="J8" s="1">
        <f>'Count-&gt;Actual Activity'!G8</f>
        <v>0.23305959770328316</v>
      </c>
      <c r="K8" s="1">
        <v>10</v>
      </c>
      <c r="L8" s="1">
        <v>0.02</v>
      </c>
      <c r="M8" s="1"/>
      <c r="N8" s="1"/>
      <c r="O8" s="1"/>
      <c r="P8" s="1"/>
      <c r="Q8">
        <f t="shared" si="2"/>
        <v>3.3337582802214256</v>
      </c>
      <c r="R8">
        <f t="shared" si="3"/>
        <v>2.4240947545422841E-2</v>
      </c>
      <c r="S8">
        <f>B8*Parameters!$B$6</f>
        <v>206.34929577464791</v>
      </c>
      <c r="T8">
        <f>SQRT((C8/B8)^2+(Parameters!$C$6/Parameters!$B$6)^2)*'Bottle Results'!S8</f>
        <v>10.361050850528468</v>
      </c>
      <c r="U8">
        <f t="shared" si="0"/>
        <v>-4192.294793646688</v>
      </c>
      <c r="W8">
        <f t="shared" si="1"/>
        <v>-0.61558985103694808</v>
      </c>
      <c r="X8" s="24">
        <v>42541.499305555553</v>
      </c>
      <c r="Y8" s="24">
        <v>42552.652777777781</v>
      </c>
      <c r="Z8" s="26">
        <f t="shared" si="4"/>
        <v>11.15347222222772</v>
      </c>
    </row>
    <row r="9" spans="1:26" x14ac:dyDescent="0.25">
      <c r="A9" t="s">
        <v>122</v>
      </c>
      <c r="B9">
        <v>0.34799999999999998</v>
      </c>
      <c r="C9">
        <v>2E-3</v>
      </c>
      <c r="D9" s="1">
        <v>7.01</v>
      </c>
      <c r="E9" s="1">
        <v>3.0499999999999999E-2</v>
      </c>
      <c r="F9" s="1">
        <v>1E-4</v>
      </c>
      <c r="G9" s="1">
        <v>100</v>
      </c>
      <c r="H9" s="1">
        <v>5</v>
      </c>
      <c r="I9" s="1">
        <f>'Count-&gt;Actual Activity'!F9</f>
        <v>32.467144832226289</v>
      </c>
      <c r="J9" s="1">
        <f>'Count-&gt;Actual Activity'!G9</f>
        <v>0.23305541356071269</v>
      </c>
      <c r="K9" s="1">
        <v>10</v>
      </c>
      <c r="L9" s="1">
        <v>0.02</v>
      </c>
      <c r="M9" s="1"/>
      <c r="N9" s="1"/>
      <c r="O9" s="1"/>
      <c r="P9" s="1"/>
      <c r="Q9">
        <f t="shared" si="2"/>
        <v>3.2467144832226289</v>
      </c>
      <c r="R9">
        <f t="shared" si="3"/>
        <v>2.4193240329518046E-2</v>
      </c>
      <c r="S9">
        <f>B9*Parameters!$B$6</f>
        <v>206.34929577464791</v>
      </c>
      <c r="T9">
        <f>SQRT((C9/B9)^2+(Parameters!$C$6/Parameters!$B$6)^2)*'Bottle Results'!S9</f>
        <v>10.361050850528468</v>
      </c>
      <c r="U9">
        <f t="shared" si="0"/>
        <v>-3879.4148376267212</v>
      </c>
      <c r="W9">
        <f t="shared" si="1"/>
        <v>-0.57340710615670565</v>
      </c>
      <c r="X9" s="24">
        <v>42541.503472222219</v>
      </c>
      <c r="Y9" s="24">
        <v>42552.658333333333</v>
      </c>
      <c r="Z9" s="26">
        <f t="shared" si="4"/>
        <v>11.15486111111386</v>
      </c>
    </row>
    <row r="10" spans="1:26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3.04E-2</v>
      </c>
      <c r="F10" s="1">
        <v>1E-4</v>
      </c>
      <c r="G10" s="1">
        <v>100</v>
      </c>
      <c r="H10" s="1">
        <v>5</v>
      </c>
      <c r="I10" s="1">
        <f>'Count-&gt;Actual Activity'!F10</f>
        <v>33.354550048328043</v>
      </c>
      <c r="J10" s="1">
        <f>'Count-&gt;Actual Activity'!G10</f>
        <v>0.23305968036605604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3.3354550048328044</v>
      </c>
      <c r="R10">
        <f t="shared" si="3"/>
        <v>2.4241889086462277E-2</v>
      </c>
      <c r="S10">
        <f>B10*Parameters!$B$6</f>
        <v>206.34929577464791</v>
      </c>
      <c r="T10">
        <f>SQRT((C10/B10)^2+(Parameters!$C$6/Parameters!$B$6)^2)*'Bottle Results'!S10</f>
        <v>10.361050850528468</v>
      </c>
      <c r="U10">
        <f t="shared" si="0"/>
        <v>-4184.085681205017</v>
      </c>
      <c r="W10">
        <f t="shared" si="1"/>
        <v>-0.616412109530736</v>
      </c>
      <c r="X10" s="24">
        <v>42541.507638888892</v>
      </c>
      <c r="Y10" s="24">
        <v>42552.662499999999</v>
      </c>
      <c r="Z10" s="26">
        <f t="shared" si="4"/>
        <v>11.154861111106584</v>
      </c>
    </row>
    <row r="11" spans="1:26" x14ac:dyDescent="0.25">
      <c r="A11" t="s">
        <v>123</v>
      </c>
      <c r="C11">
        <v>2E-3</v>
      </c>
      <c r="D11" s="1">
        <v>7</v>
      </c>
      <c r="E11" s="1">
        <v>3.0300000000000001E-2</v>
      </c>
      <c r="F11" s="1">
        <v>5.0000000000000001E-4</v>
      </c>
      <c r="G11" s="1">
        <v>100</v>
      </c>
      <c r="H11" s="1">
        <v>5</v>
      </c>
      <c r="I11" s="1">
        <f>'Count-&gt;Actual Activity'!F11</f>
        <v>4.2575473982455296</v>
      </c>
      <c r="J11" s="1">
        <f>'Count-&gt;Actual Activity'!G11</f>
        <v>0.23297989353670465</v>
      </c>
      <c r="K11" s="1">
        <v>10</v>
      </c>
      <c r="L11" s="1">
        <v>0.02</v>
      </c>
      <c r="Q11">
        <f t="shared" si="2"/>
        <v>0.42575473982455297</v>
      </c>
      <c r="R11">
        <f t="shared" si="3"/>
        <v>2.3313544911009881E-2</v>
      </c>
      <c r="S11">
        <f>S10-(Q8*90)</f>
        <v>-93.688949445280372</v>
      </c>
      <c r="U11">
        <f t="shared" si="0"/>
        <v>-4497.1756906843457</v>
      </c>
      <c r="W11">
        <f t="shared" si="1"/>
        <v>1.4544343194639169</v>
      </c>
      <c r="X11" s="24">
        <v>42552.652777777781</v>
      </c>
      <c r="Y11" s="24">
        <v>42553.568749999999</v>
      </c>
      <c r="Z11" s="26">
        <f t="shared" si="4"/>
        <v>0.91597222221753327</v>
      </c>
    </row>
    <row r="12" spans="1:26" x14ac:dyDescent="0.25">
      <c r="A12" t="s">
        <v>124</v>
      </c>
      <c r="C12">
        <v>2E-3</v>
      </c>
      <c r="D12" s="1">
        <v>7</v>
      </c>
      <c r="E12" s="1">
        <v>3.0499999999999999E-2</v>
      </c>
      <c r="F12" s="1">
        <v>5.0000000000000001E-4</v>
      </c>
      <c r="G12" s="1">
        <v>100</v>
      </c>
      <c r="H12" s="1">
        <v>5</v>
      </c>
      <c r="I12" s="1">
        <f>'Count-&gt;Actual Activity'!F12</f>
        <v>6.9881793615259937</v>
      </c>
      <c r="J12" s="1">
        <f>'Count-&gt;Actual Activity'!G12</f>
        <v>0.23298210649458653</v>
      </c>
      <c r="K12" s="1">
        <v>10</v>
      </c>
      <c r="L12" s="1">
        <v>0.02</v>
      </c>
      <c r="Q12">
        <f t="shared" si="2"/>
        <v>0.69881793615259935</v>
      </c>
      <c r="R12">
        <f t="shared" si="3"/>
        <v>2.3340094376375232E-2</v>
      </c>
      <c r="S12">
        <f>S11-(Q9*90)</f>
        <v>-385.89325293531692</v>
      </c>
      <c r="U12">
        <f t="shared" si="0"/>
        <v>-14943.444149199242</v>
      </c>
      <c r="W12">
        <f t="shared" si="1"/>
        <v>1.181090996237173</v>
      </c>
      <c r="X12" s="24">
        <v>42552.658333333333</v>
      </c>
      <c r="Y12" s="24">
        <v>42553.572222222225</v>
      </c>
      <c r="Z12" s="26">
        <f t="shared" si="4"/>
        <v>0.91388888889196096</v>
      </c>
    </row>
    <row r="13" spans="1:26" x14ac:dyDescent="0.25">
      <c r="A13" t="s">
        <v>125</v>
      </c>
      <c r="C13">
        <v>2E-3</v>
      </c>
      <c r="D13" s="1">
        <v>7</v>
      </c>
      <c r="E13" s="1">
        <v>3.04E-2</v>
      </c>
      <c r="F13" s="1">
        <v>5.0000000000000001E-4</v>
      </c>
      <c r="G13" s="1">
        <v>100</v>
      </c>
      <c r="H13" s="1">
        <v>5</v>
      </c>
      <c r="I13" s="1">
        <f>'Count-&gt;Actual Activity'!F13</f>
        <v>3.7313803252114708</v>
      </c>
      <c r="J13" s="1">
        <f>'Count-&gt;Actual Activity'!G13</f>
        <v>0.23297959269349403</v>
      </c>
      <c r="K13" s="1">
        <v>10</v>
      </c>
      <c r="L13" s="1">
        <v>0.02</v>
      </c>
      <c r="Q13">
        <f t="shared" si="2"/>
        <v>0.37313803252114708</v>
      </c>
      <c r="R13">
        <f t="shared" si="3"/>
        <v>2.3309908495777472E-2</v>
      </c>
      <c r="S13">
        <f>S12-(Q10*90)</f>
        <v>-686.08420337026928</v>
      </c>
      <c r="U13">
        <f t="shared" si="0"/>
        <v>-23795.987059946841</v>
      </c>
      <c r="W13">
        <f t="shared" si="1"/>
        <v>1.0543866234914272</v>
      </c>
      <c r="X13" s="24">
        <v>42552.662499999999</v>
      </c>
      <c r="Y13" s="24">
        <v>42553.575694444444</v>
      </c>
      <c r="Z13" s="26">
        <f t="shared" si="4"/>
        <v>0.91319444444525288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4" sqref="B4"/>
    </sheetView>
  </sheetViews>
  <sheetFormatPr defaultRowHeight="15" x14ac:dyDescent="0.25"/>
  <cols>
    <col min="11" max="11" width="18" bestFit="1" customWidth="1"/>
    <col min="15" max="15" width="23.5703125" bestFit="1" customWidth="1"/>
  </cols>
  <sheetData>
    <row r="1" spans="1:17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129</v>
      </c>
      <c r="L1" t="s">
        <v>135</v>
      </c>
      <c r="M1" t="s">
        <v>136</v>
      </c>
      <c r="O1" t="s">
        <v>137</v>
      </c>
      <c r="P1">
        <v>90</v>
      </c>
      <c r="Q1" t="s">
        <v>140</v>
      </c>
    </row>
    <row r="2" spans="1:17" x14ac:dyDescent="0.25">
      <c r="A2" t="s">
        <v>131</v>
      </c>
      <c r="B2">
        <f>AVERAGE('Bottle Results'!Q2:Q4)</f>
        <v>3.300729924076629</v>
      </c>
      <c r="C2">
        <f>_xlfn.STDEV.S('Bottle Results'!Q2:Q4)</f>
        <v>4.6902022037975138E-2</v>
      </c>
      <c r="D2">
        <f>AVERAGE('Bottle Results'!U2:U4)</f>
        <v>-4101.2340655514363</v>
      </c>
      <c r="E2">
        <f>_xlfn.STDEV.S('Bottle Results'!U2:U4)</f>
        <v>134.57535211452713</v>
      </c>
      <c r="F2">
        <f>AVERAGE('Bottle Results'!S2:S4)</f>
        <v>206.34929577464791</v>
      </c>
      <c r="G2">
        <f>AVERAGE('Bottle Results'!W2:W4)</f>
        <v>-0.59958380845715331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1.0078703703717717</v>
      </c>
      <c r="L2" s="1">
        <f>AVERAGE('Bottle Results'!E2:E4)</f>
        <v>3.0166666666666665E-2</v>
      </c>
      <c r="O2" t="s">
        <v>138</v>
      </c>
      <c r="P2">
        <f>B4*(100-P1)+D4*L4</f>
        <v>-91.138966605525169</v>
      </c>
      <c r="Q2" t="s">
        <v>139</v>
      </c>
    </row>
    <row r="3" spans="1:17" x14ac:dyDescent="0.25">
      <c r="A3" t="s">
        <v>132</v>
      </c>
      <c r="B3">
        <f>AVERAGE('Bottle Results'!Q5,'Bottle Results'!Q7)</f>
        <v>3.1221876677928702</v>
      </c>
      <c r="C3">
        <f>_xlfn.STDEV.S('Bottle Results'!Q5,'Bottle Results'!Q7)</f>
        <v>1.3029711110619693E-3</v>
      </c>
      <c r="D3">
        <f>AVERAGE('Bottle Results'!U5,'Bottle Results'!U7)</f>
        <v>-3505.6116226701679</v>
      </c>
      <c r="E3">
        <f>_xlfn.STDEV.S('Bottle Results'!U5,'Bottle Results'!U7)</f>
        <v>4.3144738776901894</v>
      </c>
      <c r="F3">
        <f>AVERAGE('Bottle Results'!S5,'Bottle Results'!S7)</f>
        <v>206.34929577464791</v>
      </c>
      <c r="G3">
        <f>AVERAGE('Bottle Results'!W5,'Bottle Results'!W7)</f>
        <v>-0.51305952175508329</v>
      </c>
      <c r="H3">
        <f>_xlfn.STDEV.S('Bottle Results'!W5,'Bottle Results'!W7)</f>
        <v>6.3143957248357934E-4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11.141898148149872</v>
      </c>
      <c r="L3" s="1">
        <f>AVERAGE('Bottle Results'!E5:E7)</f>
        <v>3.04E-2</v>
      </c>
      <c r="O3" t="s">
        <v>141</v>
      </c>
      <c r="P3">
        <f>100</f>
        <v>100</v>
      </c>
    </row>
    <row r="4" spans="1:17" x14ac:dyDescent="0.25">
      <c r="A4" t="s">
        <v>133</v>
      </c>
      <c r="B4">
        <f>AVERAGE('Bottle Results'!Q8:Q10)</f>
        <v>3.3053092560922863</v>
      </c>
      <c r="C4">
        <f>_xlfn.STDEV.S('Bottle Results'!Q8:Q10)</f>
        <v>5.0751652922212995E-2</v>
      </c>
      <c r="D4">
        <f>AVERAGE('Bottle Results'!U8:U10)</f>
        <v>-4085.265104159475</v>
      </c>
      <c r="E4">
        <f>_xlfn.STDEV.S('Bottle Results'!U8:U10)</f>
        <v>178.3188059501141</v>
      </c>
      <c r="F4">
        <f>AVERAGE('Bottle Results'!S8:S10)</f>
        <v>206.34929577464791</v>
      </c>
      <c r="G4">
        <f>AVERAGE('Bottle Results'!W8:W10)</f>
        <v>-0.6018030222414632</v>
      </c>
      <c r="H4">
        <f>_xlfn.STDEV.S('Bottle Results'!W8:W10)</f>
        <v>2.4595021142033966E-2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11.154398148149388</v>
      </c>
      <c r="L4" s="1">
        <f>AVERAGE('Bottle Results'!E8:E10)</f>
        <v>3.04E-2</v>
      </c>
      <c r="O4" t="s">
        <v>142</v>
      </c>
      <c r="P4">
        <f>P3*B5</f>
        <v>49.923690283276649</v>
      </c>
    </row>
    <row r="5" spans="1:17" x14ac:dyDescent="0.25">
      <c r="A5" t="s">
        <v>134</v>
      </c>
      <c r="B5">
        <f>AVERAGE('Bottle Results'!Q11:Q13)</f>
        <v>0.4992369028327665</v>
      </c>
      <c r="C5">
        <f>_xlfn.STDEV.S('Bottle Results'!Q11:Q13)</f>
        <v>0.1748329806347253</v>
      </c>
      <c r="D5">
        <f>AVERAGE('Bottle Results'!U11:U13)</f>
        <v>-14412.202299943476</v>
      </c>
      <c r="E5">
        <f>_xlfn.STDEV.S('Bottle Results'!U11:U13)</f>
        <v>9660.367151065966</v>
      </c>
      <c r="F5">
        <f>AVERAGE('Bottle Results'!S11:S13)</f>
        <v>-388.55546858362214</v>
      </c>
      <c r="G5">
        <f>AVERAGE('Bottle Results'!W11:W13)</f>
        <v>1.2299706463975058</v>
      </c>
      <c r="H5">
        <f>_xlfn.STDEV.S('Bottle Results'!W11:W13)</f>
        <v>0.20445404107787177</v>
      </c>
      <c r="I5">
        <f>AVERAGE('Bottle Results'!D11:D13)</f>
        <v>7</v>
      </c>
      <c r="J5">
        <f>_xlfn.STDEV.S('Bottle Results'!D11:D13)</f>
        <v>0</v>
      </c>
      <c r="K5" s="26">
        <f>AVERAGE('Bottle Results'!Z11:Z13)</f>
        <v>0.91435185185158241</v>
      </c>
      <c r="L5" s="1">
        <f>AVERAGE('Bottle Results'!E11:E13)</f>
        <v>3.04E-2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2017-06-12T21:27:51Z</dcterms:modified>
</cp:coreProperties>
</file>