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FHY_pH5\"/>
    </mc:Choice>
  </mc:AlternateContent>
  <bookViews>
    <workbookView xWindow="240" yWindow="15" windowWidth="16095" windowHeight="9660" firstSheet="2" activeTab="4"/>
  </bookViews>
  <sheets>
    <sheet name="Parameters" sheetId="1" r:id="rId1"/>
    <sheet name="Bottle Results" sheetId="2" r:id="rId2"/>
    <sheet name="Equilibrated Data" sheetId="3" r:id="rId3"/>
    <sheet name="Count-&gt;Actual Activity" sheetId="6" r:id="rId4"/>
    <sheet name="Result" sheetId="4" r:id="rId5"/>
    <sheet name="Calibration data" sheetId="5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F2" i="6" l="1"/>
  <c r="G2" i="6" s="1"/>
  <c r="F3" i="6"/>
  <c r="G3" i="6"/>
  <c r="F4" i="6"/>
  <c r="G4" i="6" s="1"/>
  <c r="F5" i="6"/>
  <c r="G5" i="6" s="1"/>
  <c r="F6" i="6"/>
  <c r="G6" i="6"/>
  <c r="F7" i="6"/>
  <c r="G7" i="6" s="1"/>
  <c r="F8" i="6"/>
  <c r="G8" i="6" s="1"/>
  <c r="F9" i="6"/>
  <c r="G9" i="6" s="1"/>
  <c r="F10" i="6"/>
  <c r="G10" i="6" s="1"/>
  <c r="F11" i="6"/>
  <c r="G11" i="6"/>
  <c r="F12" i="6"/>
  <c r="G12" i="6"/>
  <c r="F13" i="6"/>
  <c r="G13" i="6" s="1"/>
  <c r="F14" i="6"/>
  <c r="G14" i="6"/>
  <c r="F15" i="6"/>
  <c r="G15" i="6"/>
  <c r="F16" i="6"/>
  <c r="G16" i="6" s="1"/>
  <c r="F17" i="6"/>
  <c r="G17" i="6" s="1"/>
  <c r="F18" i="6"/>
  <c r="G18" i="6" s="1"/>
  <c r="F19" i="6"/>
  <c r="G19" i="6" s="1"/>
  <c r="G40" i="6" l="1"/>
  <c r="F40" i="6"/>
  <c r="D40" i="6"/>
  <c r="G39" i="6"/>
  <c r="F39" i="6"/>
  <c r="D39" i="6"/>
  <c r="G38" i="6"/>
  <c r="F38" i="6"/>
  <c r="D38" i="6"/>
  <c r="G37" i="6"/>
  <c r="F37" i="6"/>
  <c r="G36" i="6"/>
  <c r="F36" i="6"/>
  <c r="D36" i="6"/>
  <c r="G35" i="6"/>
  <c r="F35" i="6"/>
  <c r="D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K8" i="5"/>
  <c r="I8" i="5"/>
  <c r="H8" i="5"/>
  <c r="E8" i="5"/>
  <c r="D8" i="5"/>
  <c r="K7" i="5"/>
  <c r="I7" i="5"/>
  <c r="M7" i="5" s="1"/>
  <c r="E7" i="5"/>
  <c r="D7" i="5"/>
  <c r="L7" i="5" s="1"/>
  <c r="K6" i="5"/>
  <c r="H6" i="5"/>
  <c r="I6" i="5" s="1"/>
  <c r="E6" i="5"/>
  <c r="D6" i="5"/>
  <c r="L5" i="5"/>
  <c r="K5" i="5"/>
  <c r="I5" i="5"/>
  <c r="M5" i="5" s="1"/>
  <c r="H5" i="5"/>
  <c r="E5" i="5"/>
  <c r="D5" i="5"/>
  <c r="L4" i="5"/>
  <c r="K4" i="5"/>
  <c r="H4" i="5"/>
  <c r="I4" i="5" s="1"/>
  <c r="E4" i="5"/>
  <c r="D4" i="5"/>
  <c r="L3" i="5"/>
  <c r="K3" i="5"/>
  <c r="I3" i="5"/>
  <c r="J3" i="5" s="1"/>
  <c r="H3" i="5"/>
  <c r="E3" i="5"/>
  <c r="D3" i="5"/>
  <c r="L2" i="5"/>
  <c r="E2" i="5"/>
  <c r="D2" i="5"/>
  <c r="M4" i="5" l="1"/>
  <c r="J7" i="5"/>
  <c r="J4" i="5"/>
  <c r="J9" i="5" s="1"/>
  <c r="M6" i="5"/>
  <c r="N3" i="5" s="1"/>
  <c r="J6" i="5"/>
  <c r="M8" i="5"/>
  <c r="J5" i="5"/>
  <c r="J8" i="5"/>
  <c r="M3" i="5"/>
  <c r="L6" i="5"/>
  <c r="L8" i="5"/>
  <c r="K4" i="4"/>
  <c r="K5" i="4"/>
  <c r="K6" i="4"/>
  <c r="K7" i="4"/>
  <c r="K8" i="4"/>
  <c r="K3" i="4"/>
  <c r="N5" i="5" l="1"/>
  <c r="N7" i="5"/>
  <c r="N2" i="5"/>
  <c r="N8" i="5"/>
  <c r="N4" i="5"/>
  <c r="N6" i="5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<sst xmlns="http://schemas.openxmlformats.org/spreadsheetml/2006/main" count="380" uniqueCount="137">
  <si>
    <t>Value</t>
  </si>
  <si>
    <t>Error</t>
  </si>
  <si>
    <t>Units</t>
  </si>
  <si>
    <t>Notes</t>
  </si>
  <si>
    <t>Parameters</t>
  </si>
  <si>
    <t>Experiment Date</t>
  </si>
  <si>
    <t>Sample Volume</t>
  </si>
  <si>
    <t>Mineral Type</t>
  </si>
  <si>
    <t>Radium Stock Used</t>
  </si>
  <si>
    <t>Stock Activity</t>
  </si>
  <si>
    <t>Independent Cs?</t>
  </si>
  <si>
    <t>FHY</t>
  </si>
  <si>
    <t>Ra_Stock_4</t>
  </si>
  <si>
    <t>mL</t>
  </si>
  <si>
    <t>Bq/mL</t>
  </si>
  <si>
    <t>Liquid volume</t>
  </si>
  <si>
    <t>Activity of stock used to add radium (note you should use the actual activity, not the counted activity)</t>
  </si>
  <si>
    <t>Stock Volume Added (mL)</t>
  </si>
  <si>
    <t>Stock Vol Err (mL)</t>
  </si>
  <si>
    <t>Final pH</t>
  </si>
  <si>
    <t>Mineral Mass (g)</t>
  </si>
  <si>
    <t>Mineral Mass Error (g)</t>
  </si>
  <si>
    <t>Include</t>
  </si>
  <si>
    <t>Cw (Bq/mL)</t>
  </si>
  <si>
    <t>dCw (Bq/mL)</t>
  </si>
  <si>
    <t>Total Activity (Bq)</t>
  </si>
  <si>
    <t>dTotal Activity (Bq)</t>
  </si>
  <si>
    <t>Cs (Bq/g)</t>
  </si>
  <si>
    <t>dCs (Bq/g)</t>
  </si>
  <si>
    <t>Sample ID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</si>
  <si>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</si>
  <si>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</si>
  <si>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</si>
  <si>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</si>
  <si>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</si>
  <si>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</si>
  <si>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</si>
  <si>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</si>
  <si>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</si>
  <si>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</si>
  <si>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</si>
  <si>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</si>
  <si>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</si>
  <si>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</si>
  <si>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</si>
  <si>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</si>
  <si>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</si>
  <si>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</si>
  <si>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Counts (cps)</t>
  </si>
  <si>
    <t>Error (cps)</t>
  </si>
  <si>
    <t>Scintillation volume (mL)</t>
  </si>
  <si>
    <t>Scintillation volume error (mL)</t>
  </si>
  <si>
    <t>Solid Concentration (g/L)</t>
  </si>
  <si>
    <t>Solid Concentration Error (g/L)</t>
  </si>
  <si>
    <t>expID</t>
  </si>
  <si>
    <t>0</t>
  </si>
  <si>
    <t>5</t>
  </si>
  <si>
    <t>10</t>
  </si>
  <si>
    <t>50</t>
  </si>
  <si>
    <t>100</t>
  </si>
  <si>
    <t>500</t>
  </si>
  <si>
    <t>Cw</t>
  </si>
  <si>
    <t>sCw</t>
  </si>
  <si>
    <t>Cs</t>
  </si>
  <si>
    <t>sCs</t>
  </si>
  <si>
    <t>pH</t>
  </si>
  <si>
    <t>spH</t>
  </si>
  <si>
    <t>totAct</t>
  </si>
  <si>
    <t>stotAct</t>
  </si>
  <si>
    <t>nVals</t>
  </si>
  <si>
    <t>Sample</t>
  </si>
  <si>
    <t>fSorb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</si>
  <si>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</si>
  <si>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</si>
  <si>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</si>
  <si>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</si>
  <si>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</si>
  <si>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</si>
  <si>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 Activity (Bq)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</si>
  <si>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</si>
  <si>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</si>
  <si>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</si>
  <si>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</si>
  <si>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</si>
  <si>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</si>
  <si>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RaStd_0.01mL</t>
  </si>
  <si>
    <t>RaStd_0.05mL</t>
  </si>
  <si>
    <t>RaStd_0.1mL</t>
  </si>
  <si>
    <t>RaStd_0.5mL</t>
  </si>
  <si>
    <t>RaStd_1mL</t>
  </si>
  <si>
    <t>RaStd_5mL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</si>
  <si>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</si>
  <si>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</si>
  <si>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</si>
  <si>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</si>
  <si>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</si>
  <si>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</si>
  <si>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</si>
  <si>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</si>
  <si>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</si>
  <si>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</si>
  <si>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</si>
  <si>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</si>
  <si>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</si>
  <si>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</si>
  <si>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</si>
  <si>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</si>
  <si>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</si>
  <si>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</si>
  <si>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</si>
  <si>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</si>
  <si>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</si>
  <si>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</si>
  <si>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</si>
  <si>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</si>
  <si>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</si>
  <si>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</si>
  <si>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</si>
  <si>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</si>
  <si>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</si>
  <si>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</si>
  <si>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</si>
  <si>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</si>
  <si>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</si>
  <si>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</si>
  <si>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</si>
  <si>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Gamma Counter CPS-&gt;Bq</t>
  </si>
  <si>
    <t>USE FOR Bq-&gt;CPS</t>
  </si>
  <si>
    <t>Phase</t>
  </si>
  <si>
    <t>Counting Method</t>
  </si>
  <si>
    <t>Activity (Bq)</t>
  </si>
  <si>
    <t>Activity Error (Bq)</t>
  </si>
  <si>
    <t>Water</t>
  </si>
  <si>
    <t>Scintillation</t>
  </si>
  <si>
    <t>Solid</t>
  </si>
  <si>
    <t>Gamma Counter: Ra 226</t>
  </si>
  <si>
    <t>500_A_T1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</si>
</sst>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2" fillId="0" borderId="4" xfId="0" applyFont="1" applyBorder="1"/>
    <xf numFmtId="0" fontId="1" fillId="0" borderId="0" xfId="0" applyFont="1"/>
    <xf numFmtId="0" fontId="5" fillId="0" borderId="5" xfId="0" applyFont="1" applyFill="1" applyBorder="1" applyAlignment="1">
      <alignment horizontal="centerContinuous"/>
    </xf>
    <xf numFmtId="0" fontId="0" fillId="0" borderId="0" xfId="0" applyFill="1"/>
    <xf numFmtId="0" fontId="6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7" xfId="0" applyFill="1" applyBorder="1"/>
    <xf numFmtId="0" fontId="5" fillId="0" borderId="5" xfId="0" applyFont="1" applyFill="1" applyBorder="1" applyAlignment="1">
      <alignment horizontal="center"/>
    </xf>
    <xf numFmtId="0" fontId="0" fillId="0" borderId="8" xfId="0" applyFill="1" applyBorder="1" applyAlignment="1"/>
    <xf numFmtId="0" fontId="6" fillId="0" borderId="6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0" borderId="4" xfId="0" applyFill="1" applyBorder="1"/>
    <xf numFmtId="0" fontId="2" fillId="0" borderId="9" xfId="0" applyFont="1" applyBorder="1"/>
    <xf numFmtId="0" fontId="0" fillId="0" borderId="9" xfId="0" applyBorder="1"/>
    <xf numFmtId="0" fontId="2" fillId="0" borderId="10" xfId="0" applyFont="1" applyBorder="1"/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NumberFormat="1"/>
    <xf numFmtId="164" fontId="0" fillId="0" borderId="0" xfId="0" applyNumberFormat="1"/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Radium%20Sorption\Sorption%20Experiments\RaFHY_pH9\RaFHYpH9%20_NoScr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Scintillation Counter Results"/>
      <sheetName val="Count-&gt;Actual Activity"/>
      <sheetName val="Bottle Results"/>
      <sheetName val="Averaged Results"/>
      <sheetName val="Calibration data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3.4640522875816994E-3</v>
          </cell>
        </row>
        <row r="4">
          <cell r="F4">
            <v>7.9815435847137763E-3</v>
          </cell>
        </row>
        <row r="5">
          <cell r="F5">
            <v>1.2604166666666666E-2</v>
          </cell>
        </row>
        <row r="6">
          <cell r="F6">
            <v>5.0219907407407408E-2</v>
          </cell>
        </row>
        <row r="7">
          <cell r="F7">
            <v>9.4872685185185185E-2</v>
          </cell>
        </row>
        <row r="8">
          <cell r="F8">
            <v>0.39049768518518518</v>
          </cell>
        </row>
        <row r="9">
          <cell r="J9">
            <v>65308.483143000012</v>
          </cell>
        </row>
        <row r="20">
          <cell r="L20">
            <v>0.98521674441591967</v>
          </cell>
        </row>
        <row r="21">
          <cell r="L21">
            <v>6</v>
          </cell>
        </row>
        <row r="30">
          <cell r="L30">
            <v>3.980773420477135E-2</v>
          </cell>
        </row>
        <row r="31">
          <cell r="L31">
            <v>4.5676109511837577</v>
          </cell>
        </row>
        <row r="54">
          <cell r="L54">
            <v>6.5199566510312952E-3</v>
          </cell>
        </row>
        <row r="55">
          <cell r="L55">
            <v>6</v>
          </cell>
        </row>
        <row r="64">
          <cell r="L64">
            <v>7.8048250862010615E-3</v>
          </cell>
        </row>
        <row r="65">
          <cell r="L65">
            <v>1.308833284583751E-3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</row>
    <row r="3" spans="1:5" x14ac:dyDescent="0.25">
      <c r="A3" s="1" t="s">
        <v>5</v>
      </c>
    </row>
    <row r="4" spans="1:5" x14ac:dyDescent="0.25">
      <c r="A4" s="1" t="s">
        <v>6</v>
      </c>
      <c r="B4">
        <v>100</v>
      </c>
      <c r="C4">
        <v>0.1</v>
      </c>
      <c r="D4" t="s">
        <v>13</v>
      </c>
      <c r="E4" t="s">
        <v>15</v>
      </c>
    </row>
    <row r="5" spans="1:5" x14ac:dyDescent="0.25">
      <c r="A5" s="1" t="s">
        <v>7</v>
      </c>
      <c r="B5" t="s">
        <v>11</v>
      </c>
    </row>
    <row r="6" spans="1:5" x14ac:dyDescent="0.25">
      <c r="A6" s="1" t="s">
        <v>8</v>
      </c>
      <c r="B6" t="s">
        <v>12</v>
      </c>
    </row>
    <row r="7" spans="1:5" x14ac:dyDescent="0.25">
      <c r="A7" s="1" t="s">
        <v>9</v>
      </c>
      <c r="B7">
        <v>631.52245819489701</v>
      </c>
      <c r="C7">
        <v>0.53167165791808602</v>
      </c>
      <c r="D7" t="s">
        <v>14</v>
      </c>
      <c r="E7" t="s">
        <v>16</v>
      </c>
    </row>
    <row r="8" spans="1:5" x14ac:dyDescent="0.25">
      <c r="A8" s="1" t="s">
        <v>10</v>
      </c>
      <c r="B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RowHeight="15" x14ac:dyDescent="0.25"/>
  <sheetData>
    <row r="1" spans="1:13" x14ac:dyDescent="0.2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5">
      <c r="A2" s="1" t="s">
        <v>29</v>
      </c>
    </row>
    <row r="3" spans="1:13" x14ac:dyDescent="0.25">
      <c r="A3" s="1" t="s">
        <v>30</v>
      </c>
      <c r="B3">
        <v>0</v>
      </c>
      <c r="C3">
        <v>0</v>
      </c>
      <c r="D3">
        <v>5</v>
      </c>
      <c r="E3">
        <v>0.03</v>
      </c>
      <c r="F3">
        <v>9.0000000000000006E-5</v>
      </c>
      <c r="G3">
        <v>1</v>
      </c>
      <c r="H3">
        <v>2.8327972008088498E-2</v>
      </c>
      <c r="I3">
        <v>2.18970845204031E-2</v>
      </c>
      <c r="J3">
        <v>0</v>
      </c>
      <c r="L3">
        <v>-94.426573360294995</v>
      </c>
    </row>
    <row r="4" spans="1:13" x14ac:dyDescent="0.25">
      <c r="A4" s="1" t="s">
        <v>31</v>
      </c>
      <c r="B4">
        <v>0</v>
      </c>
      <c r="C4">
        <v>0</v>
      </c>
      <c r="D4">
        <v>5</v>
      </c>
      <c r="E4">
        <v>0.03</v>
      </c>
      <c r="F4">
        <v>9.0000000000000006E-5</v>
      </c>
      <c r="G4">
        <v>1</v>
      </c>
      <c r="H4">
        <v>2.2045440484425301E-2</v>
      </c>
      <c r="I4">
        <v>2.1898119270298302E-2</v>
      </c>
      <c r="J4">
        <v>0</v>
      </c>
      <c r="L4">
        <v>-73.484801614751106</v>
      </c>
    </row>
    <row r="5" spans="1:13" x14ac:dyDescent="0.25">
      <c r="A5" s="1" t="s">
        <v>32</v>
      </c>
      <c r="B5">
        <v>0</v>
      </c>
      <c r="C5">
        <v>0</v>
      </c>
      <c r="D5">
        <v>5</v>
      </c>
      <c r="E5">
        <v>0.03</v>
      </c>
      <c r="F5">
        <v>9.0000000000000006E-5</v>
      </c>
      <c r="G5">
        <v>1</v>
      </c>
      <c r="H5">
        <v>2.1852532877474701E-2</v>
      </c>
      <c r="I5">
        <v>2.1898151174993299E-2</v>
      </c>
      <c r="J5">
        <v>0</v>
      </c>
      <c r="L5">
        <v>-72.841776258248998</v>
      </c>
    </row>
    <row r="6" spans="1:13" x14ac:dyDescent="0.25">
      <c r="A6" s="1" t="s">
        <v>33</v>
      </c>
      <c r="B6">
        <v>7.92E-3</v>
      </c>
      <c r="C6">
        <v>1E-3</v>
      </c>
      <c r="D6">
        <v>5</v>
      </c>
      <c r="E6">
        <v>0.03</v>
      </c>
      <c r="F6">
        <v>9.0000000000000006E-5</v>
      </c>
      <c r="G6">
        <v>1</v>
      </c>
      <c r="H6">
        <v>4.6106754162189199E-2</v>
      </c>
      <c r="I6">
        <v>2.18942016190595E-2</v>
      </c>
      <c r="J6">
        <v>5.00165786890358</v>
      </c>
      <c r="K6">
        <v>0.63153649647037702</v>
      </c>
      <c r="L6">
        <v>13.0327484228222</v>
      </c>
      <c r="M6">
        <v>75.956285862824998</v>
      </c>
    </row>
    <row r="7" spans="1:13" x14ac:dyDescent="0.25">
      <c r="A7" s="1" t="s">
        <v>34</v>
      </c>
      <c r="B7">
        <v>7.92E-3</v>
      </c>
      <c r="C7">
        <v>1E-3</v>
      </c>
      <c r="D7">
        <v>5</v>
      </c>
      <c r="E7">
        <v>0.03</v>
      </c>
      <c r="F7">
        <v>9.0000000000000006E-5</v>
      </c>
      <c r="G7">
        <v>1</v>
      </c>
      <c r="H7">
        <v>4.9474816705165403E-2</v>
      </c>
      <c r="I7">
        <v>2.1893663019932501E-2</v>
      </c>
      <c r="J7">
        <v>5.00165786890358</v>
      </c>
      <c r="K7">
        <v>0.63153649647037702</v>
      </c>
      <c r="L7">
        <v>1.8058732795680299</v>
      </c>
      <c r="M7">
        <v>75.954574543444707</v>
      </c>
    </row>
    <row r="8" spans="1:13" x14ac:dyDescent="0.25">
      <c r="A8" s="1" t="s">
        <v>35</v>
      </c>
      <c r="B8">
        <v>7.92E-3</v>
      </c>
      <c r="C8">
        <v>1E-3</v>
      </c>
      <c r="D8">
        <v>5</v>
      </c>
      <c r="E8">
        <v>0.03</v>
      </c>
      <c r="F8">
        <v>9.0000000000000006E-5</v>
      </c>
      <c r="G8">
        <v>1</v>
      </c>
      <c r="H8">
        <v>6.8692585332735895E-2</v>
      </c>
      <c r="I8">
        <v>2.1890635835606902E-2</v>
      </c>
      <c r="J8">
        <v>5.00165786890358</v>
      </c>
      <c r="K8">
        <v>0.63153649647037702</v>
      </c>
      <c r="L8">
        <v>-62.253355479000099</v>
      </c>
      <c r="M8">
        <v>-75.945274868366795</v>
      </c>
    </row>
    <row r="9" spans="1:13" x14ac:dyDescent="0.25">
      <c r="A9" s="1" t="s">
        <v>36</v>
      </c>
      <c r="B9">
        <v>1.5800000000000002E-2</v>
      </c>
      <c r="C9">
        <v>1E-3</v>
      </c>
      <c r="D9">
        <v>5</v>
      </c>
      <c r="E9">
        <v>0.03</v>
      </c>
      <c r="F9">
        <v>9.0000000000000006E-5</v>
      </c>
      <c r="G9">
        <v>1</v>
      </c>
      <c r="H9">
        <v>0.104397871682296</v>
      </c>
      <c r="I9">
        <v>2.18852194466112E-2</v>
      </c>
      <c r="J9">
        <v>9.9780548394793698</v>
      </c>
      <c r="K9">
        <v>0.63157832620315002</v>
      </c>
      <c r="L9">
        <v>-15.3910776250071</v>
      </c>
      <c r="M9">
        <v>-75.928551154063101</v>
      </c>
    </row>
    <row r="10" spans="1:13" x14ac:dyDescent="0.25">
      <c r="A10" s="1" t="s">
        <v>37</v>
      </c>
      <c r="B10">
        <v>1.5800000000000002E-2</v>
      </c>
      <c r="C10">
        <v>1E-3</v>
      </c>
      <c r="D10">
        <v>5</v>
      </c>
      <c r="E10">
        <v>0.03</v>
      </c>
      <c r="F10">
        <v>9.0000000000000006E-5</v>
      </c>
      <c r="G10">
        <v>1</v>
      </c>
      <c r="H10">
        <v>8.59552092952659E-2</v>
      </c>
      <c r="I10">
        <v>2.1887983383138802E-2</v>
      </c>
      <c r="J10">
        <v>9.9780548394793698</v>
      </c>
      <c r="K10">
        <v>0.63157832620315002</v>
      </c>
      <c r="L10">
        <v>46.084463665092898</v>
      </c>
      <c r="M10">
        <v>75.937257972291803</v>
      </c>
    </row>
    <row r="11" spans="1:13" x14ac:dyDescent="0.25">
      <c r="A11" s="1" t="s">
        <v>38</v>
      </c>
      <c r="B11">
        <v>1.5800000000000002E-2</v>
      </c>
      <c r="C11">
        <v>1E-3</v>
      </c>
      <c r="D11">
        <v>5</v>
      </c>
      <c r="E11">
        <v>0.03</v>
      </c>
      <c r="F11">
        <v>9.0000000000000006E-5</v>
      </c>
      <c r="G11">
        <v>1</v>
      </c>
      <c r="H11">
        <v>8.6330597070953696E-2</v>
      </c>
      <c r="I11">
        <v>2.1887926405775401E-2</v>
      </c>
      <c r="J11">
        <v>9.9780548394793698</v>
      </c>
      <c r="K11">
        <v>0.63157832620315002</v>
      </c>
      <c r="L11">
        <v>44.833171079467</v>
      </c>
      <c r="M11">
        <v>75.937073484146595</v>
      </c>
    </row>
    <row r="12" spans="1:13" x14ac:dyDescent="0.25">
      <c r="A12" s="1" t="s">
        <v>39</v>
      </c>
      <c r="B12">
        <v>7.9100000000000004E-2</v>
      </c>
      <c r="C12">
        <v>2E-3</v>
      </c>
      <c r="D12">
        <v>5</v>
      </c>
      <c r="E12">
        <v>0.03</v>
      </c>
      <c r="F12">
        <v>9.0000000000000006E-5</v>
      </c>
      <c r="G12">
        <v>1</v>
      </c>
      <c r="H12">
        <v>0.43897221972563</v>
      </c>
      <c r="I12">
        <v>2.1847631522608602E-2</v>
      </c>
      <c r="J12">
        <v>49.953426443216401</v>
      </c>
      <c r="K12">
        <v>1.26374487260369</v>
      </c>
      <c r="L12">
        <v>201.87348235511101</v>
      </c>
      <c r="M12">
        <v>84.146025185844806</v>
      </c>
    </row>
    <row r="13" spans="1:13" x14ac:dyDescent="0.25">
      <c r="A13" s="1" t="s">
        <v>40</v>
      </c>
      <c r="B13">
        <v>7.9100000000000004E-2</v>
      </c>
      <c r="C13">
        <v>2E-3</v>
      </c>
      <c r="D13">
        <v>5</v>
      </c>
      <c r="E13">
        <v>0.03</v>
      </c>
      <c r="F13">
        <v>9.0000000000000006E-5</v>
      </c>
      <c r="G13">
        <v>1</v>
      </c>
      <c r="H13">
        <v>0.45263998436403902</v>
      </c>
      <c r="I13">
        <v>2.1846602857884399E-2</v>
      </c>
      <c r="J13">
        <v>49.953426443216401</v>
      </c>
      <c r="K13">
        <v>1.26374487260369</v>
      </c>
      <c r="L13">
        <v>156.314266893748</v>
      </c>
      <c r="M13">
        <v>84.142989498056707</v>
      </c>
    </row>
    <row r="14" spans="1:13" x14ac:dyDescent="0.25">
      <c r="A14" s="1" t="s">
        <v>41</v>
      </c>
      <c r="B14">
        <v>7.9100000000000004E-2</v>
      </c>
      <c r="C14">
        <v>2E-3</v>
      </c>
      <c r="D14">
        <v>5</v>
      </c>
      <c r="E14">
        <v>0.03</v>
      </c>
      <c r="F14">
        <v>9.0000000000000006E-5</v>
      </c>
      <c r="G14">
        <v>1</v>
      </c>
      <c r="H14">
        <v>0.20458191738788201</v>
      </c>
      <c r="I14">
        <v>2.1871466678335699E-2</v>
      </c>
      <c r="J14">
        <v>49.953426443216401</v>
      </c>
      <c r="K14">
        <v>1.26374487260369</v>
      </c>
      <c r="L14">
        <v>983.17449014760405</v>
      </c>
      <c r="M14">
        <v>84.254310190367804</v>
      </c>
    </row>
    <row r="15" spans="1:13" x14ac:dyDescent="0.25">
      <c r="A15" s="1" t="s">
        <v>42</v>
      </c>
      <c r="B15">
        <v>0.158</v>
      </c>
      <c r="C15">
        <v>2E-3</v>
      </c>
      <c r="D15">
        <v>5</v>
      </c>
      <c r="E15">
        <v>0.03</v>
      </c>
      <c r="F15">
        <v>9.0000000000000006E-5</v>
      </c>
      <c r="G15">
        <v>1</v>
      </c>
      <c r="H15">
        <v>0.87960708317511505</v>
      </c>
      <c r="I15">
        <v>2.18345526279328E-2</v>
      </c>
      <c r="J15">
        <v>99.780548394793698</v>
      </c>
      <c r="K15">
        <v>1.26583535790515</v>
      </c>
      <c r="L15">
        <v>393.994669242741</v>
      </c>
      <c r="M15">
        <v>84.187690454954705</v>
      </c>
    </row>
    <row r="16" spans="1:13" x14ac:dyDescent="0.25">
      <c r="A16" s="1" t="s">
        <v>43</v>
      </c>
      <c r="B16">
        <v>0.158</v>
      </c>
      <c r="C16">
        <v>2E-3</v>
      </c>
      <c r="D16">
        <v>5</v>
      </c>
      <c r="E16">
        <v>0.03</v>
      </c>
      <c r="F16">
        <v>9.0000000000000006E-5</v>
      </c>
      <c r="G16">
        <v>1</v>
      </c>
      <c r="H16">
        <v>0.89040078515591403</v>
      </c>
      <c r="I16">
        <v>2.1834752710759599E-2</v>
      </c>
      <c r="J16">
        <v>99.780548394793698</v>
      </c>
      <c r="K16">
        <v>1.26583535790515</v>
      </c>
      <c r="L16">
        <v>358.01566264007602</v>
      </c>
      <c r="M16">
        <v>84.188081549879101</v>
      </c>
    </row>
    <row r="17" spans="1:13" x14ac:dyDescent="0.25">
      <c r="A17" s="1" t="s">
        <v>44</v>
      </c>
      <c r="B17">
        <v>0.158</v>
      </c>
      <c r="C17">
        <v>2E-3</v>
      </c>
      <c r="D17">
        <v>5</v>
      </c>
      <c r="E17">
        <v>0.03</v>
      </c>
      <c r="F17">
        <v>9.0000000000000006E-5</v>
      </c>
      <c r="G17">
        <v>1</v>
      </c>
      <c r="H17">
        <v>0.90466161034271897</v>
      </c>
      <c r="I17">
        <v>2.1835055231572299E-2</v>
      </c>
      <c r="J17">
        <v>99.780548394793698</v>
      </c>
      <c r="K17">
        <v>1.26583535790515</v>
      </c>
      <c r="L17">
        <v>310.47957868406002</v>
      </c>
      <c r="M17">
        <v>84.188944045722295</v>
      </c>
    </row>
    <row r="18" spans="1:13" x14ac:dyDescent="0.25">
      <c r="A18" s="1" t="s">
        <v>45</v>
      </c>
      <c r="B18">
        <v>0.79200000000000004</v>
      </c>
      <c r="C18">
        <v>2E-3</v>
      </c>
      <c r="D18">
        <v>5</v>
      </c>
      <c r="E18">
        <v>0.03</v>
      </c>
      <c r="F18">
        <v>9.0000000000000006E-5</v>
      </c>
      <c r="G18">
        <v>1</v>
      </c>
      <c r="H18">
        <v>4.0679005913497903</v>
      </c>
      <c r="I18">
        <v>2.2947598566652998E-2</v>
      </c>
      <c r="J18">
        <v>500.16578689035799</v>
      </c>
      <c r="K18">
        <v>1.3313880562601199</v>
      </c>
      <c r="L18">
        <v>3112.5242585126298</v>
      </c>
      <c r="M18">
        <v>89.953483949145806</v>
      </c>
    </row>
    <row r="19" spans="1:13" x14ac:dyDescent="0.25">
      <c r="A19" s="1" t="s">
        <v>46</v>
      </c>
      <c r="B19">
        <v>0.79200000000000004</v>
      </c>
      <c r="C19">
        <v>2E-3</v>
      </c>
      <c r="D19">
        <v>5</v>
      </c>
      <c r="E19">
        <v>0.03</v>
      </c>
      <c r="F19">
        <v>9.0000000000000006E-5</v>
      </c>
      <c r="G19">
        <v>1</v>
      </c>
      <c r="H19">
        <v>4.3811734210292199</v>
      </c>
      <c r="I19">
        <v>2.31647900690705E-2</v>
      </c>
      <c r="J19">
        <v>500.16578689035799</v>
      </c>
      <c r="K19">
        <v>1.3313880562601199</v>
      </c>
      <c r="L19">
        <v>2068.2814929145602</v>
      </c>
      <c r="M19">
        <v>90.463412105234497</v>
      </c>
    </row>
    <row r="20" spans="1:13" x14ac:dyDescent="0.25">
      <c r="A20" s="1" t="s">
        <v>47</v>
      </c>
      <c r="B20">
        <v>0.79200000000000004</v>
      </c>
      <c r="C20">
        <v>2E-3</v>
      </c>
      <c r="D20">
        <v>5</v>
      </c>
      <c r="E20">
        <v>0.03</v>
      </c>
      <c r="F20">
        <v>9.0000000000000006E-5</v>
      </c>
      <c r="G20">
        <v>1</v>
      </c>
      <c r="H20">
        <v>4.4237369203871504</v>
      </c>
      <c r="I20">
        <v>2.3195665505159401E-2</v>
      </c>
      <c r="J20">
        <v>500.16578689035799</v>
      </c>
      <c r="K20">
        <v>1.3313880562601199</v>
      </c>
      <c r="L20">
        <v>1926.40316172146</v>
      </c>
      <c r="M20">
        <v>90.546102180531605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3" sqref="B3:C20"/>
    </sheetView>
  </sheetViews>
  <sheetFormatPr defaultRowHeight="15" x14ac:dyDescent="0.25"/>
  <sheetData>
    <row r="1" spans="1:8" x14ac:dyDescent="0.25"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  <row r="2" spans="1:8" x14ac:dyDescent="0.25">
      <c r="A2" s="1" t="s">
        <v>29</v>
      </c>
    </row>
    <row r="3" spans="1:8" x14ac:dyDescent="0.25">
      <c r="A3" s="1" t="s">
        <v>30</v>
      </c>
      <c r="B3">
        <v>1.5433333333333299</v>
      </c>
      <c r="C3">
        <v>0.10161747619047599</v>
      </c>
      <c r="D3">
        <v>10</v>
      </c>
      <c r="E3">
        <v>0.02</v>
      </c>
      <c r="H3" t="s">
        <v>55</v>
      </c>
    </row>
    <row r="4" spans="1:8" x14ac:dyDescent="0.25">
      <c r="A4" s="1" t="s">
        <v>31</v>
      </c>
      <c r="B4">
        <v>1.2564285714285699</v>
      </c>
      <c r="C4">
        <v>9.1539795918367306E-2</v>
      </c>
      <c r="D4">
        <v>10</v>
      </c>
      <c r="E4">
        <v>0.02</v>
      </c>
      <c r="H4" t="s">
        <v>55</v>
      </c>
    </row>
    <row r="5" spans="1:8" x14ac:dyDescent="0.25">
      <c r="A5" s="1" t="s">
        <v>32</v>
      </c>
      <c r="B5">
        <v>1.2476190476190501</v>
      </c>
      <c r="C5">
        <v>9.1236598639455796E-2</v>
      </c>
      <c r="D5">
        <v>10</v>
      </c>
      <c r="E5">
        <v>0.02</v>
      </c>
      <c r="H5" t="s">
        <v>55</v>
      </c>
    </row>
    <row r="6" spans="1:8" x14ac:dyDescent="0.25">
      <c r="A6" s="1" t="s">
        <v>33</v>
      </c>
      <c r="B6">
        <v>2.3552380952381</v>
      </c>
      <c r="C6">
        <v>0.12698097959183699</v>
      </c>
      <c r="D6">
        <v>10</v>
      </c>
      <c r="E6">
        <v>0.02</v>
      </c>
      <c r="H6" t="s">
        <v>56</v>
      </c>
    </row>
    <row r="7" spans="1:8" x14ac:dyDescent="0.25">
      <c r="A7" s="1" t="s">
        <v>34</v>
      </c>
      <c r="B7">
        <v>2.5090476190476201</v>
      </c>
      <c r="C7">
        <v>0.13150993877551001</v>
      </c>
      <c r="D7">
        <v>10</v>
      </c>
      <c r="E7">
        <v>0.02</v>
      </c>
      <c r="H7" t="s">
        <v>56</v>
      </c>
    </row>
    <row r="8" spans="1:8" x14ac:dyDescent="0.25">
      <c r="A8" s="1" t="s">
        <v>35</v>
      </c>
      <c r="B8">
        <v>3.3866666666666698</v>
      </c>
      <c r="C8">
        <v>0.154044952380952</v>
      </c>
      <c r="D8">
        <v>10</v>
      </c>
      <c r="E8">
        <v>0.02</v>
      </c>
      <c r="H8" t="s">
        <v>56</v>
      </c>
    </row>
    <row r="9" spans="1:8" x14ac:dyDescent="0.25">
      <c r="A9" s="1" t="s">
        <v>36</v>
      </c>
      <c r="B9">
        <v>5.0172222222222196</v>
      </c>
      <c r="C9">
        <v>0.18488463888888901</v>
      </c>
      <c r="D9">
        <v>10</v>
      </c>
      <c r="E9">
        <v>0.02</v>
      </c>
      <c r="H9" t="s">
        <v>57</v>
      </c>
    </row>
    <row r="10" spans="1:8" x14ac:dyDescent="0.25">
      <c r="A10" s="1" t="s">
        <v>37</v>
      </c>
      <c r="B10">
        <v>4.1749999999999998</v>
      </c>
      <c r="C10">
        <v>0.17212928571428601</v>
      </c>
      <c r="D10">
        <v>10</v>
      </c>
      <c r="E10">
        <v>0.02</v>
      </c>
      <c r="H10" t="s">
        <v>57</v>
      </c>
    </row>
    <row r="11" spans="1:8" x14ac:dyDescent="0.25">
      <c r="A11" s="1" t="s">
        <v>38</v>
      </c>
      <c r="B11">
        <v>4.1921428571428603</v>
      </c>
      <c r="C11">
        <v>0.17181796938775501</v>
      </c>
      <c r="D11">
        <v>10</v>
      </c>
      <c r="E11">
        <v>0.02</v>
      </c>
      <c r="H11" t="s">
        <v>57</v>
      </c>
    </row>
    <row r="12" spans="1:8" x14ac:dyDescent="0.25">
      <c r="A12" s="1" t="s">
        <v>39</v>
      </c>
      <c r="B12">
        <v>20.296250000000001</v>
      </c>
      <c r="C12">
        <v>0.3683769375</v>
      </c>
      <c r="D12">
        <v>10</v>
      </c>
      <c r="E12">
        <v>0.02</v>
      </c>
      <c r="H12" t="s">
        <v>58</v>
      </c>
    </row>
    <row r="13" spans="1:8" x14ac:dyDescent="0.25">
      <c r="A13" s="1" t="s">
        <v>40</v>
      </c>
      <c r="B13">
        <v>20.9204166666667</v>
      </c>
      <c r="C13">
        <v>0.37447545833333301</v>
      </c>
      <c r="D13">
        <v>10</v>
      </c>
      <c r="E13">
        <v>0.02</v>
      </c>
      <c r="H13" t="s">
        <v>58</v>
      </c>
    </row>
    <row r="14" spans="1:8" x14ac:dyDescent="0.25">
      <c r="A14" s="1" t="s">
        <v>41</v>
      </c>
      <c r="B14">
        <v>9.5923333333333307</v>
      </c>
      <c r="C14">
        <v>0.26513209333333299</v>
      </c>
      <c r="D14">
        <v>10</v>
      </c>
      <c r="E14">
        <v>0.02</v>
      </c>
      <c r="H14" t="s">
        <v>58</v>
      </c>
    </row>
    <row r="15" spans="1:8" x14ac:dyDescent="0.25">
      <c r="A15" s="1" t="s">
        <v>42</v>
      </c>
      <c r="B15">
        <v>40.418750000000003</v>
      </c>
      <c r="C15">
        <v>0.52039140625000002</v>
      </c>
      <c r="D15">
        <v>10</v>
      </c>
      <c r="E15">
        <v>0.02</v>
      </c>
      <c r="H15" t="s">
        <v>59</v>
      </c>
    </row>
    <row r="16" spans="1:8" x14ac:dyDescent="0.25">
      <c r="A16" s="1" t="s">
        <v>43</v>
      </c>
      <c r="B16">
        <v>40.911666666666697</v>
      </c>
      <c r="C16">
        <v>0.52264654166666702</v>
      </c>
      <c r="D16">
        <v>10</v>
      </c>
      <c r="E16">
        <v>0.02</v>
      </c>
      <c r="H16" t="s">
        <v>59</v>
      </c>
    </row>
    <row r="17" spans="1:8" x14ac:dyDescent="0.25">
      <c r="A17" s="1" t="s">
        <v>44</v>
      </c>
      <c r="B17">
        <v>41.562916666666702</v>
      </c>
      <c r="C17">
        <v>0.52784904166666702</v>
      </c>
      <c r="D17">
        <v>10</v>
      </c>
      <c r="E17">
        <v>0.02</v>
      </c>
      <c r="H17" t="s">
        <v>59</v>
      </c>
    </row>
    <row r="18" spans="1:8" x14ac:dyDescent="0.25">
      <c r="A18" s="1" t="s">
        <v>45</v>
      </c>
      <c r="B18">
        <v>186.01875000000001</v>
      </c>
      <c r="C18">
        <v>1.12076296875</v>
      </c>
      <c r="D18">
        <v>10</v>
      </c>
      <c r="E18">
        <v>0.02</v>
      </c>
      <c r="H18" t="s">
        <v>60</v>
      </c>
    </row>
    <row r="19" spans="1:8" x14ac:dyDescent="0.25">
      <c r="A19" s="1" t="s">
        <v>46</v>
      </c>
      <c r="B19">
        <v>200.32499999999999</v>
      </c>
      <c r="C19">
        <v>1.15186875</v>
      </c>
      <c r="D19">
        <v>10</v>
      </c>
      <c r="E19">
        <v>0.02</v>
      </c>
      <c r="H19" t="s">
        <v>60</v>
      </c>
    </row>
    <row r="20" spans="1:8" x14ac:dyDescent="0.25">
      <c r="A20" s="1" t="s">
        <v>47</v>
      </c>
      <c r="B20">
        <v>202.26875000000001</v>
      </c>
      <c r="C20">
        <v>1.1630453125</v>
      </c>
      <c r="D20">
        <v>10</v>
      </c>
      <c r="E20">
        <v>0.02</v>
      </c>
      <c r="H2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0"/>
  <sheetViews>
    <sheetView workbookViewId="0">
      <selection activeCell="G11" sqref="G11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29</v>
      </c>
      <c r="B1" t="s">
        <v>128</v>
      </c>
      <c r="C1" t="s">
        <v>48</v>
      </c>
      <c r="D1" t="s">
        <v>49</v>
      </c>
      <c r="E1" t="s">
        <v>129</v>
      </c>
      <c r="F1" t="s">
        <v>130</v>
      </c>
      <c r="G1" t="s">
        <v>131</v>
      </c>
    </row>
    <row r="2" spans="1:7" x14ac:dyDescent="0.25">
      <c r="A2" s="25" t="s">
        <v>30</v>
      </c>
      <c r="B2" s="25" t="s">
        <v>132</v>
      </c>
      <c r="C2">
        <v>1.5433333333333299</v>
      </c>
      <c r="D2">
        <v>8.9823222222222193E-2</v>
      </c>
      <c r="E2" s="26" t="s">
        <v>133</v>
      </c>
      <c r="F2" s="26">
        <f>(C2-'[1]Calibration data'!$L$30)/'[1]Calibration data'!$L$31</f>
        <v>0.32917111706698654</v>
      </c>
      <c r="G2" s="27">
        <f>'[1]Calibration data'!$L$20/'[1]Calibration data'!$L$31*SQRT(1/'[1]Calibration data'!$L$21+1+('Count-&gt;Actual Activity'!F2-AVERAGE('[1]Calibration data'!$F$3:$F$8))^2/('[1]Calibration data'!$L$31^2*'[1]Calibration data'!$J$9))</f>
        <v>0.23297862683892542</v>
      </c>
    </row>
    <row r="3" spans="1:7" x14ac:dyDescent="0.25">
      <c r="A3" s="25" t="s">
        <v>31</v>
      </c>
      <c r="B3" s="25" t="s">
        <v>132</v>
      </c>
      <c r="C3">
        <v>1.2564285714285699</v>
      </c>
      <c r="D3">
        <v>9.1134000000000007E-2</v>
      </c>
      <c r="E3" s="26" t="s">
        <v>133</v>
      </c>
      <c r="F3" s="26">
        <f>(C3-'[1]Calibration data'!$L$30)/'[1]Calibration data'!$L$31</f>
        <v>0.26635824509276451</v>
      </c>
      <c r="G3" s="27">
        <f>'[1]Calibration data'!$L$20/'[1]Calibration data'!$L$31*SQRT(1/'[1]Calibration data'!$L$21+1+('Count-&gt;Actual Activity'!F3-AVERAGE('[1]Calibration data'!$F$3:$F$8))^2/('[1]Calibration data'!$L$31^2*'[1]Calibration data'!$J$9))</f>
        <v>0.2329786249563818</v>
      </c>
    </row>
    <row r="4" spans="1:7" x14ac:dyDescent="0.25">
      <c r="A4" s="25" t="s">
        <v>32</v>
      </c>
      <c r="B4" s="25" t="s">
        <v>132</v>
      </c>
      <c r="C4">
        <v>1.2476190476190501</v>
      </c>
      <c r="D4">
        <v>8.8553111111111096E-2</v>
      </c>
      <c r="E4" s="26" t="s">
        <v>133</v>
      </c>
      <c r="F4" s="26">
        <f>(C4-'[1]Calibration data'!$L$30)/'[1]Calibration data'!$L$31</f>
        <v>0.26442955109853616</v>
      </c>
      <c r="G4" s="27">
        <f>'[1]Calibration data'!$L$20/'[1]Calibration data'!$L$31*SQRT(1/'[1]Calibration data'!$L$21+1+('Count-&gt;Actual Activity'!F4-AVERAGE('[1]Calibration data'!$F$3:$F$8))^2/('[1]Calibration data'!$L$31^2*'[1]Calibration data'!$J$9))</f>
        <v>0.23297862490772792</v>
      </c>
    </row>
    <row r="5" spans="1:7" x14ac:dyDescent="0.25">
      <c r="A5" s="25" t="s">
        <v>33</v>
      </c>
      <c r="B5" s="25" t="s">
        <v>132</v>
      </c>
      <c r="C5">
        <v>2.3552380952381</v>
      </c>
      <c r="D5">
        <v>8.8728500000000002E-2</v>
      </c>
      <c r="E5" s="26" t="s">
        <v>133</v>
      </c>
      <c r="F5" s="26">
        <f>(C5-'[1]Calibration data'!$L$30)/'[1]Calibration data'!$L$31</f>
        <v>0.50692372572433164</v>
      </c>
      <c r="G5" s="27">
        <f>'[1]Calibration data'!$L$20/'[1]Calibration data'!$L$31*SQRT(1/'[1]Calibration data'!$L$21+1+('Count-&gt;Actual Activity'!F5-AVERAGE('[1]Calibration data'!$F$3:$F$8))^2/('[1]Calibration data'!$L$31^2*'[1]Calibration data'!$J$9))</f>
        <v>0.23297863529986917</v>
      </c>
    </row>
    <row r="6" spans="1:7" x14ac:dyDescent="0.25">
      <c r="A6" s="25" t="s">
        <v>34</v>
      </c>
      <c r="B6" s="25" t="s">
        <v>132</v>
      </c>
      <c r="C6">
        <v>2.5090476190476201</v>
      </c>
      <c r="D6">
        <v>9.0112499999999998E-2</v>
      </c>
      <c r="E6" s="26" t="s">
        <v>133</v>
      </c>
      <c r="F6" s="26">
        <f>(C6-'[1]Calibration data'!$L$30)/'[1]Calibration data'!$L$31</f>
        <v>0.54059768032627908</v>
      </c>
      <c r="G6" s="27">
        <f>'[1]Calibration data'!$L$20/'[1]Calibration data'!$L$31*SQRT(1/'[1]Calibration data'!$L$21+1+('Count-&gt;Actual Activity'!F6-AVERAGE('[1]Calibration data'!$F$3:$F$8))^2/('[1]Calibration data'!$L$31^2*'[1]Calibration data'!$J$9))</f>
        <v>0.23297863742446331</v>
      </c>
    </row>
    <row r="7" spans="1:7" x14ac:dyDescent="0.25">
      <c r="A7" s="25" t="s">
        <v>35</v>
      </c>
      <c r="B7" s="25" t="s">
        <v>132</v>
      </c>
      <c r="C7">
        <v>3.3866666666666698</v>
      </c>
      <c r="D7">
        <v>8.74016666666666E-2</v>
      </c>
      <c r="E7" s="26" t="s">
        <v>133</v>
      </c>
      <c r="F7" s="26">
        <f>(C7-'[1]Calibration data'!$L$30)/'[1]Calibration data'!$L$31</f>
        <v>0.73273730364327883</v>
      </c>
      <c r="G7" s="27">
        <f>'[1]Calibration data'!$L$20/'[1]Calibration data'!$L$31*SQRT(1/'[1]Calibration data'!$L$21+1+('Count-&gt;Actual Activity'!F7-AVERAGE('[1]Calibration data'!$F$3:$F$8))^2/('[1]Calibration data'!$L$31^2*'[1]Calibration data'!$J$9))</f>
        <v>0.23297865272664411</v>
      </c>
    </row>
    <row r="8" spans="1:7" ht="15.75" customHeight="1" x14ac:dyDescent="0.25">
      <c r="A8" s="25" t="s">
        <v>36</v>
      </c>
      <c r="B8" s="25" t="s">
        <v>132</v>
      </c>
      <c r="C8">
        <v>5.0172222222222196</v>
      </c>
      <c r="D8">
        <v>8.7921037037037006E-2</v>
      </c>
      <c r="E8" s="26" t="s">
        <v>133</v>
      </c>
      <c r="F8" s="26">
        <f>(C8-'[1]Calibration data'!$L$30)/'[1]Calibration data'!$L$31</f>
        <v>1.0897194487913828</v>
      </c>
      <c r="G8" s="27">
        <f>'[1]Calibration data'!$L$20/'[1]Calibration data'!$L$31*SQRT(1/'[1]Calibration data'!$L$21+1+('Count-&gt;Actual Activity'!F8-AVERAGE('[1]Calibration data'!$F$3:$F$8))^2/('[1]Calibration data'!$L$31^2*'[1]Calibration data'!$J$9))</f>
        <v>0.2329786955220654</v>
      </c>
    </row>
    <row r="9" spans="1:7" x14ac:dyDescent="0.25">
      <c r="A9" s="25" t="s">
        <v>37</v>
      </c>
      <c r="B9" s="25" t="s">
        <v>132</v>
      </c>
      <c r="C9">
        <v>4.1749999999999998</v>
      </c>
      <c r="D9">
        <v>8.9131000000000002E-2</v>
      </c>
      <c r="E9" s="26" t="s">
        <v>133</v>
      </c>
      <c r="F9" s="26">
        <f>(C9-'[1]Calibration data'!$L$30)/'[1]Calibration data'!$L$31</f>
        <v>0.90532935269444037</v>
      </c>
      <c r="G9" s="27">
        <f>'[1]Calibration data'!$L$20/'[1]Calibration data'!$L$31*SQRT(1/'[1]Calibration data'!$L$21+1+('Count-&gt;Actual Activity'!F9-AVERAGE('[1]Calibration data'!$F$3:$F$8))^2/('[1]Calibration data'!$L$31^2*'[1]Calibration data'!$J$9))</f>
        <v>0.23297867108506021</v>
      </c>
    </row>
    <row r="10" spans="1:7" x14ac:dyDescent="0.25">
      <c r="A10" s="25" t="s">
        <v>38</v>
      </c>
      <c r="B10" s="25" t="s">
        <v>132</v>
      </c>
      <c r="C10">
        <v>4.1921428571428603</v>
      </c>
      <c r="D10">
        <v>9.0074962962962996E-2</v>
      </c>
      <c r="E10" s="26" t="s">
        <v>133</v>
      </c>
      <c r="F10" s="26">
        <f>(C10-'[1]Calibration data'!$L$30)/'[1]Calibration data'!$L$31</f>
        <v>0.90908248695348182</v>
      </c>
      <c r="G10" s="27">
        <f>'[1]Calibration data'!$L$20/'[1]Calibration data'!$L$31*SQRT(1/'[1]Calibration data'!$L$21+1+('Count-&gt;Actual Activity'!F10-AVERAGE('[1]Calibration data'!$F$3:$F$8))^2/('[1]Calibration data'!$L$31^2*'[1]Calibration data'!$J$9))</f>
        <v>0.23297867153277754</v>
      </c>
    </row>
    <row r="11" spans="1:7" x14ac:dyDescent="0.25">
      <c r="A11" s="25" t="s">
        <v>39</v>
      </c>
      <c r="B11" s="25" t="s">
        <v>132</v>
      </c>
      <c r="C11">
        <v>20.296250000000001</v>
      </c>
      <c r="D11">
        <v>8.9990333333333297E-2</v>
      </c>
      <c r="E11" s="26" t="s">
        <v>133</v>
      </c>
      <c r="F11" s="26">
        <f>(C11-'[1]Calibration data'!$L$30)/'[1]Calibration data'!$L$31</f>
        <v>4.4348002669854143</v>
      </c>
      <c r="G11" s="27">
        <f>'[1]Calibration data'!$L$20/'[1]Calibration data'!$L$31*SQRT(1/'[1]Calibration data'!$L$21+1+('Count-&gt;Actual Activity'!F11-AVERAGE('[1]Calibration data'!$F$3:$F$8))^2/('[1]Calibration data'!$L$31^2*'[1]Calibration data'!$J$9))</f>
        <v>0.23298000402022359</v>
      </c>
    </row>
    <row r="12" spans="1:7" x14ac:dyDescent="0.25">
      <c r="A12" s="25" t="s">
        <v>40</v>
      </c>
      <c r="B12" s="25" t="s">
        <v>132</v>
      </c>
      <c r="C12">
        <v>20.9204166666667</v>
      </c>
      <c r="D12">
        <v>8.9435611111111105E-2</v>
      </c>
      <c r="E12" s="26" t="s">
        <v>133</v>
      </c>
      <c r="F12" s="26">
        <f>(C12-'[1]Calibration data'!$L$30)/'[1]Calibration data'!$L$31</f>
        <v>4.5714508428197984</v>
      </c>
      <c r="G12" s="27">
        <f>'[1]Calibration data'!$L$20/'[1]Calibration data'!$L$31*SQRT(1/'[1]Calibration data'!$L$21+1+('Count-&gt;Actual Activity'!F12-AVERAGE('[1]Calibration data'!$F$3:$F$8))^2/('[1]Calibration data'!$L$31^2*'[1]Calibration data'!$J$9))</f>
        <v>0.23298009233925968</v>
      </c>
    </row>
    <row r="13" spans="1:7" x14ac:dyDescent="0.25">
      <c r="A13" s="25" t="s">
        <v>41</v>
      </c>
      <c r="B13" s="25" t="s">
        <v>132</v>
      </c>
      <c r="C13">
        <v>9.5923333333333307</v>
      </c>
      <c r="D13">
        <v>9.0282000000000001E-2</v>
      </c>
      <c r="E13" s="26" t="s">
        <v>133</v>
      </c>
      <c r="F13" s="26">
        <f>(C13-'[1]Calibration data'!$L$30)/'[1]Calibration data'!$L$31</f>
        <v>2.0913614800430613</v>
      </c>
      <c r="G13" s="27">
        <f>'[1]Calibration data'!$L$20/'[1]Calibration data'!$L$31*SQRT(1/'[1]Calibration data'!$L$21+1+('Count-&gt;Actual Activity'!F13-AVERAGE('[1]Calibration data'!$F$3:$F$8))^2/('[1]Calibration data'!$L$31^2*'[1]Calibration data'!$J$9))</f>
        <v>0.23297891532473589</v>
      </c>
    </row>
    <row r="14" spans="1:7" x14ac:dyDescent="0.25">
      <c r="A14" s="25" t="s">
        <v>42</v>
      </c>
      <c r="B14" s="25" t="s">
        <v>132</v>
      </c>
      <c r="C14">
        <v>40.418750000000003</v>
      </c>
      <c r="D14">
        <v>9.2373333333333293E-2</v>
      </c>
      <c r="E14" s="26" t="s">
        <v>133</v>
      </c>
      <c r="F14" s="26">
        <f>(C14-'[1]Calibration data'!$L$30)/'[1]Calibration data'!$L$31</f>
        <v>8.8402761744256004</v>
      </c>
      <c r="G14" s="27">
        <f>'[1]Calibration data'!$L$20/'[1]Calibration data'!$L$31*SQRT(1/'[1]Calibration data'!$L$21+1+('Count-&gt;Actual Activity'!F14-AVERAGE('[1]Calibration data'!$F$3:$F$8))^2/('[1]Calibration data'!$L$31^2*'[1]Calibration data'!$J$9))</f>
        <v>0.2329842294283446</v>
      </c>
    </row>
    <row r="15" spans="1:7" x14ac:dyDescent="0.25">
      <c r="A15" s="25" t="s">
        <v>43</v>
      </c>
      <c r="B15" s="25" t="s">
        <v>132</v>
      </c>
      <c r="C15">
        <v>40.911666666666697</v>
      </c>
      <c r="D15">
        <v>9.2980999999999994E-2</v>
      </c>
      <c r="E15" s="26" t="s">
        <v>133</v>
      </c>
      <c r="F15" s="26">
        <f>(C15-'[1]Calibration data'!$L$30)/'[1]Calibration data'!$L$31</f>
        <v>8.9481918160892047</v>
      </c>
      <c r="G15" s="27">
        <f>'[1]Calibration data'!$L$20/'[1]Calibration data'!$L$31*SQRT(1/'[1]Calibration data'!$L$21+1+('Count-&gt;Actual Activity'!F15-AVERAGE('[1]Calibration data'!$F$3:$F$8))^2/('[1]Calibration data'!$L$31^2*'[1]Calibration data'!$J$9))</f>
        <v>0.23298436862390118</v>
      </c>
    </row>
    <row r="16" spans="1:7" x14ac:dyDescent="0.25">
      <c r="A16" s="25" t="s">
        <v>44</v>
      </c>
      <c r="B16" s="25" t="s">
        <v>132</v>
      </c>
      <c r="C16">
        <v>41.562916666666702</v>
      </c>
      <c r="D16">
        <v>9.3838677777777796E-2</v>
      </c>
      <c r="E16" s="26" t="s">
        <v>133</v>
      </c>
      <c r="F16" s="26">
        <f>(C16-'[1]Calibration data'!$L$30)/'[1]Calibration data'!$L$31</f>
        <v>9.0907718227842196</v>
      </c>
      <c r="G16" s="27">
        <f>'[1]Calibration data'!$L$20/'[1]Calibration data'!$L$31*SQRT(1/'[1]Calibration data'!$L$21+1+('Count-&gt;Actual Activity'!F16-AVERAGE('[1]Calibration data'!$F$3:$F$8))^2/('[1]Calibration data'!$L$31^2*'[1]Calibration data'!$J$9))</f>
        <v>0.23298455514855737</v>
      </c>
    </row>
    <row r="17" spans="1:7" x14ac:dyDescent="0.25">
      <c r="A17" s="25" t="s">
        <v>45</v>
      </c>
      <c r="B17" s="25" t="s">
        <v>132</v>
      </c>
      <c r="C17">
        <v>186.01875000000001</v>
      </c>
      <c r="D17">
        <v>0.14295707407407399</v>
      </c>
      <c r="E17" s="26" t="s">
        <v>133</v>
      </c>
      <c r="F17" s="26">
        <f>(C17-'[1]Calibration data'!$L$30)/'[1]Calibration data'!$L$31</f>
        <v>40.716896481211101</v>
      </c>
      <c r="G17" s="27">
        <f>'[1]Calibration data'!$L$20/'[1]Calibration data'!$L$31*SQRT(1/'[1]Calibration data'!$L$21+1+('Count-&gt;Actual Activity'!F17-AVERAGE('[1]Calibration data'!$F$3:$F$8))^2/('[1]Calibration data'!$L$31^2*'[1]Calibration data'!$J$9))</f>
        <v>0.23309952549371099</v>
      </c>
    </row>
    <row r="18" spans="1:7" x14ac:dyDescent="0.25">
      <c r="A18" s="25" t="s">
        <v>46</v>
      </c>
      <c r="B18" s="25" t="s">
        <v>132</v>
      </c>
      <c r="C18">
        <v>200.32499999999999</v>
      </c>
      <c r="D18">
        <v>0.13078740740740699</v>
      </c>
      <c r="E18" s="26" t="s">
        <v>133</v>
      </c>
      <c r="F18" s="26">
        <f>(C18-'[1]Calibration data'!$L$30)/'[1]Calibration data'!$L$31</f>
        <v>43.849004305826142</v>
      </c>
      <c r="G18" s="27">
        <f>'[1]Calibration data'!$L$20/'[1]Calibration data'!$L$31*SQRT(1/'[1]Calibration data'!$L$21+1+('Count-&gt;Actual Activity'!F18-AVERAGE('[1]Calibration data'!$F$3:$F$8))^2/('[1]Calibration data'!$L$31^2*'[1]Calibration data'!$J$9))</f>
        <v>0.23311888173532119</v>
      </c>
    </row>
    <row r="19" spans="1:7" x14ac:dyDescent="0.25">
      <c r="A19" s="25" t="s">
        <v>47</v>
      </c>
      <c r="B19" s="25" t="s">
        <v>132</v>
      </c>
      <c r="C19">
        <v>202.26875000000001</v>
      </c>
      <c r="D19">
        <v>0.13041777777777799</v>
      </c>
      <c r="E19" s="26" t="s">
        <v>133</v>
      </c>
      <c r="F19" s="26">
        <f>(C19-'[1]Calibration data'!$L$30)/'[1]Calibration data'!$L$31</f>
        <v>44.274554997593413</v>
      </c>
      <c r="G19" s="27">
        <f>'[1]Calibration data'!$L$20/'[1]Calibration data'!$L$31*SQRT(1/'[1]Calibration data'!$L$21+1+('Count-&gt;Actual Activity'!F19-AVERAGE('[1]Calibration data'!$F$3:$F$8))^2/('[1]Calibration data'!$L$31^2*'[1]Calibration data'!$J$9))</f>
        <v>0.23312162236627537</v>
      </c>
    </row>
    <row r="20" spans="1:7" x14ac:dyDescent="0.25">
      <c r="A20" s="25" t="s">
        <v>30</v>
      </c>
      <c r="B20" s="28" t="s">
        <v>134</v>
      </c>
      <c r="E20" s="26" t="s">
        <v>135</v>
      </c>
      <c r="F20">
        <f>(C20-'[1]Calibration data'!$L$64)/'[1]Calibration data'!$L$65</f>
        <v>-5.9631926985133434</v>
      </c>
      <c r="G20" s="29">
        <f>'[1]Calibration data'!$L$54/'[1]Calibration data'!$L$65*SQRT(1/'[1]Calibration data'!$L$55+1+('Count-&gt;Actual Activity'!C20-AVERAGE('[1]Calibration data'!$F$3:$F$8))^2/('[1]Calibration data'!$L$31^2*'[1]Calibration data'!$J$9))</f>
        <v>5.3806379867112968</v>
      </c>
    </row>
    <row r="21" spans="1:7" x14ac:dyDescent="0.25">
      <c r="A21" s="25" t="s">
        <v>31</v>
      </c>
      <c r="B21" s="28" t="s">
        <v>134</v>
      </c>
      <c r="E21" s="26" t="s">
        <v>135</v>
      </c>
      <c r="F21">
        <f>(C21-'[1]Calibration data'!$L$64)/'[1]Calibration data'!$L$65</f>
        <v>-5.9631926985133434</v>
      </c>
      <c r="G21" s="29">
        <f>'[1]Calibration data'!$L$54/'[1]Calibration data'!$L$65*SQRT(1/'[1]Calibration data'!$L$55+1+('Count-&gt;Actual Activity'!C21-AVERAGE('[1]Calibration data'!$F$3:$F$8))^2/('[1]Calibration data'!$L$31^2*'[1]Calibration data'!$J$9))</f>
        <v>5.3806379867112968</v>
      </c>
    </row>
    <row r="22" spans="1:7" x14ac:dyDescent="0.25">
      <c r="A22" s="25" t="s">
        <v>32</v>
      </c>
      <c r="B22" s="28" t="s">
        <v>134</v>
      </c>
      <c r="E22" s="26" t="s">
        <v>135</v>
      </c>
      <c r="F22">
        <f>(C22-'[1]Calibration data'!$L$64)/'[1]Calibration data'!$L$65</f>
        <v>-5.9631926985133434</v>
      </c>
      <c r="G22" s="29">
        <f>'[1]Calibration data'!$L$54/'[1]Calibration data'!$L$65*SQRT(1/'[1]Calibration data'!$L$55+1+('Count-&gt;Actual Activity'!C22-AVERAGE('[1]Calibration data'!$F$3:$F$8))^2/('[1]Calibration data'!$L$31^2*'[1]Calibration data'!$J$9))</f>
        <v>5.3806379867112968</v>
      </c>
    </row>
    <row r="23" spans="1:7" x14ac:dyDescent="0.25">
      <c r="A23" s="25" t="s">
        <v>33</v>
      </c>
      <c r="B23" s="28" t="s">
        <v>134</v>
      </c>
      <c r="E23" s="26" t="s">
        <v>135</v>
      </c>
      <c r="F23">
        <f>(C23-'[1]Calibration data'!$L$64)/'[1]Calibration data'!$L$65</f>
        <v>-5.9631926985133434</v>
      </c>
      <c r="G23" s="29">
        <f>'[1]Calibration data'!$L$54/'[1]Calibration data'!$L$65*SQRT(1/'[1]Calibration data'!$L$55+1+('Count-&gt;Actual Activity'!C23-AVERAGE('[1]Calibration data'!$F$3:$F$8))^2/('[1]Calibration data'!$L$31^2*'[1]Calibration data'!$J$9))</f>
        <v>5.3806379867112968</v>
      </c>
    </row>
    <row r="24" spans="1:7" x14ac:dyDescent="0.25">
      <c r="A24" s="25" t="s">
        <v>34</v>
      </c>
      <c r="B24" s="28" t="s">
        <v>134</v>
      </c>
      <c r="E24" s="26" t="s">
        <v>135</v>
      </c>
      <c r="F24">
        <f>(C24-'[1]Calibration data'!$L$64)/'[1]Calibration data'!$L$65</f>
        <v>-5.9631926985133434</v>
      </c>
      <c r="G24" s="29">
        <f>'[1]Calibration data'!$L$54/'[1]Calibration data'!$L$65*SQRT(1/'[1]Calibration data'!$L$55+1+('Count-&gt;Actual Activity'!C24-AVERAGE('[1]Calibration data'!$F$3:$F$8))^2/('[1]Calibration data'!$L$31^2*'[1]Calibration data'!$J$9))</f>
        <v>5.3806379867112968</v>
      </c>
    </row>
    <row r="25" spans="1:7" x14ac:dyDescent="0.25">
      <c r="A25" s="25" t="s">
        <v>35</v>
      </c>
      <c r="B25" s="28" t="s">
        <v>134</v>
      </c>
      <c r="E25" s="26" t="s">
        <v>135</v>
      </c>
      <c r="F25">
        <f>(C25-'[1]Calibration data'!$L$64)/'[1]Calibration data'!$L$65</f>
        <v>-5.9631926985133434</v>
      </c>
      <c r="G25" s="29">
        <f>'[1]Calibration data'!$L$54/'[1]Calibration data'!$L$65*SQRT(1/'[1]Calibration data'!$L$55+1+('Count-&gt;Actual Activity'!C25-AVERAGE('[1]Calibration data'!$F$3:$F$8))^2/('[1]Calibration data'!$L$31^2*'[1]Calibration data'!$J$9))</f>
        <v>5.3806379867112968</v>
      </c>
    </row>
    <row r="26" spans="1:7" x14ac:dyDescent="0.25">
      <c r="A26" s="25" t="s">
        <v>36</v>
      </c>
      <c r="B26" s="28" t="s">
        <v>134</v>
      </c>
      <c r="E26" s="26" t="s">
        <v>135</v>
      </c>
      <c r="F26">
        <f>(C26-'[1]Calibration data'!$L$64)/'[1]Calibration data'!$L$65</f>
        <v>-5.9631926985133434</v>
      </c>
      <c r="G26" s="29">
        <f>'[1]Calibration data'!$L$54/'[1]Calibration data'!$L$65*SQRT(1/'[1]Calibration data'!$L$55+1+('Count-&gt;Actual Activity'!C26-AVERAGE('[1]Calibration data'!$F$3:$F$8))^2/('[1]Calibration data'!$L$31^2*'[1]Calibration data'!$J$9))</f>
        <v>5.3806379867112968</v>
      </c>
    </row>
    <row r="27" spans="1:7" x14ac:dyDescent="0.25">
      <c r="A27" s="25" t="s">
        <v>37</v>
      </c>
      <c r="B27" s="28" t="s">
        <v>134</v>
      </c>
      <c r="E27" s="26" t="s">
        <v>135</v>
      </c>
      <c r="F27">
        <f>(C27-'[1]Calibration data'!$L$64)/'[1]Calibration data'!$L$65</f>
        <v>-5.9631926985133434</v>
      </c>
      <c r="G27" s="29">
        <f>'[1]Calibration data'!$L$54/'[1]Calibration data'!$L$65*SQRT(1/'[1]Calibration data'!$L$55+1+('Count-&gt;Actual Activity'!C27-AVERAGE('[1]Calibration data'!$F$3:$F$8))^2/('[1]Calibration data'!$L$31^2*'[1]Calibration data'!$J$9))</f>
        <v>5.3806379867112968</v>
      </c>
    </row>
    <row r="28" spans="1:7" x14ac:dyDescent="0.25">
      <c r="A28" s="25" t="s">
        <v>38</v>
      </c>
      <c r="B28" s="28" t="s">
        <v>134</v>
      </c>
      <c r="E28" s="26" t="s">
        <v>135</v>
      </c>
      <c r="F28">
        <f>(C28-'[1]Calibration data'!$L$64)/'[1]Calibration data'!$L$65</f>
        <v>-5.9631926985133434</v>
      </c>
      <c r="G28" s="29">
        <f>'[1]Calibration data'!$L$54/'[1]Calibration data'!$L$65*SQRT(1/'[1]Calibration data'!$L$55+1+('Count-&gt;Actual Activity'!C28-AVERAGE('[1]Calibration data'!$F$3:$F$8))^2/('[1]Calibration data'!$L$31^2*'[1]Calibration data'!$J$9))</f>
        <v>5.3806379867112968</v>
      </c>
    </row>
    <row r="29" spans="1:7" x14ac:dyDescent="0.25">
      <c r="A29" s="25" t="s">
        <v>39</v>
      </c>
      <c r="B29" s="28" t="s">
        <v>134</v>
      </c>
      <c r="E29" s="26" t="s">
        <v>135</v>
      </c>
      <c r="F29">
        <f>(C29-'[1]Calibration data'!$L$64)/'[1]Calibration data'!$L$65</f>
        <v>-5.9631926985133434</v>
      </c>
      <c r="G29" s="29">
        <f>'[1]Calibration data'!$L$54/'[1]Calibration data'!$L$65*SQRT(1/'[1]Calibration data'!$L$55+1+('Count-&gt;Actual Activity'!C29-AVERAGE('[1]Calibration data'!$F$3:$F$8))^2/('[1]Calibration data'!$L$31^2*'[1]Calibration data'!$J$9))</f>
        <v>5.3806379867112968</v>
      </c>
    </row>
    <row r="30" spans="1:7" x14ac:dyDescent="0.25">
      <c r="A30" s="25" t="s">
        <v>40</v>
      </c>
      <c r="B30" s="28" t="s">
        <v>134</v>
      </c>
      <c r="E30" s="26" t="s">
        <v>135</v>
      </c>
      <c r="F30">
        <f>(C30-'[1]Calibration data'!$L$64)/'[1]Calibration data'!$L$65</f>
        <v>-5.9631926985133434</v>
      </c>
      <c r="G30" s="29">
        <f>'[1]Calibration data'!$L$54/'[1]Calibration data'!$L$65*SQRT(1/'[1]Calibration data'!$L$55+1+('Count-&gt;Actual Activity'!C30-AVERAGE('[1]Calibration data'!$F$3:$F$8))^2/('[1]Calibration data'!$L$31^2*'[1]Calibration data'!$J$9))</f>
        <v>5.3806379867112968</v>
      </c>
    </row>
    <row r="31" spans="1:7" x14ac:dyDescent="0.25">
      <c r="A31" s="25" t="s">
        <v>41</v>
      </c>
      <c r="B31" s="28" t="s">
        <v>134</v>
      </c>
      <c r="E31" s="26" t="s">
        <v>135</v>
      </c>
      <c r="F31">
        <f>(C31-'[1]Calibration data'!$L$64)/'[1]Calibration data'!$L$65</f>
        <v>-5.9631926985133434</v>
      </c>
      <c r="G31" s="29">
        <f>'[1]Calibration data'!$L$54/'[1]Calibration data'!$L$65*SQRT(1/'[1]Calibration data'!$L$55+1+('Count-&gt;Actual Activity'!C31-AVERAGE('[1]Calibration data'!$F$3:$F$8))^2/('[1]Calibration data'!$L$31^2*'[1]Calibration data'!$J$9))</f>
        <v>5.3806379867112968</v>
      </c>
    </row>
    <row r="32" spans="1:7" x14ac:dyDescent="0.25">
      <c r="A32" s="25" t="s">
        <v>42</v>
      </c>
      <c r="B32" s="28" t="s">
        <v>134</v>
      </c>
      <c r="E32" s="26" t="s">
        <v>135</v>
      </c>
      <c r="F32">
        <f>(C32-'[1]Calibration data'!$L$64)/'[1]Calibration data'!$L$65</f>
        <v>-5.9631926985133434</v>
      </c>
      <c r="G32" s="29">
        <f>'[1]Calibration data'!$L$54/'[1]Calibration data'!$L$65*SQRT(1/'[1]Calibration data'!$L$55+1+('Count-&gt;Actual Activity'!C32-AVERAGE('[1]Calibration data'!$F$3:$F$8))^2/('[1]Calibration data'!$L$31^2*'[1]Calibration data'!$J$9))</f>
        <v>5.3806379867112968</v>
      </c>
    </row>
    <row r="33" spans="1:7" x14ac:dyDescent="0.25">
      <c r="A33" s="25" t="s">
        <v>43</v>
      </c>
      <c r="B33" s="28" t="s">
        <v>134</v>
      </c>
      <c r="E33" s="26" t="s">
        <v>135</v>
      </c>
      <c r="F33">
        <f>(C33-'[1]Calibration data'!$L$64)/'[1]Calibration data'!$L$65</f>
        <v>-5.9631926985133434</v>
      </c>
      <c r="G33" s="29">
        <f>'[1]Calibration data'!$L$54/'[1]Calibration data'!$L$65*SQRT(1/'[1]Calibration data'!$L$55+1+('Count-&gt;Actual Activity'!C33-AVERAGE('[1]Calibration data'!$F$3:$F$8))^2/('[1]Calibration data'!$L$31^2*'[1]Calibration data'!$J$9))</f>
        <v>5.3806379867112968</v>
      </c>
    </row>
    <row r="34" spans="1:7" x14ac:dyDescent="0.25">
      <c r="A34" s="25" t="s">
        <v>44</v>
      </c>
      <c r="B34" s="28" t="s">
        <v>134</v>
      </c>
      <c r="E34" s="26" t="s">
        <v>135</v>
      </c>
      <c r="F34">
        <f>(C34-'[1]Calibration data'!$L$64)/'[1]Calibration data'!$L$65</f>
        <v>-5.9631926985133434</v>
      </c>
      <c r="G34" s="29">
        <f>'[1]Calibration data'!$L$54/'[1]Calibration data'!$L$65*SQRT(1/'[1]Calibration data'!$L$55+1+('Count-&gt;Actual Activity'!C34-AVERAGE('[1]Calibration data'!$F$3:$F$8))^2/('[1]Calibration data'!$L$31^2*'[1]Calibration data'!$J$9))</f>
        <v>5.3806379867112968</v>
      </c>
    </row>
    <row r="35" spans="1:7" x14ac:dyDescent="0.25">
      <c r="A35" s="25" t="s">
        <v>45</v>
      </c>
      <c r="B35" s="28" t="s">
        <v>134</v>
      </c>
      <c r="D35">
        <f>1/100*C35</f>
        <v>0</v>
      </c>
      <c r="E35" s="26" t="s">
        <v>135</v>
      </c>
      <c r="F35">
        <f>(C35-'[1]Calibration data'!$L$64)/'[1]Calibration data'!$L$65</f>
        <v>-5.9631926985133434</v>
      </c>
      <c r="G35" s="29">
        <f>'[1]Calibration data'!$L$54/'[1]Calibration data'!$L$65*SQRT(1/'[1]Calibration data'!$L$55+1+('Count-&gt;Actual Activity'!C35-AVERAGE('[1]Calibration data'!$F$3:$F$8))^2/('[1]Calibration data'!$L$31^2*'[1]Calibration data'!$J$9))</f>
        <v>5.3806379867112968</v>
      </c>
    </row>
    <row r="36" spans="1:7" x14ac:dyDescent="0.25">
      <c r="A36" s="25" t="s">
        <v>46</v>
      </c>
      <c r="B36" s="28" t="s">
        <v>134</v>
      </c>
      <c r="D36">
        <f>1.3/100*C36</f>
        <v>0</v>
      </c>
      <c r="E36" s="26" t="s">
        <v>135</v>
      </c>
      <c r="F36">
        <f>(C36-'[1]Calibration data'!$L$64)/'[1]Calibration data'!$L$65</f>
        <v>-5.9631926985133434</v>
      </c>
      <c r="G36" s="29">
        <f>'[1]Calibration data'!$L$54/'[1]Calibration data'!$L$65*SQRT(1/'[1]Calibration data'!$L$55+1+('Count-&gt;Actual Activity'!C36-AVERAGE('[1]Calibration data'!$F$3:$F$8))^2/('[1]Calibration data'!$L$31^2*'[1]Calibration data'!$J$9))</f>
        <v>5.3806379867112968</v>
      </c>
    </row>
    <row r="37" spans="1:7" x14ac:dyDescent="0.25">
      <c r="A37" s="25" t="s">
        <v>47</v>
      </c>
      <c r="B37" s="28" t="s">
        <v>134</v>
      </c>
      <c r="E37" s="26" t="s">
        <v>135</v>
      </c>
      <c r="F37">
        <f>(C37-'[1]Calibration data'!$L$64)/'[1]Calibration data'!$L$65</f>
        <v>-5.9631926985133434</v>
      </c>
      <c r="G37" s="29">
        <f>'[1]Calibration data'!$L$54/'[1]Calibration data'!$L$65*SQRT(1/'[1]Calibration data'!$L$55+1+('Count-&gt;Actual Activity'!C37-AVERAGE('[1]Calibration data'!$F$3:$F$8))^2/('[1]Calibration data'!$L$31^2*'[1]Calibration data'!$J$9))</f>
        <v>5.3806379867112968</v>
      </c>
    </row>
    <row r="38" spans="1:7" x14ac:dyDescent="0.25">
      <c r="A38" s="28" t="s">
        <v>42</v>
      </c>
      <c r="B38" s="28" t="s">
        <v>132</v>
      </c>
      <c r="C38" s="29"/>
      <c r="D38" s="29">
        <f>21.3*C38/100</f>
        <v>0</v>
      </c>
      <c r="E38" s="26" t="s">
        <v>135</v>
      </c>
      <c r="F38">
        <f>(C38-'[1]Calibration data'!$L$64)/'[1]Calibration data'!$L$65</f>
        <v>-5.9631926985133434</v>
      </c>
      <c r="G38" s="29">
        <f>'[1]Calibration data'!$L$54/'[1]Calibration data'!$L$65*SQRT(1/'[1]Calibration data'!$L$55+1+('Count-&gt;Actual Activity'!C38-AVERAGE('[1]Calibration data'!$F$3:$F$8))^2/('[1]Calibration data'!$L$31^2*'[1]Calibration data'!$J$9))</f>
        <v>5.3806379867112968</v>
      </c>
    </row>
    <row r="39" spans="1:7" x14ac:dyDescent="0.25">
      <c r="A39" s="28" t="s">
        <v>136</v>
      </c>
      <c r="B39" s="28" t="s">
        <v>132</v>
      </c>
      <c r="C39" s="29"/>
      <c r="D39" s="29">
        <f>12.7/100*C39</f>
        <v>0</v>
      </c>
      <c r="E39" s="26" t="s">
        <v>135</v>
      </c>
      <c r="F39">
        <f>(C39-'[1]Calibration data'!$L$64)/'[1]Calibration data'!$L$65</f>
        <v>-5.9631926985133434</v>
      </c>
      <c r="G39" s="29">
        <f>'[1]Calibration data'!$L$54/'[1]Calibration data'!$L$65*SQRT(1/'[1]Calibration data'!$L$55+1+('Count-&gt;Actual Activity'!C39-AVERAGE('[1]Calibration data'!$F$3:$F$8))^2/('[1]Calibration data'!$L$31^2*'[1]Calibration data'!$J$9))</f>
        <v>5.3806379867112968</v>
      </c>
    </row>
    <row r="40" spans="1:7" x14ac:dyDescent="0.25">
      <c r="A40" s="28" t="s">
        <v>136</v>
      </c>
      <c r="B40" s="28" t="s">
        <v>134</v>
      </c>
      <c r="D40">
        <f>1.2/100*C40</f>
        <v>0</v>
      </c>
      <c r="E40" s="26" t="s">
        <v>135</v>
      </c>
      <c r="F40">
        <f>(C40-'[1]Calibration data'!$L$64)/'[1]Calibration data'!$L$65</f>
        <v>-5.9631926985133434</v>
      </c>
      <c r="G40" s="29">
        <f>'[1]Calibration data'!$L$54/'[1]Calibration data'!$L$65*SQRT(1/'[1]Calibration data'!$L$55+1+('Count-&gt;Actual Activity'!C40-AVERAGE('[1]Calibration data'!$F$3:$F$8))^2/('[1]Calibration data'!$L$31^2*'[1]Calibration data'!$J$9))</f>
        <v>5.3806379867112968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8" sqref="B8"/>
    </sheetView>
  </sheetViews>
  <sheetFormatPr defaultRowHeight="15" x14ac:dyDescent="0.25"/>
  <sheetData>
    <row r="1" spans="1:11" x14ac:dyDescent="0.25"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2" t="s">
        <v>71</v>
      </c>
    </row>
    <row r="2" spans="1:11" x14ac:dyDescent="0.25">
      <c r="A2" s="1" t="s">
        <v>70</v>
      </c>
    </row>
    <row r="3" spans="1:11" x14ac:dyDescent="0.25">
      <c r="A3" s="1" t="s">
        <v>57</v>
      </c>
      <c r="B3">
        <v>9.22278926828385E-2</v>
      </c>
      <c r="C3">
        <v>8.6068391654915699E-3</v>
      </c>
      <c r="D3">
        <v>25.175519039850901</v>
      </c>
      <c r="E3">
        <v>28.6894638849719</v>
      </c>
      <c r="F3">
        <v>5</v>
      </c>
      <c r="G3">
        <v>0</v>
      </c>
      <c r="H3">
        <v>9.9780548394793698</v>
      </c>
      <c r="I3">
        <v>0.63157832620315002</v>
      </c>
      <c r="J3">
        <v>3</v>
      </c>
      <c r="K3">
        <f>(H3-B3*100)/H3</f>
        <v>7.5692665889870656E-2</v>
      </c>
    </row>
    <row r="4" spans="1:11" x14ac:dyDescent="0.25">
      <c r="A4" s="1" t="s">
        <v>58</v>
      </c>
      <c r="B4">
        <v>0.36539804049251701</v>
      </c>
      <c r="C4">
        <v>0.11385098750957</v>
      </c>
      <c r="D4">
        <v>447.12074646548803</v>
      </c>
      <c r="E4">
        <v>379.50329169856798</v>
      </c>
      <c r="F4">
        <v>5</v>
      </c>
      <c r="G4">
        <v>0</v>
      </c>
      <c r="H4">
        <v>49.953426443216401</v>
      </c>
      <c r="I4">
        <v>1.26374487260369</v>
      </c>
      <c r="J4">
        <v>3</v>
      </c>
      <c r="K4">
        <f t="shared" ref="K4:K8" si="0">(H4-B4*100)/H4</f>
        <v>0.26852256890150228</v>
      </c>
    </row>
    <row r="5" spans="1:11" x14ac:dyDescent="0.25">
      <c r="A5" s="1" t="s">
        <v>55</v>
      </c>
      <c r="B5">
        <v>2.4075315123329499E-2</v>
      </c>
      <c r="C5">
        <v>3.0081136138584499E-3</v>
      </c>
      <c r="D5">
        <v>-80.251050411098404</v>
      </c>
      <c r="E5">
        <v>10.0270453795282</v>
      </c>
      <c r="F5">
        <v>5</v>
      </c>
      <c r="G5">
        <v>0</v>
      </c>
      <c r="H5">
        <v>0</v>
      </c>
      <c r="I5">
        <v>0</v>
      </c>
      <c r="J5">
        <v>3</v>
      </c>
      <c r="K5" t="e">
        <f t="shared" si="0"/>
        <v>#DIV/0!</v>
      </c>
    </row>
    <row r="6" spans="1:11" x14ac:dyDescent="0.25">
      <c r="A6" s="1" t="s">
        <v>56</v>
      </c>
      <c r="B6">
        <v>5.4758052066696802E-2</v>
      </c>
      <c r="C6">
        <v>9.9486807946283801E-3</v>
      </c>
      <c r="D6">
        <v>-15.8049112588699</v>
      </c>
      <c r="E6">
        <v>33.162269315427899</v>
      </c>
      <c r="F6">
        <v>5</v>
      </c>
      <c r="G6">
        <v>0</v>
      </c>
      <c r="H6">
        <v>5.00165786890358</v>
      </c>
      <c r="I6">
        <v>0.63153649647037702</v>
      </c>
      <c r="J6">
        <v>3</v>
      </c>
      <c r="K6">
        <f t="shared" si="0"/>
        <v>-9.4798035010347143E-2</v>
      </c>
    </row>
    <row r="7" spans="1:11" x14ac:dyDescent="0.25">
      <c r="A7" s="1" t="s">
        <v>59</v>
      </c>
      <c r="B7">
        <v>0.89155649289124905</v>
      </c>
      <c r="C7">
        <v>1.02610616141862E-2</v>
      </c>
      <c r="D7">
        <v>354.16330352229198</v>
      </c>
      <c r="E7">
        <v>34.203538713954103</v>
      </c>
      <c r="F7">
        <v>5</v>
      </c>
      <c r="G7">
        <v>0</v>
      </c>
      <c r="H7">
        <v>99.780548394793698</v>
      </c>
      <c r="I7">
        <v>1.26583535790515</v>
      </c>
      <c r="J7">
        <v>3</v>
      </c>
      <c r="K7">
        <f t="shared" si="0"/>
        <v>0.10648266898303767</v>
      </c>
    </row>
    <row r="8" spans="1:11" x14ac:dyDescent="0.25">
      <c r="A8" s="1" t="s">
        <v>60</v>
      </c>
      <c r="B8">
        <v>4.2909369775887196</v>
      </c>
      <c r="C8">
        <v>0.158664919582722</v>
      </c>
      <c r="D8">
        <v>2369.0696377162199</v>
      </c>
      <c r="E8">
        <v>528.883065275739</v>
      </c>
      <c r="F8">
        <v>5</v>
      </c>
      <c r="G8">
        <v>0</v>
      </c>
      <c r="H8">
        <v>500.16578689035799</v>
      </c>
      <c r="I8">
        <v>1.3313880562601199</v>
      </c>
      <c r="J8">
        <v>3</v>
      </c>
      <c r="K8">
        <f t="shared" si="0"/>
        <v>0.14209706260269631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J1" workbookViewId="0">
      <selection activeCell="L42" sqref="L42"/>
    </sheetView>
  </sheetViews>
  <sheetFormatPr defaultRowHeight="15" x14ac:dyDescent="0.25"/>
  <cols>
    <col min="1" max="1" width="22.7109375" style="3" customWidth="1"/>
    <col min="2" max="2" width="31.42578125" style="3" customWidth="1"/>
    <col min="3" max="3" width="12" style="3" customWidth="1"/>
    <col min="4" max="4" width="24.28515625" style="3" customWidth="1"/>
    <col min="5" max="5" width="10" style="3" customWidth="1"/>
    <col min="6" max="6" width="20.7109375" style="3" customWidth="1"/>
    <col min="7" max="7" width="12" style="3" customWidth="1"/>
    <col min="8" max="8" width="19.28515625" style="3" customWidth="1"/>
    <col min="9" max="10" width="18.7109375" style="3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14" x14ac:dyDescent="0.25">
      <c r="B1" s="4" t="s">
        <v>72</v>
      </c>
      <c r="C1" s="4" t="s">
        <v>73</v>
      </c>
      <c r="D1" s="5" t="s">
        <v>74</v>
      </c>
      <c r="E1" s="5" t="s">
        <v>49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</row>
    <row r="2" spans="1:14" x14ac:dyDescent="0.25">
      <c r="A2" s="4" t="s">
        <v>84</v>
      </c>
      <c r="B2" s="3">
        <v>69.266666666666666</v>
      </c>
      <c r="C2" s="3">
        <v>4.0713088258637899</v>
      </c>
      <c r="D2" s="3">
        <f>B2/60</f>
        <v>1.1544444444444444</v>
      </c>
      <c r="E2" s="3">
        <f>C2/60</f>
        <v>6.7855147097729829E-2</v>
      </c>
      <c r="F2" s="3">
        <v>1.1574074074074073E-3</v>
      </c>
      <c r="H2" s="3">
        <v>0</v>
      </c>
      <c r="I2" s="3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14" x14ac:dyDescent="0.25">
      <c r="A3" s="4" t="s">
        <v>85</v>
      </c>
      <c r="B3" s="3">
        <v>213.53333333333333</v>
      </c>
      <c r="C3" s="3">
        <v>4.5389670875898238</v>
      </c>
      <c r="D3" s="3">
        <f t="shared" ref="D3:E8" si="2">B3/60</f>
        <v>3.5588888888888888</v>
      </c>
      <c r="E3" s="3">
        <f t="shared" si="2"/>
        <v>7.5649451459830402E-2</v>
      </c>
      <c r="F3" s="3">
        <v>3.4640522875816994E-3</v>
      </c>
      <c r="G3" s="3">
        <v>6.1343954248366012E-4</v>
      </c>
      <c r="H3" s="6">
        <f>H7/100</f>
        <v>1.59E-5</v>
      </c>
      <c r="I3" s="6">
        <f t="shared" ref="I3:I8" si="3">H3*37000</f>
        <v>0.58830000000000005</v>
      </c>
      <c r="J3" s="6">
        <f>(I3-AVERAGE($I$3:$I$8))^2</f>
        <v>4187.7723690000012</v>
      </c>
      <c r="K3">
        <f t="shared" ref="K3:K8" si="4">F3*$B$63+$B$62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14" x14ac:dyDescent="0.25">
      <c r="A4" s="4" t="s">
        <v>86</v>
      </c>
      <c r="B4" s="3">
        <v>851.36666666666679</v>
      </c>
      <c r="C4" s="3">
        <v>12.530584805000577</v>
      </c>
      <c r="D4" s="3">
        <f t="shared" si="2"/>
        <v>14.189444444444446</v>
      </c>
      <c r="E4" s="3">
        <f t="shared" si="2"/>
        <v>0.20884308008334296</v>
      </c>
      <c r="F4" s="3">
        <v>7.9815435847137763E-3</v>
      </c>
      <c r="G4" s="3">
        <v>8.5144502711856026E-4</v>
      </c>
      <c r="H4" s="6">
        <f>H7/20</f>
        <v>7.9500000000000008E-5</v>
      </c>
      <c r="I4" s="6">
        <f t="shared" si="3"/>
        <v>2.9415000000000004</v>
      </c>
      <c r="J4" s="6">
        <f t="shared" ref="J4:J8" si="5">(I4-AVERAGE($I$3:$I$8))^2</f>
        <v>3888.7446560400017</v>
      </c>
      <c r="K4">
        <f t="shared" si="4"/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14" x14ac:dyDescent="0.25">
      <c r="A5" s="4" t="s">
        <v>87</v>
      </c>
      <c r="B5" s="3">
        <v>1635.7</v>
      </c>
      <c r="C5" s="3">
        <v>32.620954410720707</v>
      </c>
      <c r="D5" s="3">
        <f t="shared" si="2"/>
        <v>27.261666666666667</v>
      </c>
      <c r="E5" s="3">
        <f t="shared" si="2"/>
        <v>0.54368257351201177</v>
      </c>
      <c r="F5" s="3">
        <v>1.2604166666666666E-2</v>
      </c>
      <c r="G5" s="3">
        <v>9.3201388888888891E-4</v>
      </c>
      <c r="H5" s="6">
        <f>H7/10</f>
        <v>1.5900000000000002E-4</v>
      </c>
      <c r="I5" s="6">
        <f t="shared" si="3"/>
        <v>5.8830000000000009</v>
      </c>
      <c r="J5" s="6">
        <f t="shared" si="5"/>
        <v>3530.5343748900009</v>
      </c>
      <c r="K5">
        <f t="shared" si="4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14" x14ac:dyDescent="0.25">
      <c r="A6" s="4" t="s">
        <v>88</v>
      </c>
      <c r="B6" s="3">
        <v>7998.833333333333</v>
      </c>
      <c r="C6" s="3">
        <v>50.234140670352431</v>
      </c>
      <c r="D6" s="3">
        <f t="shared" si="2"/>
        <v>133.3138888888889</v>
      </c>
      <c r="E6" s="3">
        <f t="shared" si="2"/>
        <v>0.83723567783920716</v>
      </c>
      <c r="F6" s="3">
        <v>5.0219907407407408E-2</v>
      </c>
      <c r="G6" s="3">
        <v>2.5444444444444447E-3</v>
      </c>
      <c r="H6" s="6">
        <f>H7/2</f>
        <v>7.9500000000000003E-4</v>
      </c>
      <c r="I6" s="6">
        <f t="shared" si="3"/>
        <v>29.415000000000003</v>
      </c>
      <c r="J6" s="6">
        <f t="shared" si="5"/>
        <v>1287.8265276900004</v>
      </c>
      <c r="K6">
        <f t="shared" si="4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14" x14ac:dyDescent="0.25">
      <c r="A7" s="4" t="s">
        <v>89</v>
      </c>
      <c r="B7" s="3">
        <v>16057.133333333333</v>
      </c>
      <c r="C7" s="3">
        <v>53.513259001171903</v>
      </c>
      <c r="D7" s="3">
        <f t="shared" si="2"/>
        <v>267.61888888888888</v>
      </c>
      <c r="E7" s="3">
        <f t="shared" si="2"/>
        <v>0.89188765001953174</v>
      </c>
      <c r="F7" s="3">
        <v>9.4872685185185185E-2</v>
      </c>
      <c r="G7" s="3">
        <v>2.9521990740740741E-3</v>
      </c>
      <c r="H7" s="6">
        <v>1.5900000000000001E-3</v>
      </c>
      <c r="I7" s="6">
        <f t="shared" si="3"/>
        <v>58.830000000000005</v>
      </c>
      <c r="J7" s="6">
        <f t="shared" si="5"/>
        <v>41.877723690000082</v>
      </c>
      <c r="K7">
        <f t="shared" si="4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14" x14ac:dyDescent="0.25">
      <c r="A8" s="4" t="s">
        <v>90</v>
      </c>
      <c r="B8" s="3">
        <v>80635.3</v>
      </c>
      <c r="C8" s="3">
        <v>80.454997758225829</v>
      </c>
      <c r="D8" s="3">
        <f t="shared" si="2"/>
        <v>1343.9216666666666</v>
      </c>
      <c r="E8" s="3">
        <f t="shared" si="2"/>
        <v>1.3409166293037638</v>
      </c>
      <c r="F8" s="3">
        <v>0.39049768518518518</v>
      </c>
      <c r="G8" s="3">
        <v>5.6158564814814812E-3</v>
      </c>
      <c r="H8" s="6">
        <f>H7*5</f>
        <v>7.9500000000000005E-3</v>
      </c>
      <c r="I8" s="6">
        <f t="shared" si="3"/>
        <v>294.15000000000003</v>
      </c>
      <c r="J8" s="6">
        <f t="shared" si="5"/>
        <v>52371.727491690006</v>
      </c>
      <c r="K8">
        <f t="shared" si="4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14" x14ac:dyDescent="0.25">
      <c r="A9" s="5"/>
      <c r="H9" s="6"/>
      <c r="I9" s="6"/>
      <c r="J9" s="6">
        <f>SUM(J3:J8)</f>
        <v>65308.483143000012</v>
      </c>
    </row>
    <row r="10" spans="1:14" x14ac:dyDescent="0.25">
      <c r="A10" s="7" t="s">
        <v>91</v>
      </c>
      <c r="I10" s="6"/>
    </row>
    <row r="11" spans="1:14" x14ac:dyDescent="0.25">
      <c r="A11" t="s">
        <v>92</v>
      </c>
      <c r="B11" t="s">
        <v>93</v>
      </c>
      <c r="C11" s="3" t="s">
        <v>94</v>
      </c>
      <c r="J11" s="8"/>
      <c r="K11" s="9" t="s">
        <v>91</v>
      </c>
    </row>
    <row r="12" spans="1:14" ht="15.75" thickBot="1" x14ac:dyDescent="0.3">
      <c r="J12" s="8"/>
      <c r="K12" t="s">
        <v>95</v>
      </c>
      <c r="M12" t="s">
        <v>94</v>
      </c>
    </row>
    <row r="13" spans="1:14" x14ac:dyDescent="0.25">
      <c r="A13" s="10" t="s">
        <v>96</v>
      </c>
      <c r="B13" s="10"/>
      <c r="J13" s="8"/>
    </row>
    <row r="14" spans="1:14" x14ac:dyDescent="0.25">
      <c r="A14" s="11" t="s">
        <v>97</v>
      </c>
      <c r="B14" s="11">
        <v>0.99999857522978297</v>
      </c>
      <c r="J14" s="8"/>
      <c r="K14" t="s">
        <v>92</v>
      </c>
    </row>
    <row r="15" spans="1:14" ht="15.75" thickBot="1" x14ac:dyDescent="0.3">
      <c r="A15" s="11" t="s">
        <v>98</v>
      </c>
      <c r="B15" s="11">
        <v>0.99999715046159587</v>
      </c>
      <c r="J15" s="8"/>
    </row>
    <row r="16" spans="1:14" x14ac:dyDescent="0.25">
      <c r="A16" s="11" t="s">
        <v>99</v>
      </c>
      <c r="B16" s="11">
        <v>0.99999643807699479</v>
      </c>
      <c r="J16" s="8"/>
      <c r="K16" s="12" t="s">
        <v>96</v>
      </c>
      <c r="L16" s="12"/>
      <c r="M16" s="13"/>
    </row>
    <row r="17" spans="1:20" x14ac:dyDescent="0.25">
      <c r="A17" s="11" t="s">
        <v>100</v>
      </c>
      <c r="B17" s="11">
        <v>0.2156959844518157</v>
      </c>
      <c r="J17" s="8"/>
      <c r="K17" s="14" t="s">
        <v>97</v>
      </c>
      <c r="L17" s="14">
        <v>0.99999857522978297</v>
      </c>
      <c r="M17" s="14"/>
    </row>
    <row r="18" spans="1:20" ht="15.75" customHeight="1" thickBot="1" x14ac:dyDescent="0.3">
      <c r="A18" s="15" t="s">
        <v>101</v>
      </c>
      <c r="B18" s="15">
        <v>6</v>
      </c>
      <c r="J18" s="8"/>
      <c r="K18" s="14" t="s">
        <v>98</v>
      </c>
      <c r="L18" s="14">
        <v>0.99999715046159587</v>
      </c>
      <c r="M18" s="14"/>
    </row>
    <row r="19" spans="1:20" x14ac:dyDescent="0.25">
      <c r="J19" s="8"/>
      <c r="K19" s="14" t="s">
        <v>99</v>
      </c>
      <c r="L19" s="14">
        <v>0.99999643807699479</v>
      </c>
      <c r="M19" s="14"/>
    </row>
    <row r="20" spans="1:20" ht="15.75" customHeight="1" thickBot="1" x14ac:dyDescent="0.3">
      <c r="A20" t="s">
        <v>102</v>
      </c>
      <c r="J20" s="8"/>
      <c r="K20" s="14" t="s">
        <v>100</v>
      </c>
      <c r="L20" s="14">
        <v>0.98521674441591967</v>
      </c>
      <c r="M20" t="s">
        <v>103</v>
      </c>
    </row>
    <row r="21" spans="1:20" ht="15.75" thickBot="1" x14ac:dyDescent="0.3">
      <c r="A21" s="16"/>
      <c r="B21" s="16" t="s">
        <v>104</v>
      </c>
      <c r="C21" s="16" t="s">
        <v>105</v>
      </c>
      <c r="D21" s="16" t="s">
        <v>106</v>
      </c>
      <c r="E21" s="16" t="s">
        <v>107</v>
      </c>
      <c r="F21" s="16" t="s">
        <v>108</v>
      </c>
      <c r="J21" s="8"/>
      <c r="K21" s="17" t="s">
        <v>101</v>
      </c>
      <c r="L21" s="17">
        <v>6</v>
      </c>
      <c r="M21" s="14"/>
    </row>
    <row r="22" spans="1:20" x14ac:dyDescent="0.25">
      <c r="A22" s="11" t="s">
        <v>109</v>
      </c>
      <c r="B22" s="11">
        <v>1</v>
      </c>
      <c r="C22" s="11">
        <v>65308.297043969178</v>
      </c>
      <c r="D22" s="11">
        <v>65308.297043969178</v>
      </c>
      <c r="E22" s="11">
        <v>1403732.125870778</v>
      </c>
      <c r="F22" s="11">
        <v>3.0449538110702301E-12</v>
      </c>
      <c r="J22" s="8"/>
    </row>
    <row r="23" spans="1:20" ht="15.75" thickBot="1" x14ac:dyDescent="0.3">
      <c r="A23" s="11" t="s">
        <v>110</v>
      </c>
      <c r="B23" s="11">
        <v>4</v>
      </c>
      <c r="C23" s="11">
        <v>0.1860990308345517</v>
      </c>
      <c r="D23" s="11">
        <v>4.6524757708637926E-2</v>
      </c>
      <c r="E23" s="11"/>
      <c r="F23" s="11"/>
      <c r="J23" s="8"/>
      <c r="K23" t="s">
        <v>102</v>
      </c>
    </row>
    <row r="24" spans="1:20" ht="15.75" customHeight="1" thickBot="1" x14ac:dyDescent="0.3">
      <c r="A24" s="15" t="s">
        <v>111</v>
      </c>
      <c r="B24" s="15">
        <v>5</v>
      </c>
      <c r="C24" s="15">
        <v>65308.483143000012</v>
      </c>
      <c r="D24" s="15"/>
      <c r="E24" s="15"/>
      <c r="F24" s="15"/>
      <c r="J24" s="8"/>
      <c r="K24" s="18"/>
      <c r="L24" s="18" t="s">
        <v>104</v>
      </c>
      <c r="M24" s="18"/>
      <c r="N24" s="18" t="s">
        <v>105</v>
      </c>
      <c r="O24" s="18" t="s">
        <v>106</v>
      </c>
      <c r="P24" s="18" t="s">
        <v>107</v>
      </c>
      <c r="Q24" s="18" t="s">
        <v>108</v>
      </c>
    </row>
    <row r="25" spans="1:20" ht="15.75" thickBot="1" x14ac:dyDescent="0.3">
      <c r="J25" s="8"/>
      <c r="K25" s="14" t="s">
        <v>109</v>
      </c>
      <c r="L25" s="14">
        <v>1</v>
      </c>
      <c r="M25" s="14"/>
      <c r="N25" s="14">
        <v>1362535.4424342527</v>
      </c>
      <c r="O25" s="14">
        <v>1362535.4424342527</v>
      </c>
      <c r="P25" s="14">
        <v>1403732.1258708637</v>
      </c>
      <c r="Q25" s="14">
        <v>3.0449538110698621E-12</v>
      </c>
    </row>
    <row r="26" spans="1:20" x14ac:dyDescent="0.25">
      <c r="A26" s="16"/>
      <c r="B26" s="16" t="s">
        <v>112</v>
      </c>
      <c r="C26" s="16" t="s">
        <v>100</v>
      </c>
      <c r="D26" s="16" t="s">
        <v>113</v>
      </c>
      <c r="E26" s="16" t="s">
        <v>114</v>
      </c>
      <c r="F26" s="16" t="s">
        <v>115</v>
      </c>
      <c r="G26" s="16" t="s">
        <v>116</v>
      </c>
      <c r="H26" s="16" t="s">
        <v>117</v>
      </c>
      <c r="I26" s="16" t="s">
        <v>118</v>
      </c>
      <c r="J26" s="19"/>
      <c r="K26" s="14" t="s">
        <v>110</v>
      </c>
      <c r="L26" s="14">
        <v>4</v>
      </c>
      <c r="M26" s="14"/>
      <c r="N26" s="14">
        <v>3.882608133910014</v>
      </c>
      <c r="O26" s="14">
        <v>0.97065203347750351</v>
      </c>
      <c r="P26" s="14"/>
      <c r="Q26" s="14"/>
    </row>
    <row r="27" spans="1:20" ht="15.75" thickBot="1" x14ac:dyDescent="0.3">
      <c r="A27" s="11" t="s">
        <v>119</v>
      </c>
      <c r="B27" s="11">
        <v>-8.5291165795524648E-3</v>
      </c>
      <c r="C27" s="11">
        <v>0.10388802405182966</v>
      </c>
      <c r="D27" s="11">
        <v>-8.2099131804617781E-2</v>
      </c>
      <c r="E27" s="11">
        <v>0.93851196251853586</v>
      </c>
      <c r="F27" s="11">
        <v>-0.29696851244692557</v>
      </c>
      <c r="G27" s="11">
        <v>0.27991027928782064</v>
      </c>
      <c r="H27" s="11">
        <v>-0.29696851244692557</v>
      </c>
      <c r="I27" s="11">
        <v>0.27991027928782064</v>
      </c>
      <c r="J27" s="20"/>
      <c r="K27" s="17" t="s">
        <v>111</v>
      </c>
      <c r="L27" s="17">
        <v>5</v>
      </c>
      <c r="M27" s="17"/>
      <c r="N27" s="17">
        <v>1362539.3250423865</v>
      </c>
      <c r="O27" s="17"/>
      <c r="P27" s="17"/>
      <c r="Q27" s="17"/>
    </row>
    <row r="28" spans="1:20" ht="15.75" customHeight="1" thickBot="1" x14ac:dyDescent="0.3">
      <c r="A28" s="15" t="s">
        <v>120</v>
      </c>
      <c r="B28" s="15">
        <v>0.21893220791986087</v>
      </c>
      <c r="C28" s="15">
        <v>1.8478535016888282E-4</v>
      </c>
      <c r="D28" s="15">
        <v>1184.7920179806995</v>
      </c>
      <c r="E28" s="15">
        <v>3.0449538110702301E-12</v>
      </c>
      <c r="F28" s="15">
        <v>0.21841916153887223</v>
      </c>
      <c r="G28" s="15">
        <v>0.21944525430084952</v>
      </c>
      <c r="H28" s="15">
        <v>0.21841916153887223</v>
      </c>
      <c r="I28" s="15">
        <v>0.21944525430084952</v>
      </c>
      <c r="J28" s="20"/>
    </row>
    <row r="29" spans="1:20" x14ac:dyDescent="0.25">
      <c r="J29" s="8"/>
      <c r="K29" s="18"/>
      <c r="L29" s="18" t="s">
        <v>112</v>
      </c>
      <c r="M29" s="18"/>
      <c r="N29" s="18" t="s">
        <v>100</v>
      </c>
      <c r="O29" s="18" t="s">
        <v>113</v>
      </c>
      <c r="P29" s="18" t="s">
        <v>114</v>
      </c>
      <c r="Q29" s="18" t="s">
        <v>115</v>
      </c>
      <c r="R29" s="18" t="s">
        <v>116</v>
      </c>
      <c r="S29" s="18" t="s">
        <v>117</v>
      </c>
      <c r="T29" s="18" t="s">
        <v>118</v>
      </c>
    </row>
    <row r="30" spans="1:20" x14ac:dyDescent="0.25">
      <c r="J30" s="8"/>
      <c r="K30" s="14" t="s">
        <v>119</v>
      </c>
      <c r="L30" s="14">
        <v>3.980773420477135E-2</v>
      </c>
      <c r="M30" s="14"/>
      <c r="N30" s="14">
        <v>0.47450311588139682</v>
      </c>
      <c r="O30" s="14">
        <v>8.3893514863074975E-2</v>
      </c>
      <c r="P30" s="14">
        <v>0.93717195197236269</v>
      </c>
      <c r="Q30" s="14">
        <v>-1.2776241192852342</v>
      </c>
      <c r="R30" s="14">
        <v>1.3572395876947769</v>
      </c>
      <c r="S30" s="14">
        <v>-1.2776241192852342</v>
      </c>
      <c r="T30" s="14">
        <v>1.3572395876947769</v>
      </c>
    </row>
    <row r="31" spans="1:20" ht="15.75" thickBot="1" x14ac:dyDescent="0.3">
      <c r="J31" s="8"/>
      <c r="K31" s="17" t="s">
        <v>120</v>
      </c>
      <c r="L31" s="17">
        <v>4.5676109511837577</v>
      </c>
      <c r="M31" s="17"/>
      <c r="N31" s="17">
        <v>3.8552006443868751E-3</v>
      </c>
      <c r="O31" s="17">
        <v>1184.7920179807356</v>
      </c>
      <c r="P31" s="17">
        <v>3.0449538110698516E-12</v>
      </c>
      <c r="Q31" s="17">
        <v>4.5569071982250948</v>
      </c>
      <c r="R31" s="17">
        <v>4.5783147041424206</v>
      </c>
      <c r="S31" s="17">
        <v>4.5569071982250948</v>
      </c>
      <c r="T31" s="17">
        <v>4.5783147041424206</v>
      </c>
    </row>
    <row r="32" spans="1:20" x14ac:dyDescent="0.25">
      <c r="A32" t="s">
        <v>121</v>
      </c>
      <c r="J32" s="8"/>
    </row>
    <row r="33" spans="1:20" ht="15.75" thickBot="1" x14ac:dyDescent="0.3">
      <c r="J33" s="8"/>
    </row>
    <row r="34" spans="1:20" x14ac:dyDescent="0.25">
      <c r="A34" s="16" t="s">
        <v>122</v>
      </c>
      <c r="B34" s="16" t="s">
        <v>123</v>
      </c>
      <c r="C34" s="16" t="s">
        <v>124</v>
      </c>
      <c r="J34" s="8"/>
    </row>
    <row r="35" spans="1:20" x14ac:dyDescent="0.25">
      <c r="A35" s="11">
        <v>1</v>
      </c>
      <c r="B35" s="11">
        <v>0.77062628560635238</v>
      </c>
      <c r="C35" s="11">
        <v>-0.18232628560635233</v>
      </c>
      <c r="J35" s="8"/>
    </row>
    <row r="36" spans="1:20" x14ac:dyDescent="0.25">
      <c r="A36" s="11">
        <v>2</v>
      </c>
      <c r="B36" s="11">
        <v>3.0979972847988737</v>
      </c>
      <c r="C36" s="11">
        <v>-0.15649728479887326</v>
      </c>
      <c r="J36" s="8"/>
    </row>
    <row r="37" spans="1:20" x14ac:dyDescent="0.25">
      <c r="A37" s="11">
        <v>3</v>
      </c>
      <c r="B37" s="11">
        <v>5.9599277583290551</v>
      </c>
      <c r="C37" s="11">
        <v>-7.6927758329054186E-2</v>
      </c>
      <c r="J37" s="8"/>
    </row>
    <row r="38" spans="1:20" x14ac:dyDescent="0.25">
      <c r="A38" s="11">
        <v>4</v>
      </c>
      <c r="B38" s="11">
        <v>29.178174924247902</v>
      </c>
      <c r="C38" s="11">
        <v>0.2368250757521011</v>
      </c>
      <c r="J38" s="8"/>
    </row>
    <row r="39" spans="1:20" x14ac:dyDescent="0.25">
      <c r="A39" s="11">
        <v>5</v>
      </c>
      <c r="B39" s="11">
        <v>58.581865108924809</v>
      </c>
      <c r="C39" s="11">
        <v>0.24813489107519615</v>
      </c>
      <c r="J39" s="8"/>
    </row>
    <row r="40" spans="1:20" ht="15.75" customHeight="1" thickBot="1" x14ac:dyDescent="0.3">
      <c r="A40" s="15">
        <v>6</v>
      </c>
      <c r="B40" s="15">
        <v>294.21920863809305</v>
      </c>
      <c r="C40" s="15">
        <v>-6.9208638093016361E-2</v>
      </c>
      <c r="J40" s="8"/>
    </row>
    <row r="41" spans="1:20" ht="15.75" customHeight="1" thickBot="1" x14ac:dyDescent="0.3">
      <c r="A41" s="15">
        <v>6</v>
      </c>
      <c r="B41" s="15">
        <v>1343.6025690249071</v>
      </c>
      <c r="C41" s="15">
        <v>0.3190976417595266</v>
      </c>
      <c r="J41" s="8"/>
    </row>
    <row r="42" spans="1:20" x14ac:dyDescent="0.25">
      <c r="J42" s="8"/>
    </row>
    <row r="43" spans="1:20" x14ac:dyDescent="0.25">
      <c r="J43" s="8"/>
    </row>
    <row r="44" spans="1:20" x14ac:dyDescent="0.25">
      <c r="A44" s="21"/>
      <c r="B44" s="21"/>
      <c r="C44" s="21"/>
      <c r="D44" s="21"/>
      <c r="E44" s="21"/>
      <c r="F44" s="21"/>
      <c r="G44" s="22"/>
      <c r="H44" s="22"/>
      <c r="I44" s="22"/>
      <c r="J44" s="23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x14ac:dyDescent="0.25">
      <c r="A45" s="24" t="s">
        <v>125</v>
      </c>
      <c r="G45"/>
      <c r="H45"/>
      <c r="I45"/>
      <c r="J45" s="8"/>
    </row>
    <row r="46" spans="1:20" x14ac:dyDescent="0.25">
      <c r="A46" t="s">
        <v>92</v>
      </c>
      <c r="B46" t="s">
        <v>126</v>
      </c>
      <c r="C46"/>
      <c r="D46"/>
      <c r="E46"/>
      <c r="F46"/>
      <c r="G46"/>
      <c r="H46"/>
      <c r="I46"/>
      <c r="J46" s="8"/>
      <c r="K46" s="9" t="s">
        <v>127</v>
      </c>
    </row>
    <row r="47" spans="1:20" ht="15.75" thickBot="1" x14ac:dyDescent="0.3">
      <c r="A47"/>
      <c r="B47"/>
      <c r="C47"/>
      <c r="D47"/>
      <c r="E47"/>
      <c r="F47"/>
      <c r="G47"/>
      <c r="H47"/>
      <c r="I47"/>
      <c r="J47" s="8"/>
      <c r="K47" t="s">
        <v>121</v>
      </c>
    </row>
    <row r="48" spans="1:20" x14ac:dyDescent="0.25">
      <c r="A48" s="12" t="s">
        <v>96</v>
      </c>
      <c r="B48" s="12"/>
      <c r="C48"/>
      <c r="D48"/>
      <c r="E48"/>
      <c r="F48"/>
      <c r="G48"/>
      <c r="H48"/>
      <c r="I48"/>
      <c r="J48" s="8"/>
      <c r="K48" t="s">
        <v>92</v>
      </c>
    </row>
    <row r="49" spans="1:19" ht="15.75" thickBot="1" x14ac:dyDescent="0.3">
      <c r="A49" s="14" t="s">
        <v>97</v>
      </c>
      <c r="B49" s="14">
        <v>0.99913678675732565</v>
      </c>
      <c r="C49"/>
      <c r="D49"/>
      <c r="E49"/>
      <c r="F49"/>
      <c r="G49"/>
      <c r="H49"/>
      <c r="I49"/>
      <c r="J49" s="8"/>
    </row>
    <row r="50" spans="1:19" x14ac:dyDescent="0.25">
      <c r="A50" s="14" t="s">
        <v>98</v>
      </c>
      <c r="B50" s="14">
        <v>0.99827431865175353</v>
      </c>
      <c r="C50"/>
      <c r="D50"/>
      <c r="E50"/>
      <c r="F50"/>
      <c r="G50"/>
      <c r="H50"/>
      <c r="I50"/>
      <c r="J50" s="8"/>
      <c r="K50" s="12" t="s">
        <v>96</v>
      </c>
      <c r="L50" s="12"/>
    </row>
    <row r="51" spans="1:19" ht="15.75" customHeight="1" x14ac:dyDescent="0.25">
      <c r="A51" s="14" t="s">
        <v>99</v>
      </c>
      <c r="B51" s="14">
        <v>0.99792918238210437</v>
      </c>
      <c r="C51"/>
      <c r="D51"/>
      <c r="E51"/>
      <c r="F51"/>
      <c r="G51"/>
      <c r="H51"/>
      <c r="I51"/>
      <c r="J51" s="8"/>
      <c r="K51" s="14" t="s">
        <v>97</v>
      </c>
      <c r="L51" s="14">
        <v>0.99924092193949743</v>
      </c>
    </row>
    <row r="52" spans="1:19" x14ac:dyDescent="0.25">
      <c r="A52" s="14" t="s">
        <v>100</v>
      </c>
      <c r="B52" s="14">
        <v>4.8787115983951139</v>
      </c>
      <c r="C52"/>
      <c r="D52"/>
      <c r="E52"/>
      <c r="F52"/>
      <c r="G52"/>
      <c r="H52"/>
      <c r="I52"/>
      <c r="J52" s="8"/>
      <c r="K52" s="14" t="s">
        <v>98</v>
      </c>
      <c r="L52" s="14">
        <v>0.99848242007849675</v>
      </c>
    </row>
    <row r="53" spans="1:19" ht="15.75" customHeight="1" thickBot="1" x14ac:dyDescent="0.3">
      <c r="A53" s="17" t="s">
        <v>101</v>
      </c>
      <c r="B53" s="17">
        <v>7</v>
      </c>
      <c r="C53"/>
      <c r="D53"/>
      <c r="E53"/>
      <c r="F53"/>
      <c r="G53"/>
      <c r="H53"/>
      <c r="I53"/>
      <c r="J53" s="8"/>
      <c r="K53" s="14" t="s">
        <v>99</v>
      </c>
      <c r="L53" s="14">
        <v>0.99810302509812088</v>
      </c>
    </row>
    <row r="54" spans="1:19" x14ac:dyDescent="0.25">
      <c r="A54"/>
      <c r="B54"/>
      <c r="C54"/>
      <c r="D54"/>
      <c r="E54"/>
      <c r="F54"/>
      <c r="G54"/>
      <c r="H54"/>
      <c r="I54"/>
      <c r="J54" s="8"/>
      <c r="K54" s="14" t="s">
        <v>100</v>
      </c>
      <c r="L54" s="14">
        <v>6.5199566510312952E-3</v>
      </c>
    </row>
    <row r="55" spans="1:19" ht="15.75" thickBot="1" x14ac:dyDescent="0.3">
      <c r="A55" t="s">
        <v>102</v>
      </c>
      <c r="B55"/>
      <c r="C55"/>
      <c r="D55"/>
      <c r="E55"/>
      <c r="F55"/>
      <c r="G55"/>
      <c r="H55"/>
      <c r="I55"/>
      <c r="J55" s="8"/>
      <c r="K55" s="17" t="s">
        <v>101</v>
      </c>
      <c r="L55" s="17">
        <v>6</v>
      </c>
    </row>
    <row r="56" spans="1:19" x14ac:dyDescent="0.25">
      <c r="A56" s="18"/>
      <c r="B56" s="18" t="s">
        <v>104</v>
      </c>
      <c r="C56" s="18" t="s">
        <v>105</v>
      </c>
      <c r="D56" s="18" t="s">
        <v>106</v>
      </c>
      <c r="E56" s="18" t="s">
        <v>107</v>
      </c>
      <c r="F56" s="18" t="s">
        <v>108</v>
      </c>
      <c r="G56"/>
      <c r="H56"/>
      <c r="I56"/>
      <c r="J56" s="8"/>
    </row>
    <row r="57" spans="1:19" ht="15.75" customHeight="1" thickBot="1" x14ac:dyDescent="0.3">
      <c r="A57" s="14" t="s">
        <v>109</v>
      </c>
      <c r="B57" s="14">
        <v>1</v>
      </c>
      <c r="C57" s="14">
        <v>68844.553821575581</v>
      </c>
      <c r="D57" s="14">
        <v>68844.553821575581</v>
      </c>
      <c r="E57" s="14">
        <v>2892.4062940883214</v>
      </c>
      <c r="F57" s="14">
        <v>4.2028918326297201E-8</v>
      </c>
      <c r="G57"/>
      <c r="H57"/>
      <c r="I57"/>
      <c r="J57" s="8"/>
      <c r="K57" t="s">
        <v>102</v>
      </c>
    </row>
    <row r="58" spans="1:19" x14ac:dyDescent="0.25">
      <c r="A58" s="14" t="s">
        <v>110</v>
      </c>
      <c r="B58" s="14">
        <v>5</v>
      </c>
      <c r="C58" s="14">
        <v>119.00913430157502</v>
      </c>
      <c r="D58" s="14">
        <v>23.801826860315003</v>
      </c>
      <c r="E58" s="14"/>
      <c r="F58" s="14"/>
      <c r="G58"/>
      <c r="H58"/>
      <c r="I58"/>
      <c r="J58" s="8"/>
      <c r="K58" s="18"/>
      <c r="L58" s="18" t="s">
        <v>104</v>
      </c>
      <c r="M58" s="18" t="s">
        <v>105</v>
      </c>
      <c r="N58" s="18" t="s">
        <v>106</v>
      </c>
      <c r="O58" s="18" t="s">
        <v>107</v>
      </c>
      <c r="P58" s="18" t="s">
        <v>108</v>
      </c>
    </row>
    <row r="59" spans="1:19" ht="15.75" thickBot="1" x14ac:dyDescent="0.3">
      <c r="A59" s="17" t="s">
        <v>111</v>
      </c>
      <c r="B59" s="17">
        <v>6</v>
      </c>
      <c r="C59" s="17">
        <v>68963.562955877162</v>
      </c>
      <c r="D59" s="17"/>
      <c r="E59" s="17"/>
      <c r="F59" s="17"/>
      <c r="G59"/>
      <c r="H59"/>
      <c r="I59"/>
      <c r="J59" s="19"/>
      <c r="K59" s="14" t="s">
        <v>109</v>
      </c>
      <c r="L59" s="14">
        <v>1</v>
      </c>
      <c r="M59" s="14">
        <v>0.11187634221630503</v>
      </c>
      <c r="N59" s="14">
        <v>0.11187634221630503</v>
      </c>
      <c r="O59" s="14">
        <v>2631.7755155575519</v>
      </c>
      <c r="P59" s="14">
        <v>8.6408056270436361E-7</v>
      </c>
    </row>
    <row r="60" spans="1:19" ht="15.75" thickBot="1" x14ac:dyDescent="0.3">
      <c r="A60"/>
      <c r="B60"/>
      <c r="C60"/>
      <c r="D60"/>
      <c r="E60"/>
      <c r="F60"/>
      <c r="G60"/>
      <c r="H60"/>
      <c r="I60"/>
      <c r="J60" s="20"/>
      <c r="K60" s="14" t="s">
        <v>110</v>
      </c>
      <c r="L60" s="14">
        <v>4</v>
      </c>
      <c r="M60" s="14">
        <v>1.7003933892530891E-4</v>
      </c>
      <c r="N60" s="14">
        <v>4.2509834731327227E-5</v>
      </c>
      <c r="O60" s="14"/>
      <c r="P60" s="14"/>
    </row>
    <row r="61" spans="1:19" ht="15.75" customHeight="1" thickBot="1" x14ac:dyDescent="0.3">
      <c r="A61" s="18"/>
      <c r="B61" s="18" t="s">
        <v>112</v>
      </c>
      <c r="C61" s="18" t="s">
        <v>100</v>
      </c>
      <c r="D61" s="18" t="s">
        <v>113</v>
      </c>
      <c r="E61" s="18" t="s">
        <v>114</v>
      </c>
      <c r="F61" s="18" t="s">
        <v>115</v>
      </c>
      <c r="G61" s="18" t="s">
        <v>116</v>
      </c>
      <c r="H61" s="18" t="s">
        <v>117</v>
      </c>
      <c r="I61" s="18" t="s">
        <v>118</v>
      </c>
      <c r="J61" s="20"/>
      <c r="K61" s="17" t="s">
        <v>111</v>
      </c>
      <c r="L61" s="17">
        <v>5</v>
      </c>
      <c r="M61" s="17">
        <v>0.11204638155523035</v>
      </c>
      <c r="N61" s="17"/>
      <c r="O61" s="17"/>
      <c r="P61" s="17"/>
    </row>
    <row r="62" spans="1:19" ht="15.75" thickBot="1" x14ac:dyDescent="0.3">
      <c r="A62" s="14" t="s">
        <v>119</v>
      </c>
      <c r="B62" s="14">
        <v>-4.8811598005730872</v>
      </c>
      <c r="C62" s="14">
        <v>2.1634624433925831</v>
      </c>
      <c r="D62" s="14">
        <v>-2.2561795863295924</v>
      </c>
      <c r="E62" s="14">
        <v>7.3703712687858761E-2</v>
      </c>
      <c r="F62" s="14">
        <v>-10.442517059639421</v>
      </c>
      <c r="G62" s="14">
        <v>0.68019745849324664</v>
      </c>
      <c r="H62" s="14">
        <v>-10.442517059639421</v>
      </c>
      <c r="I62" s="14">
        <v>0.68019745849324664</v>
      </c>
      <c r="J62" s="8"/>
    </row>
    <row r="63" spans="1:19" ht="15.75" thickBot="1" x14ac:dyDescent="0.3">
      <c r="A63" s="17" t="s">
        <v>120</v>
      </c>
      <c r="B63" s="17">
        <v>759.58961712954601</v>
      </c>
      <c r="C63" s="17">
        <v>14.12372883203613</v>
      </c>
      <c r="D63" s="17">
        <v>53.781096066260332</v>
      </c>
      <c r="E63" s="17">
        <v>4.2028918326297201E-8</v>
      </c>
      <c r="F63" s="17">
        <v>723.28341634246101</v>
      </c>
      <c r="G63" s="17">
        <v>795.89581791663102</v>
      </c>
      <c r="H63" s="17">
        <v>723.28341634246101</v>
      </c>
      <c r="I63" s="17">
        <v>795.89581791663102</v>
      </c>
      <c r="J63" s="8"/>
      <c r="K63" s="18"/>
      <c r="L63" s="18" t="s">
        <v>112</v>
      </c>
      <c r="M63" s="18" t="s">
        <v>100</v>
      </c>
      <c r="N63" s="18" t="s">
        <v>113</v>
      </c>
      <c r="O63" s="18" t="s">
        <v>114</v>
      </c>
      <c r="P63" s="18" t="s">
        <v>115</v>
      </c>
      <c r="Q63" s="18" t="s">
        <v>116</v>
      </c>
      <c r="R63" s="18" t="s">
        <v>117</v>
      </c>
      <c r="S63" s="18" t="s">
        <v>118</v>
      </c>
    </row>
    <row r="64" spans="1:19" x14ac:dyDescent="0.25">
      <c r="A64"/>
      <c r="B64"/>
      <c r="C64"/>
      <c r="D64"/>
      <c r="E64"/>
      <c r="F64"/>
      <c r="G64"/>
      <c r="H64"/>
      <c r="I64"/>
      <c r="J64" s="8"/>
      <c r="K64" s="14" t="s">
        <v>119</v>
      </c>
      <c r="L64" s="14">
        <v>7.8048250862010615E-3</v>
      </c>
      <c r="M64" s="14">
        <v>3.140161557201399E-3</v>
      </c>
      <c r="N64" s="14">
        <v>2.4854852032380599</v>
      </c>
      <c r="O64" s="14">
        <v>6.7811417932391718E-2</v>
      </c>
      <c r="P64" s="14">
        <v>-9.13661098821043E-4</v>
      </c>
      <c r="Q64" s="14">
        <v>1.6523311271223168E-2</v>
      </c>
      <c r="R64" s="14">
        <v>-9.13661098821043E-4</v>
      </c>
      <c r="S64" s="14">
        <v>1.6523311271223168E-2</v>
      </c>
    </row>
    <row r="65" spans="1:19" ht="15.75" thickBot="1" x14ac:dyDescent="0.3">
      <c r="A65"/>
      <c r="B65"/>
      <c r="C65"/>
      <c r="D65"/>
      <c r="E65"/>
      <c r="F65"/>
      <c r="G65"/>
      <c r="H65"/>
      <c r="I65"/>
      <c r="J65" s="8"/>
      <c r="K65" s="17" t="s">
        <v>120</v>
      </c>
      <c r="L65" s="17">
        <v>1.308833284583751E-3</v>
      </c>
      <c r="M65" s="17">
        <v>2.5512904875903149E-5</v>
      </c>
      <c r="N65" s="17">
        <v>51.300833478195557</v>
      </c>
      <c r="O65" s="17">
        <v>8.640805627043652E-7</v>
      </c>
      <c r="P65" s="17">
        <v>1.2379981047216729E-3</v>
      </c>
      <c r="Q65" s="17">
        <v>1.3796684644458291E-3</v>
      </c>
      <c r="R65" s="17">
        <v>1.2379981047216729E-3</v>
      </c>
      <c r="S65" s="17">
        <v>1.3796684644458291E-3</v>
      </c>
    </row>
    <row r="66" spans="1:19" x14ac:dyDescent="0.25">
      <c r="A66"/>
      <c r="B66"/>
      <c r="C66"/>
      <c r="D66"/>
      <c r="E66"/>
      <c r="F66"/>
      <c r="G66"/>
      <c r="H66"/>
      <c r="I66"/>
      <c r="J66" s="8"/>
    </row>
    <row r="67" spans="1:19" x14ac:dyDescent="0.25">
      <c r="A67" t="s">
        <v>121</v>
      </c>
      <c r="B67"/>
      <c r="C67"/>
      <c r="D67"/>
      <c r="E67"/>
      <c r="F67"/>
      <c r="G67"/>
      <c r="H67"/>
      <c r="I67"/>
      <c r="J67" s="8"/>
    </row>
    <row r="68" spans="1:19" ht="15.75" thickBot="1" x14ac:dyDescent="0.3">
      <c r="A68"/>
      <c r="B68"/>
      <c r="C68"/>
      <c r="D68"/>
      <c r="E68"/>
      <c r="F68"/>
      <c r="G68"/>
      <c r="H68"/>
      <c r="I68"/>
      <c r="J68" s="8"/>
    </row>
    <row r="69" spans="1:19" x14ac:dyDescent="0.25">
      <c r="A69" s="18" t="s">
        <v>122</v>
      </c>
      <c r="B69" s="18" t="s">
        <v>123</v>
      </c>
      <c r="C69" s="18" t="s">
        <v>124</v>
      </c>
      <c r="D69"/>
      <c r="E69"/>
      <c r="F69"/>
      <c r="G69"/>
      <c r="H69"/>
      <c r="I69"/>
      <c r="J69" s="8"/>
      <c r="K69" t="s">
        <v>121</v>
      </c>
    </row>
    <row r="70" spans="1:19" ht="15.75" thickBot="1" x14ac:dyDescent="0.3">
      <c r="A70" s="14">
        <v>1</v>
      </c>
      <c r="B70" s="14">
        <v>-4.0020051511175945</v>
      </c>
      <c r="C70" s="14">
        <v>4.0020051511175945</v>
      </c>
      <c r="D70"/>
      <c r="E70"/>
      <c r="F70"/>
      <c r="G70"/>
      <c r="H70"/>
      <c r="I70"/>
      <c r="J70" s="8"/>
    </row>
    <row r="71" spans="1:19" x14ac:dyDescent="0.25">
      <c r="A71" s="14">
        <v>2</v>
      </c>
      <c r="B71" s="14">
        <v>-2.249901649732176</v>
      </c>
      <c r="C71" s="14">
        <v>2.8382016497321763</v>
      </c>
      <c r="D71"/>
      <c r="E71"/>
      <c r="F71"/>
      <c r="G71"/>
      <c r="H71"/>
      <c r="I71"/>
      <c r="J71" s="8"/>
      <c r="K71" s="18" t="s">
        <v>122</v>
      </c>
      <c r="L71" s="18" t="s">
        <v>123</v>
      </c>
      <c r="M71" s="18" t="s">
        <v>124</v>
      </c>
    </row>
    <row r="72" spans="1:19" x14ac:dyDescent="0.25">
      <c r="A72" s="14">
        <v>3</v>
      </c>
      <c r="B72" s="14">
        <v>1.1815378350424348</v>
      </c>
      <c r="C72" s="14">
        <v>1.7599621649575656</v>
      </c>
      <c r="D72"/>
      <c r="E72"/>
      <c r="F72"/>
      <c r="G72"/>
      <c r="H72"/>
      <c r="I72"/>
      <c r="J72" s="8"/>
      <c r="K72" s="14">
        <v>1</v>
      </c>
      <c r="L72" s="14">
        <v>8.5748117075216818E-3</v>
      </c>
      <c r="M72" s="14">
        <v>-5.1107594199399824E-3</v>
      </c>
    </row>
    <row r="73" spans="1:19" ht="15.75" customHeight="1" x14ac:dyDescent="0.25">
      <c r="A73" s="14">
        <v>4</v>
      </c>
      <c r="B73" s="14">
        <v>4.6928343319972328</v>
      </c>
      <c r="C73" s="14">
        <v>1.1901656680027681</v>
      </c>
      <c r="D73"/>
      <c r="E73"/>
      <c r="F73"/>
      <c r="G73"/>
      <c r="H73"/>
      <c r="I73"/>
      <c r="J73" s="8"/>
      <c r="K73" s="14">
        <v>2</v>
      </c>
      <c r="L73" s="14">
        <v>1.1654758192804166E-2</v>
      </c>
      <c r="M73" s="14">
        <v>-3.6732146080903898E-3</v>
      </c>
    </row>
    <row r="74" spans="1:19" x14ac:dyDescent="0.25">
      <c r="A74" s="14">
        <v>5</v>
      </c>
      <c r="B74" s="14">
        <v>33.265360439300757</v>
      </c>
      <c r="C74" s="14">
        <v>-3.8503604393007542</v>
      </c>
      <c r="D74"/>
      <c r="E74"/>
      <c r="F74"/>
      <c r="G74"/>
      <c r="H74"/>
      <c r="I74"/>
      <c r="J74" s="8"/>
      <c r="K74" s="14">
        <v>3</v>
      </c>
      <c r="L74" s="14">
        <v>1.5504691299407271E-2</v>
      </c>
      <c r="M74" s="14">
        <v>-2.9005246327406045E-3</v>
      </c>
    </row>
    <row r="75" spans="1:19" x14ac:dyDescent="0.25">
      <c r="A75" s="14">
        <v>6</v>
      </c>
      <c r="B75" s="14">
        <v>67.183146815293682</v>
      </c>
      <c r="C75" s="14">
        <v>-8.3531468152936768</v>
      </c>
      <c r="D75"/>
      <c r="E75"/>
      <c r="F75"/>
      <c r="G75"/>
      <c r="H75"/>
      <c r="I75"/>
      <c r="J75" s="8"/>
      <c r="K75" s="14">
        <v>4</v>
      </c>
      <c r="L75" s="14">
        <v>4.6304156152232101E-2</v>
      </c>
      <c r="M75" s="14">
        <v>3.9157512551753065E-3</v>
      </c>
    </row>
    <row r="76" spans="1:19" ht="15.75" thickBot="1" x14ac:dyDescent="0.3">
      <c r="A76" s="17">
        <v>7</v>
      </c>
      <c r="B76" s="17">
        <v>291.73682737921575</v>
      </c>
      <c r="C76" s="17">
        <v>2.4131726207842803</v>
      </c>
      <c r="D76"/>
      <c r="E76"/>
      <c r="F76"/>
      <c r="G76"/>
      <c r="H76"/>
      <c r="I76"/>
      <c r="J76" s="8"/>
      <c r="K76" s="14">
        <v>5</v>
      </c>
      <c r="L76" s="14">
        <v>8.4803487218263141E-2</v>
      </c>
      <c r="M76" s="14">
        <v>1.0069197966922044E-2</v>
      </c>
    </row>
    <row r="77" spans="1:19" ht="15.75" thickBot="1" x14ac:dyDescent="0.3">
      <c r="J77" s="8"/>
      <c r="K77" s="17">
        <v>6</v>
      </c>
      <c r="L77" s="17">
        <v>0.39279813574651146</v>
      </c>
      <c r="M77" s="17">
        <v>-2.3004505613262727E-3</v>
      </c>
    </row>
    <row r="78" spans="1:19" x14ac:dyDescent="0.25">
      <c r="J7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Bottle Results</vt:lpstr>
      <vt:lpstr>Equilibrated Data</vt:lpstr>
      <vt:lpstr>Count-&gt;Actual Activity</vt:lpstr>
      <vt:lpstr>Result</vt:lpstr>
      <vt:lpstr>Calibration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Chen</cp:lastModifiedBy>
  <dcterms:created xsi:type="dcterms:W3CDTF">2016-01-21T14:25:13Z</dcterms:created>
  <dcterms:modified xsi:type="dcterms:W3CDTF">2016-03-21T15:28:32Z</dcterms:modified>
</cp:coreProperties>
</file>