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achen\Dropbox (Personal)\work\MIT Graduate Work\Research\RadiumSorption\Sorption Experiments\RaGlass_May11_2017\"/>
    </mc:Choice>
  </mc:AlternateContent>
  <bookViews>
    <workbookView xWindow="0" yWindow="0" windowWidth="7474" windowHeight="12283" firstSheet="3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5" l="1"/>
  <c r="K20" i="5" s="1"/>
  <c r="H20" i="5"/>
  <c r="L20" i="5" s="1"/>
  <c r="G21" i="5"/>
  <c r="K21" i="5" s="1"/>
  <c r="H21" i="5"/>
  <c r="L21" i="5" s="1"/>
  <c r="G22" i="5"/>
  <c r="K22" i="5" s="1"/>
  <c r="H22" i="5"/>
  <c r="L22" i="5" s="1"/>
  <c r="G23" i="5"/>
  <c r="K23" i="5" s="1"/>
  <c r="H23" i="5"/>
  <c r="L23" i="5" s="1"/>
  <c r="G24" i="5"/>
  <c r="K24" i="5" s="1"/>
  <c r="H24" i="5"/>
  <c r="L24" i="5" s="1"/>
  <c r="G25" i="5"/>
  <c r="K25" i="5" s="1"/>
  <c r="H25" i="5"/>
  <c r="L25" i="5" s="1"/>
  <c r="G26" i="5"/>
  <c r="K26" i="5" s="1"/>
  <c r="H26" i="5"/>
  <c r="L26" i="5" s="1"/>
  <c r="G27" i="5"/>
  <c r="K27" i="5" s="1"/>
  <c r="H27" i="5"/>
  <c r="L27" i="5" s="1"/>
  <c r="G28" i="5"/>
  <c r="K28" i="5" s="1"/>
  <c r="H28" i="5"/>
  <c r="L28" i="5" s="1"/>
  <c r="G29" i="5"/>
  <c r="K29" i="5" s="1"/>
  <c r="H29" i="5"/>
  <c r="L29" i="5" s="1"/>
  <c r="G30" i="5"/>
  <c r="K30" i="5" s="1"/>
  <c r="H30" i="5"/>
  <c r="L30" i="5" s="1"/>
  <c r="G31" i="5"/>
  <c r="K31" i="5" s="1"/>
  <c r="H31" i="5"/>
  <c r="L31" i="5" s="1"/>
  <c r="G32" i="5"/>
  <c r="K32" i="5" s="1"/>
  <c r="H32" i="5"/>
  <c r="L32" i="5" s="1"/>
  <c r="G33" i="5"/>
  <c r="K33" i="5" s="1"/>
  <c r="H33" i="5"/>
  <c r="L33" i="5" s="1"/>
  <c r="G34" i="5"/>
  <c r="K34" i="5" s="1"/>
  <c r="H34" i="5"/>
  <c r="L34" i="5" s="1"/>
  <c r="G35" i="5"/>
  <c r="K35" i="5" s="1"/>
  <c r="H35" i="5"/>
  <c r="L35" i="5" s="1"/>
  <c r="G36" i="5"/>
  <c r="K36" i="5" s="1"/>
  <c r="H36" i="5"/>
  <c r="L36" i="5" s="1"/>
  <c r="G37" i="5"/>
  <c r="K37" i="5" s="1"/>
  <c r="H37" i="5"/>
  <c r="L37" i="5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/>
  <c r="F11" i="2"/>
  <c r="G11" i="2" s="1"/>
  <c r="F12" i="2"/>
  <c r="G12" i="2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/>
  <c r="F19" i="2"/>
  <c r="G19" i="2" s="1"/>
  <c r="F20" i="2"/>
  <c r="G20" i="2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/>
  <c r="F27" i="2"/>
  <c r="G27" i="2" s="1"/>
  <c r="F28" i="2"/>
  <c r="G28" i="2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/>
  <c r="F35" i="2"/>
  <c r="G35" i="2" s="1"/>
  <c r="F36" i="2"/>
  <c r="G36" i="2"/>
  <c r="F37" i="2"/>
  <c r="G37" i="2" s="1"/>
  <c r="C6" i="1" l="1"/>
  <c r="B6" i="1"/>
  <c r="N12" i="5" l="1"/>
  <c r="N18" i="5"/>
  <c r="N28" i="5"/>
  <c r="M3" i="5"/>
  <c r="M7" i="5"/>
  <c r="M11" i="5"/>
  <c r="M5" i="5"/>
  <c r="N5" i="5" s="1"/>
  <c r="M9" i="5"/>
  <c r="M13" i="5"/>
  <c r="N13" i="5" s="1"/>
  <c r="M16" i="5"/>
  <c r="M17" i="5"/>
  <c r="M19" i="5"/>
  <c r="M20" i="5"/>
  <c r="O20" i="5" s="1"/>
  <c r="M22" i="5"/>
  <c r="O22" i="5" s="1"/>
  <c r="M24" i="5"/>
  <c r="O24" i="5" s="1"/>
  <c r="M26" i="5"/>
  <c r="O26" i="5" s="1"/>
  <c r="M28" i="5"/>
  <c r="O28" i="5" s="1"/>
  <c r="M30" i="5"/>
  <c r="O30" i="5" s="1"/>
  <c r="M32" i="5"/>
  <c r="O32" i="5" s="1"/>
  <c r="M34" i="5"/>
  <c r="O34" i="5" s="1"/>
  <c r="M37" i="5"/>
  <c r="O37" i="5" s="1"/>
  <c r="M6" i="5"/>
  <c r="M10" i="5"/>
  <c r="M14" i="5"/>
  <c r="M15" i="5"/>
  <c r="M18" i="5"/>
  <c r="M21" i="5"/>
  <c r="O21" i="5" s="1"/>
  <c r="M23" i="5"/>
  <c r="O23" i="5" s="1"/>
  <c r="M25" i="5"/>
  <c r="O25" i="5" s="1"/>
  <c r="M27" i="5"/>
  <c r="O27" i="5" s="1"/>
  <c r="M29" i="5"/>
  <c r="O29" i="5" s="1"/>
  <c r="M31" i="5"/>
  <c r="O31" i="5" s="1"/>
  <c r="M33" i="5"/>
  <c r="O33" i="5" s="1"/>
  <c r="M35" i="5"/>
  <c r="O35" i="5" s="1"/>
  <c r="M36" i="5"/>
  <c r="O36" i="5" s="1"/>
  <c r="M4" i="5"/>
  <c r="M8" i="5"/>
  <c r="M12" i="5"/>
  <c r="F2" i="2"/>
  <c r="N33" i="5" l="1"/>
  <c r="N21" i="5"/>
  <c r="N30" i="5"/>
  <c r="N7" i="5"/>
  <c r="N37" i="5"/>
  <c r="N25" i="5"/>
  <c r="N15" i="5"/>
  <c r="N8" i="5"/>
  <c r="N34" i="5"/>
  <c r="N14" i="5"/>
  <c r="N26" i="5"/>
  <c r="N19" i="5"/>
  <c r="N10" i="5"/>
  <c r="N3" i="5"/>
  <c r="N24" i="5"/>
  <c r="N36" i="5"/>
  <c r="N32" i="5"/>
  <c r="N17" i="5"/>
  <c r="N6" i="5"/>
  <c r="N29" i="5"/>
  <c r="N22" i="5"/>
  <c r="N35" i="5"/>
  <c r="N31" i="5"/>
  <c r="N23" i="5"/>
  <c r="N16" i="5"/>
  <c r="N11" i="5"/>
  <c r="N27" i="5"/>
  <c r="N20" i="5"/>
  <c r="N9" i="5"/>
  <c r="N4" i="5"/>
  <c r="J7" i="8"/>
  <c r="J6" i="8"/>
  <c r="J5" i="8"/>
  <c r="J4" i="8"/>
  <c r="J3" i="8"/>
  <c r="I7" i="8"/>
  <c r="I6" i="8"/>
  <c r="I5" i="8"/>
  <c r="I4" i="8"/>
  <c r="I3" i="8"/>
  <c r="J2" i="8"/>
  <c r="I2" i="8"/>
  <c r="M2" i="5" l="1"/>
  <c r="N2" i="5" s="1"/>
  <c r="G10" i="5"/>
  <c r="K10" i="5" s="1"/>
  <c r="O10" i="5" l="1"/>
  <c r="F4" i="8"/>
  <c r="F6" i="8"/>
  <c r="F3" i="8"/>
  <c r="F2" i="8"/>
  <c r="F5" i="8"/>
  <c r="F7" i="8"/>
  <c r="G18" i="5"/>
  <c r="K18" i="5" s="1"/>
  <c r="O18" i="5" s="1"/>
  <c r="G19" i="5"/>
  <c r="K19" i="5" s="1"/>
  <c r="O19" i="5" s="1"/>
  <c r="G3" i="5"/>
  <c r="K3" i="5" s="1"/>
  <c r="G9" i="5"/>
  <c r="K9" i="5" s="1"/>
  <c r="G16" i="5"/>
  <c r="K16" i="5" s="1"/>
  <c r="O16" i="5" s="1"/>
  <c r="G8" i="5"/>
  <c r="K8" i="5" s="1"/>
  <c r="G15" i="5"/>
  <c r="K15" i="5" s="1"/>
  <c r="O15" i="5" s="1"/>
  <c r="G7" i="5"/>
  <c r="K7" i="5" s="1"/>
  <c r="G14" i="5"/>
  <c r="K14" i="5" s="1"/>
  <c r="O14" i="5" s="1"/>
  <c r="G6" i="5"/>
  <c r="K6" i="5" s="1"/>
  <c r="G13" i="5"/>
  <c r="K13" i="5" s="1"/>
  <c r="G5" i="5"/>
  <c r="K5" i="5" s="1"/>
  <c r="G4" i="5"/>
  <c r="K4" i="5" s="1"/>
  <c r="G17" i="5"/>
  <c r="K17" i="5" s="1"/>
  <c r="O17" i="5" s="1"/>
  <c r="G12" i="5"/>
  <c r="K12" i="5" s="1"/>
  <c r="G11" i="5"/>
  <c r="K11" i="5" s="1"/>
  <c r="O11" i="5" l="1"/>
  <c r="O7" i="5"/>
  <c r="O12" i="5"/>
  <c r="O13" i="5"/>
  <c r="O3" i="5"/>
  <c r="O6" i="5"/>
  <c r="O5" i="5"/>
  <c r="O9" i="5"/>
  <c r="O8" i="5"/>
  <c r="O4" i="5"/>
  <c r="B7" i="8"/>
  <c r="C7" i="8"/>
  <c r="B4" i="8"/>
  <c r="C4" i="8"/>
  <c r="G5" i="8"/>
  <c r="H3" i="8"/>
  <c r="B6" i="8"/>
  <c r="C6" i="8"/>
  <c r="C3" i="8"/>
  <c r="B3" i="8"/>
  <c r="C5" i="8"/>
  <c r="B5" i="8"/>
  <c r="G2" i="5"/>
  <c r="K2" i="5" s="1"/>
  <c r="O43" i="7"/>
  <c r="O42" i="7"/>
  <c r="O41" i="7"/>
  <c r="O40" i="7"/>
  <c r="O39" i="7"/>
  <c r="O38" i="7"/>
  <c r="K8" i="7"/>
  <c r="H8" i="7"/>
  <c r="I8" i="7" s="1"/>
  <c r="E8" i="7"/>
  <c r="D8" i="7"/>
  <c r="L8" i="7" s="1"/>
  <c r="K7" i="7"/>
  <c r="I7" i="7"/>
  <c r="E7" i="7"/>
  <c r="D7" i="7"/>
  <c r="L7" i="7" s="1"/>
  <c r="K6" i="7"/>
  <c r="H6" i="7"/>
  <c r="I6" i="7" s="1"/>
  <c r="J6" i="7" s="1"/>
  <c r="E6" i="7"/>
  <c r="D6" i="7"/>
  <c r="L6" i="7" s="1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O2" i="5"/>
  <c r="G2" i="8" s="1"/>
  <c r="E6" i="8"/>
  <c r="D6" i="8"/>
  <c r="D5" i="8"/>
  <c r="E5" i="8"/>
  <c r="D4" i="8"/>
  <c r="E4" i="8"/>
  <c r="J8" i="7"/>
  <c r="M8" i="7"/>
  <c r="M3" i="7"/>
  <c r="J5" i="7"/>
  <c r="M5" i="7"/>
  <c r="M7" i="7"/>
  <c r="J3" i="7"/>
  <c r="M6" i="7"/>
  <c r="N4" i="7" s="1"/>
  <c r="J7" i="7"/>
  <c r="M4" i="7"/>
  <c r="J4" i="7"/>
  <c r="L3" i="7"/>
  <c r="N2" i="7" l="1"/>
  <c r="N8" i="7"/>
  <c r="E2" i="8"/>
  <c r="D2" i="8"/>
  <c r="N6" i="7"/>
  <c r="J9" i="7"/>
  <c r="N5" i="7"/>
  <c r="N3" i="7"/>
  <c r="N7" i="7"/>
  <c r="H11" i="5" l="1"/>
  <c r="L11" i="5" s="1"/>
  <c r="H10" i="5"/>
  <c r="L10" i="5" s="1"/>
  <c r="H16" i="5"/>
  <c r="L16" i="5" s="1"/>
  <c r="H14" i="5"/>
  <c r="L14" i="5" s="1"/>
  <c r="H4" i="5"/>
  <c r="L4" i="5" s="1"/>
  <c r="G2" i="2"/>
  <c r="H2" i="5" s="1"/>
  <c r="L2" i="5" s="1"/>
  <c r="H17" i="5"/>
  <c r="L17" i="5" s="1"/>
  <c r="H19" i="5"/>
  <c r="L19" i="5" s="1"/>
  <c r="H9" i="5"/>
  <c r="L9" i="5" s="1"/>
  <c r="H7" i="5"/>
  <c r="L7" i="5" s="1"/>
  <c r="H6" i="5"/>
  <c r="L6" i="5" s="1"/>
  <c r="H5" i="5"/>
  <c r="L5" i="5" s="1"/>
  <c r="H13" i="5"/>
  <c r="L13" i="5" s="1"/>
  <c r="H18" i="5"/>
  <c r="L18" i="5" s="1"/>
  <c r="H8" i="5"/>
  <c r="L8" i="5" s="1"/>
  <c r="H12" i="5"/>
  <c r="L12" i="5" s="1"/>
  <c r="H3" i="5"/>
  <c r="L3" i="5" s="1"/>
  <c r="H15" i="5"/>
  <c r="L15" i="5" s="1"/>
</calcChain>
</file>

<file path=xl/sharedStrings.xml><?xml version="1.0" encoding="utf-8"?>
<sst xmlns="http://schemas.openxmlformats.org/spreadsheetml/2006/main" count="420" uniqueCount="143">
  <si>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</si>
  <si>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</si>
  <si>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</si>
  <si>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</si>
  <si>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</si>
  <si>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</si>
  <si>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</si>
  <si>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</si>
  <si>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</si>
  <si>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</si>
  <si>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</si>
  <si>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</si>
  <si>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</si>
  <si>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</si>
  <si>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</si>
  <si>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</si>
  <si>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</si>
  <si>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</si>
  <si>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</si>
  <si>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</si>
  <si>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</si>
  <si>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</si>
  <si>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</si>
  <si>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</si>
  <si>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Stock Volume Added (mL)</t>
  </si>
  <si>
    <t>Stock Vol Err (mL)</t>
  </si>
  <si>
    <t>Cw (Bq/mL)</t>
  </si>
  <si>
    <t>dCw (Bq/mL)</t>
  </si>
  <si>
    <t>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</si>
  <si>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</si>
  <si>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</si>
  <si>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</si>
  <si>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</si>
  <si>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</si>
  <si>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</si>
  <si>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</si>
  <si>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</si>
  <si>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</si>
  <si>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</si>
  <si>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</si>
  <si>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</si>
  <si>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</si>
  <si>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</si>
  <si>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</si>
  <si>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</si>
  <si>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</si>
  <si>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</si>
  <si>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</si>
  <si>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</si>
  <si>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</si>
  <si>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</si>
  <si>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</si>
  <si>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</si>
  <si>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</si>
  <si>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</si>
  <si>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</si>
  <si>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</si>
  <si>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</si>
  <si>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</si>
  <si>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</si>
  <si>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</si>
  <si>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</si>
  <si>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</si>
  <si>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</si>
  <si>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</si>
  <si>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</si>
  <si>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</si>
  <si>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</si>
  <si>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</si>
  <si>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</si>
  <si>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</si>
  <si>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</si>
  <si>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</si>
  <si>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</si>
  <si>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</si>
  <si>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</si>
  <si>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</si>
  <si>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</si>
  <si>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</si>
  <si>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</si>
  <si>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</si>
  <si>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</si>
  <si>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</si>
  <si>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</si>
  <si>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</si>
  <si>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</si>
  <si>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</si>
  <si>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</si>
  <si>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</si>
  <si>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</si>
  <si>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</si>
  <si>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</si>
  <si>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</si>
  <si>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</si>
  <si>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</si>
  <si>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</si>
  <si>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</si>
  <si>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</si>
  <si>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sCw (Bq/mL)</t>
  </si>
  <si>
    <t>sCs (Bq/g)</t>
  </si>
  <si>
    <t>TotAct</t>
  </si>
  <si>
    <t>fSorb</t>
  </si>
  <si>
    <t>sfsorb</t>
  </si>
  <si>
    <t>pH</t>
  </si>
  <si>
    <t>spH</t>
  </si>
  <si>
    <t>RaGlasspH3_1A</t>
  </si>
  <si>
    <t>RaGlasspH3_1B</t>
  </si>
  <si>
    <t>RaGlasspH3_1C</t>
  </si>
  <si>
    <t>RaGlasspH5_1A</t>
  </si>
  <si>
    <t>RaGlasspH5_1B</t>
  </si>
  <si>
    <t>RaGlasspH5_1C</t>
  </si>
  <si>
    <t>RaGlasspH7_1A</t>
  </si>
  <si>
    <t>RaGlasspH7_1B</t>
  </si>
  <si>
    <t>RaGlasspH7_1C</t>
  </si>
  <si>
    <t>RaGlasspH9_1A</t>
  </si>
  <si>
    <t>RaGlasspH9_1B</t>
  </si>
  <si>
    <t>RaGlasspH9_1C</t>
  </si>
  <si>
    <t>RaGlasspH3_2A</t>
  </si>
  <si>
    <t>RaGlasspH3_2B</t>
  </si>
  <si>
    <t>RaGlasspH3_2C</t>
  </si>
  <si>
    <t>RaGlasspH3_3A</t>
  </si>
  <si>
    <t>RaGlasspH3_3B</t>
  </si>
  <si>
    <t>RaGlasspH3_3C</t>
  </si>
  <si>
    <t>RaGlasspH5_2A</t>
  </si>
  <si>
    <t>RaGlasspH5_2B</t>
  </si>
  <si>
    <t>RaGlasspH5_2C</t>
  </si>
  <si>
    <t>RaGlasspH5_3A</t>
  </si>
  <si>
    <t>RaGlasspH5_3B</t>
  </si>
  <si>
    <t>RaGlasspH5_3C</t>
  </si>
  <si>
    <t>RaGlasspH7_2A</t>
  </si>
  <si>
    <t>RaGlasspH7_2B</t>
  </si>
  <si>
    <t>RaGlasspH7_2C</t>
  </si>
  <si>
    <t>RaGlasspH9_3A</t>
  </si>
  <si>
    <t>RaGlasspH9_3B</t>
  </si>
  <si>
    <t>RaGlasspH9_3C</t>
  </si>
  <si>
    <t>RaGlasspH7_3A</t>
  </si>
  <si>
    <t>RaGlasspH7_3B</t>
  </si>
  <si>
    <t>RaGlasspH7_3C</t>
  </si>
  <si>
    <t>RaGlasspH9_2A</t>
  </si>
  <si>
    <t>RaGlasspH9_2B</t>
  </si>
  <si>
    <t>RaGlasspH9_2C</t>
  </si>
  <si>
    <t>Ra_Stock_5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</si>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</sst>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5" sqref="A15"/>
    </sheetView>
  </sheetViews>
  <sheetFormatPr defaultRowHeight="14.6" x14ac:dyDescent="0.4"/>
  <cols>
    <col min="1" max="1" width="26.53515625" bestFit="1" customWidth="1"/>
    <col min="2" max="2" width="12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4">
      <c r="A2" t="s">
        <v>8</v>
      </c>
      <c r="B2" s="24">
        <v>42866</v>
      </c>
    </row>
    <row r="3" spans="1:5" x14ac:dyDescent="0.4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4">
      <c r="A4" t="s">
        <v>9</v>
      </c>
      <c r="B4" t="s">
        <v>142</v>
      </c>
    </row>
    <row r="5" spans="1:5" x14ac:dyDescent="0.4">
      <c r="A5" t="s">
        <v>22</v>
      </c>
      <c r="B5" t="s">
        <v>141</v>
      </c>
    </row>
    <row r="6" spans="1:5" x14ac:dyDescent="0.4">
      <c r="A6" t="s">
        <v>6</v>
      </c>
      <c r="B6">
        <f>42.1/0.071</f>
        <v>592.95774647887333</v>
      </c>
      <c r="C6">
        <f>2.1/0.071</f>
        <v>29.577464788732399</v>
      </c>
      <c r="D6" t="s">
        <v>20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opLeftCell="L1" workbookViewId="0">
      <selection activeCell="O8" sqref="O8"/>
    </sheetView>
  </sheetViews>
  <sheetFormatPr defaultRowHeight="14.6" x14ac:dyDescent="0.4"/>
  <cols>
    <col min="1" max="1" width="22.69140625" style="2" customWidth="1"/>
    <col min="2" max="2" width="31.3828125" style="2" customWidth="1"/>
    <col min="3" max="3" width="12" style="2" customWidth="1"/>
    <col min="4" max="4" width="24.3046875" style="2" customWidth="1"/>
    <col min="5" max="5" width="10" style="2" customWidth="1"/>
    <col min="6" max="6" width="20.69140625" style="2" customWidth="1"/>
    <col min="7" max="7" width="12" style="2" customWidth="1"/>
    <col min="8" max="8" width="19.3046875" style="2" customWidth="1"/>
    <col min="9" max="10" width="18.69140625" style="2" customWidth="1"/>
    <col min="11" max="12" width="22" bestFit="1" customWidth="1"/>
    <col min="13" max="13" width="35.53515625" bestFit="1" customWidth="1"/>
    <col min="14" max="14" width="14.53515625" bestFit="1" customWidth="1"/>
    <col min="22" max="22" width="18" bestFit="1" customWidth="1"/>
    <col min="23" max="23" width="12.69140625" bestFit="1" customWidth="1"/>
  </cols>
  <sheetData>
    <row r="1" spans="1:23" x14ac:dyDescent="0.4">
      <c r="B1" s="3" t="s">
        <v>38</v>
      </c>
      <c r="C1" s="3" t="s">
        <v>39</v>
      </c>
      <c r="D1" s="4" t="s">
        <v>40</v>
      </c>
      <c r="E1" s="4" t="s">
        <v>21</v>
      </c>
      <c r="F1" s="2" t="s">
        <v>41</v>
      </c>
      <c r="G1" s="2" t="s">
        <v>42</v>
      </c>
      <c r="H1" s="2" t="s">
        <v>43</v>
      </c>
      <c r="I1" s="2" t="s">
        <v>31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23" x14ac:dyDescent="0.4">
      <c r="A2" s="3" t="s">
        <v>49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4">
      <c r="A3" s="3" t="s">
        <v>32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4">
      <c r="A4" s="3" t="s">
        <v>33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4">
      <c r="A5" s="3" t="s">
        <v>34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4">
      <c r="A6" s="3" t="s">
        <v>35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4">
      <c r="A7" s="3" t="s">
        <v>36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4">
      <c r="A8" s="3" t="s">
        <v>37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4">
      <c r="A9" s="4"/>
      <c r="H9" s="5"/>
      <c r="I9" s="5"/>
      <c r="J9" s="5">
        <f>SUM(J3:J8)</f>
        <v>65308.483143000012</v>
      </c>
    </row>
    <row r="10" spans="1:23" x14ac:dyDescent="0.4">
      <c r="A10" s="6" t="s">
        <v>50</v>
      </c>
      <c r="I10" s="5"/>
    </row>
    <row r="11" spans="1:23" x14ac:dyDescent="0.4">
      <c r="A11" t="s">
        <v>51</v>
      </c>
      <c r="B11" t="s">
        <v>52</v>
      </c>
      <c r="C11" s="2" t="s">
        <v>53</v>
      </c>
      <c r="K11" s="7" t="s">
        <v>50</v>
      </c>
    </row>
    <row r="12" spans="1:23" ht="15" thickBot="1" x14ac:dyDescent="0.45">
      <c r="K12" t="s">
        <v>54</v>
      </c>
      <c r="M12" t="s">
        <v>53</v>
      </c>
      <c r="V12" t="s">
        <v>51</v>
      </c>
    </row>
    <row r="13" spans="1:23" ht="15" thickBot="1" x14ac:dyDescent="0.45">
      <c r="A13" s="8" t="s">
        <v>55</v>
      </c>
      <c r="B13" s="8"/>
    </row>
    <row r="14" spans="1:23" x14ac:dyDescent="0.4">
      <c r="A14" s="9" t="s">
        <v>56</v>
      </c>
      <c r="B14" s="9">
        <v>0.99999857522978297</v>
      </c>
      <c r="K14" t="s">
        <v>51</v>
      </c>
      <c r="V14" s="10" t="s">
        <v>55</v>
      </c>
      <c r="W14" s="10"/>
    </row>
    <row r="15" spans="1:23" ht="15" thickBot="1" x14ac:dyDescent="0.45">
      <c r="A15" s="9" t="s">
        <v>57</v>
      </c>
      <c r="B15" s="9">
        <v>0.99999715046159587</v>
      </c>
      <c r="V15" s="11" t="s">
        <v>56</v>
      </c>
      <c r="W15" s="11">
        <v>0.99999829960800468</v>
      </c>
    </row>
    <row r="16" spans="1:23" x14ac:dyDescent="0.4">
      <c r="A16" s="9" t="s">
        <v>58</v>
      </c>
      <c r="B16" s="9">
        <v>0.99999643807699479</v>
      </c>
      <c r="K16" s="10" t="s">
        <v>55</v>
      </c>
      <c r="L16" s="10"/>
      <c r="M16" s="12"/>
      <c r="V16" s="11" t="s">
        <v>57</v>
      </c>
      <c r="W16" s="11">
        <v>0.99999659921890061</v>
      </c>
    </row>
    <row r="17" spans="1:30" x14ac:dyDescent="0.4">
      <c r="A17" s="9" t="s">
        <v>59</v>
      </c>
      <c r="B17" s="9">
        <v>0.2156959844518157</v>
      </c>
      <c r="K17" s="11" t="s">
        <v>56</v>
      </c>
      <c r="L17" s="11">
        <v>0.99999857522978297</v>
      </c>
      <c r="M17" s="11"/>
      <c r="V17" s="11" t="s">
        <v>58</v>
      </c>
      <c r="W17" s="11">
        <v>0.9999959190626807</v>
      </c>
    </row>
    <row r="18" spans="1:30" ht="15.75" customHeight="1" thickBot="1" x14ac:dyDescent="0.45">
      <c r="A18" s="13" t="s">
        <v>60</v>
      </c>
      <c r="B18" s="13">
        <v>6</v>
      </c>
      <c r="K18" s="11" t="s">
        <v>57</v>
      </c>
      <c r="L18" s="11">
        <v>0.99999715046159587</v>
      </c>
      <c r="M18" s="11"/>
      <c r="V18" s="11" t="s">
        <v>59</v>
      </c>
      <c r="W18" s="11">
        <v>0.21657792198407996</v>
      </c>
    </row>
    <row r="19" spans="1:30" ht="15" thickBot="1" x14ac:dyDescent="0.45">
      <c r="K19" s="11" t="s">
        <v>58</v>
      </c>
      <c r="L19" s="11">
        <v>0.99999643807699479</v>
      </c>
      <c r="M19" s="11"/>
      <c r="V19" s="14" t="s">
        <v>60</v>
      </c>
      <c r="W19" s="14">
        <v>7</v>
      </c>
    </row>
    <row r="20" spans="1:30" ht="15.75" customHeight="1" thickBot="1" x14ac:dyDescent="0.45">
      <c r="A20" t="s">
        <v>61</v>
      </c>
      <c r="K20" s="11" t="s">
        <v>59</v>
      </c>
      <c r="L20" s="11">
        <v>0.98521674441591967</v>
      </c>
      <c r="M20" t="s">
        <v>62</v>
      </c>
    </row>
    <row r="21" spans="1:30" ht="15" thickBot="1" x14ac:dyDescent="0.45">
      <c r="A21" s="15"/>
      <c r="B21" s="15" t="s">
        <v>63</v>
      </c>
      <c r="C21" s="15" t="s">
        <v>64</v>
      </c>
      <c r="D21" s="15" t="s">
        <v>65</v>
      </c>
      <c r="E21" s="15" t="s">
        <v>66</v>
      </c>
      <c r="F21" s="15" t="s">
        <v>67</v>
      </c>
      <c r="K21" s="14" t="s">
        <v>60</v>
      </c>
      <c r="L21" s="14">
        <v>6</v>
      </c>
      <c r="M21" s="11"/>
      <c r="V21" t="s">
        <v>61</v>
      </c>
    </row>
    <row r="22" spans="1:30" x14ac:dyDescent="0.4">
      <c r="A22" s="9" t="s">
        <v>68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63</v>
      </c>
      <c r="X22" s="16" t="s">
        <v>64</v>
      </c>
      <c r="Y22" s="16" t="s">
        <v>65</v>
      </c>
      <c r="Z22" s="16" t="s">
        <v>66</v>
      </c>
      <c r="AA22" s="16" t="s">
        <v>67</v>
      </c>
    </row>
    <row r="23" spans="1:30" ht="15" thickBot="1" x14ac:dyDescent="0.45">
      <c r="A23" s="9" t="s">
        <v>69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61</v>
      </c>
      <c r="V23" s="11" t="s">
        <v>68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45">
      <c r="A24" s="13" t="s">
        <v>70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63</v>
      </c>
      <c r="M24" s="16"/>
      <c r="N24" s="16" t="s">
        <v>64</v>
      </c>
      <c r="O24" s="16" t="s">
        <v>65</v>
      </c>
      <c r="P24" s="16" t="s">
        <v>66</v>
      </c>
      <c r="Q24" s="16" t="s">
        <v>67</v>
      </c>
      <c r="V24" s="11" t="s">
        <v>69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" thickBot="1" x14ac:dyDescent="0.45">
      <c r="K25" s="11" t="s">
        <v>68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70</v>
      </c>
      <c r="W25" s="14">
        <v>6</v>
      </c>
      <c r="X25" s="14">
        <v>68963.562955877162</v>
      </c>
      <c r="Y25" s="14"/>
      <c r="Z25" s="14"/>
      <c r="AA25" s="14"/>
    </row>
    <row r="26" spans="1:30" ht="15" thickBot="1" x14ac:dyDescent="0.45">
      <c r="A26" s="15"/>
      <c r="B26" s="15" t="s">
        <v>71</v>
      </c>
      <c r="C26" s="15" t="s">
        <v>59</v>
      </c>
      <c r="D26" s="15" t="s">
        <v>72</v>
      </c>
      <c r="E26" s="15" t="s">
        <v>73</v>
      </c>
      <c r="F26" s="15" t="s">
        <v>74</v>
      </c>
      <c r="G26" s="15" t="s">
        <v>75</v>
      </c>
      <c r="H26" s="15" t="s">
        <v>76</v>
      </c>
      <c r="I26" s="15" t="s">
        <v>77</v>
      </c>
      <c r="J26" s="17"/>
      <c r="K26" s="11" t="s">
        <v>69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" thickBot="1" x14ac:dyDescent="0.45">
      <c r="A27" s="9" t="s">
        <v>78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70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71</v>
      </c>
      <c r="X27" s="16" t="s">
        <v>59</v>
      </c>
      <c r="Y27" s="16" t="s">
        <v>72</v>
      </c>
      <c r="Z27" s="16" t="s">
        <v>73</v>
      </c>
      <c r="AA27" s="16" t="s">
        <v>74</v>
      </c>
      <c r="AB27" s="16" t="s">
        <v>75</v>
      </c>
      <c r="AC27" s="16" t="s">
        <v>76</v>
      </c>
      <c r="AD27" s="16" t="s">
        <v>77</v>
      </c>
    </row>
    <row r="28" spans="1:30" ht="15.75" customHeight="1" thickBot="1" x14ac:dyDescent="0.45">
      <c r="A28" s="13" t="s">
        <v>79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78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" thickBot="1" x14ac:dyDescent="0.45">
      <c r="K29" s="16"/>
      <c r="L29" s="16" t="s">
        <v>71</v>
      </c>
      <c r="M29" s="16"/>
      <c r="N29" s="16" t="s">
        <v>59</v>
      </c>
      <c r="O29" s="16" t="s">
        <v>72</v>
      </c>
      <c r="P29" s="16" t="s">
        <v>73</v>
      </c>
      <c r="Q29" s="16" t="s">
        <v>74</v>
      </c>
      <c r="R29" s="16" t="s">
        <v>75</v>
      </c>
      <c r="S29" s="16" t="s">
        <v>76</v>
      </c>
      <c r="T29" s="16" t="s">
        <v>77</v>
      </c>
      <c r="V29" s="14" t="s">
        <v>79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4">
      <c r="K30" s="11" t="s">
        <v>78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" thickBot="1" x14ac:dyDescent="0.45">
      <c r="K31" s="14" t="s">
        <v>79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4">
      <c r="A32" t="s">
        <v>80</v>
      </c>
    </row>
    <row r="33" spans="1:24" ht="15" thickBot="1" x14ac:dyDescent="0.45">
      <c r="V33" t="s">
        <v>80</v>
      </c>
    </row>
    <row r="34" spans="1:24" ht="15" thickBot="1" x14ac:dyDescent="0.45">
      <c r="A34" s="15" t="s">
        <v>81</v>
      </c>
      <c r="B34" s="15" t="s">
        <v>82</v>
      </c>
      <c r="C34" s="15" t="s">
        <v>83</v>
      </c>
    </row>
    <row r="35" spans="1:24" x14ac:dyDescent="0.4">
      <c r="A35" s="9">
        <v>1</v>
      </c>
      <c r="B35" s="9">
        <v>0.77062628560635238</v>
      </c>
      <c r="C35" s="9">
        <v>-0.18232628560635233</v>
      </c>
      <c r="K35" t="s">
        <v>80</v>
      </c>
      <c r="V35" s="16" t="s">
        <v>81</v>
      </c>
      <c r="W35" s="16" t="s">
        <v>82</v>
      </c>
      <c r="X35" s="16" t="s">
        <v>83</v>
      </c>
    </row>
    <row r="36" spans="1:24" ht="15" thickBot="1" x14ac:dyDescent="0.45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4">
      <c r="A37" s="9">
        <v>3</v>
      </c>
      <c r="B37" s="9">
        <v>5.9599277583290551</v>
      </c>
      <c r="C37" s="9">
        <v>-7.6927758329054186E-2</v>
      </c>
      <c r="K37" s="16" t="s">
        <v>81</v>
      </c>
      <c r="L37" s="16" t="s">
        <v>82</v>
      </c>
      <c r="M37" s="16"/>
      <c r="N37" s="16" t="s">
        <v>83</v>
      </c>
      <c r="O37" s="19" t="s">
        <v>84</v>
      </c>
      <c r="V37" s="11">
        <v>2</v>
      </c>
      <c r="W37" s="11">
        <v>0.72482630756221822</v>
      </c>
      <c r="X37" s="11">
        <v>-0.13652630756221817</v>
      </c>
    </row>
    <row r="38" spans="1:24" x14ac:dyDescent="0.4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4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45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45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" thickBot="1" x14ac:dyDescent="0.45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" thickBot="1" x14ac:dyDescent="0.45">
      <c r="A43" s="20" t="s">
        <v>85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4">
      <c r="A44" t="s">
        <v>51</v>
      </c>
      <c r="B44" t="s">
        <v>86</v>
      </c>
      <c r="C44"/>
      <c r="D44"/>
      <c r="E44"/>
      <c r="F44"/>
      <c r="G44"/>
      <c r="H44"/>
      <c r="I44"/>
    </row>
    <row r="45" spans="1:24" ht="15" thickBot="1" x14ac:dyDescent="0.45">
      <c r="A45"/>
      <c r="B45"/>
      <c r="C45"/>
      <c r="D45"/>
      <c r="E45"/>
      <c r="F45"/>
      <c r="G45"/>
      <c r="H45"/>
      <c r="I45"/>
    </row>
    <row r="46" spans="1:24" x14ac:dyDescent="0.4">
      <c r="A46" s="10" t="s">
        <v>55</v>
      </c>
      <c r="B46" s="10"/>
      <c r="C46"/>
      <c r="D46"/>
      <c r="E46"/>
      <c r="F46"/>
      <c r="G46"/>
      <c r="H46"/>
      <c r="I46"/>
    </row>
    <row r="47" spans="1:24" x14ac:dyDescent="0.4">
      <c r="A47" s="11" t="s">
        <v>56</v>
      </c>
      <c r="B47" s="11">
        <v>0.99913678675732565</v>
      </c>
      <c r="C47"/>
      <c r="D47"/>
      <c r="E47"/>
      <c r="F47"/>
      <c r="G47"/>
      <c r="H47"/>
      <c r="I47"/>
    </row>
    <row r="48" spans="1:24" x14ac:dyDescent="0.4">
      <c r="A48" s="11" t="s">
        <v>57</v>
      </c>
      <c r="B48" s="11">
        <v>0.99827431865175353</v>
      </c>
      <c r="C48"/>
      <c r="D48"/>
      <c r="E48"/>
      <c r="F48"/>
      <c r="G48"/>
      <c r="H48"/>
      <c r="I48"/>
    </row>
    <row r="49" spans="1:10" x14ac:dyDescent="0.4">
      <c r="A49" s="11" t="s">
        <v>58</v>
      </c>
      <c r="B49" s="11">
        <v>0.99792918238210437</v>
      </c>
      <c r="C49"/>
      <c r="D49"/>
      <c r="E49"/>
      <c r="F49"/>
      <c r="G49"/>
      <c r="H49"/>
      <c r="I49"/>
    </row>
    <row r="50" spans="1:10" x14ac:dyDescent="0.4">
      <c r="A50" s="11" t="s">
        <v>59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45">
      <c r="A51" s="14" t="s">
        <v>60</v>
      </c>
      <c r="B51" s="14">
        <v>7</v>
      </c>
      <c r="C51"/>
      <c r="D51"/>
      <c r="E51"/>
      <c r="F51"/>
      <c r="G51"/>
      <c r="H51"/>
      <c r="I51"/>
    </row>
    <row r="52" spans="1:10" x14ac:dyDescent="0.4">
      <c r="A52"/>
      <c r="B52"/>
      <c r="C52"/>
      <c r="D52"/>
      <c r="E52"/>
      <c r="F52"/>
      <c r="G52"/>
      <c r="H52"/>
      <c r="I52"/>
    </row>
    <row r="53" spans="1:10" ht="15.75" customHeight="1" thickBot="1" x14ac:dyDescent="0.45">
      <c r="A53" t="s">
        <v>61</v>
      </c>
      <c r="B53"/>
      <c r="C53"/>
      <c r="D53"/>
      <c r="E53"/>
      <c r="F53"/>
      <c r="G53"/>
      <c r="H53"/>
      <c r="I53"/>
    </row>
    <row r="54" spans="1:10" x14ac:dyDescent="0.4">
      <c r="A54" s="16"/>
      <c r="B54" s="16" t="s">
        <v>63</v>
      </c>
      <c r="C54" s="16" t="s">
        <v>64</v>
      </c>
      <c r="D54" s="16" t="s">
        <v>65</v>
      </c>
      <c r="E54" s="16" t="s">
        <v>66</v>
      </c>
      <c r="F54" s="16" t="s">
        <v>67</v>
      </c>
      <c r="G54"/>
      <c r="H54"/>
      <c r="I54"/>
    </row>
    <row r="55" spans="1:10" x14ac:dyDescent="0.4">
      <c r="A55" s="11" t="s">
        <v>68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4">
      <c r="A56" s="11" t="s">
        <v>69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45">
      <c r="A57" s="14" t="s">
        <v>70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" thickBot="1" x14ac:dyDescent="0.45">
      <c r="A58"/>
      <c r="B58"/>
      <c r="C58"/>
      <c r="D58"/>
      <c r="E58"/>
      <c r="F58"/>
      <c r="G58"/>
      <c r="H58"/>
      <c r="I58"/>
    </row>
    <row r="59" spans="1:10" x14ac:dyDescent="0.4">
      <c r="A59" s="16"/>
      <c r="B59" s="16" t="s">
        <v>71</v>
      </c>
      <c r="C59" s="16" t="s">
        <v>59</v>
      </c>
      <c r="D59" s="16" t="s">
        <v>72</v>
      </c>
      <c r="E59" s="16" t="s">
        <v>73</v>
      </c>
      <c r="F59" s="16" t="s">
        <v>74</v>
      </c>
      <c r="G59" s="16" t="s">
        <v>75</v>
      </c>
      <c r="H59" s="16" t="s">
        <v>76</v>
      </c>
      <c r="I59" s="16" t="s">
        <v>77</v>
      </c>
      <c r="J59" s="17"/>
    </row>
    <row r="60" spans="1:10" x14ac:dyDescent="0.4">
      <c r="A60" s="11" t="s">
        <v>78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45">
      <c r="A61" s="14" t="s">
        <v>79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4">
      <c r="A62"/>
      <c r="B62"/>
      <c r="C62"/>
      <c r="D62"/>
      <c r="E62"/>
      <c r="F62"/>
      <c r="G62"/>
      <c r="H62"/>
      <c r="I62"/>
    </row>
    <row r="63" spans="1:10" x14ac:dyDescent="0.4">
      <c r="A63"/>
      <c r="B63"/>
      <c r="C63"/>
      <c r="D63"/>
      <c r="E63"/>
      <c r="F63"/>
      <c r="G63"/>
      <c r="H63"/>
      <c r="I63"/>
    </row>
    <row r="64" spans="1:10" x14ac:dyDescent="0.4">
      <c r="A64"/>
      <c r="B64"/>
      <c r="C64"/>
      <c r="D64"/>
      <c r="E64"/>
      <c r="F64"/>
      <c r="G64"/>
      <c r="H64"/>
      <c r="I64"/>
    </row>
    <row r="65" spans="1:9" x14ac:dyDescent="0.4">
      <c r="A65" t="s">
        <v>80</v>
      </c>
      <c r="B65"/>
      <c r="C65"/>
      <c r="D65"/>
      <c r="E65"/>
      <c r="F65"/>
      <c r="G65"/>
      <c r="H65"/>
      <c r="I65"/>
    </row>
    <row r="66" spans="1:9" ht="15" thickBot="1" x14ac:dyDescent="0.45">
      <c r="A66"/>
      <c r="B66"/>
      <c r="C66"/>
      <c r="D66"/>
      <c r="E66"/>
      <c r="F66"/>
      <c r="G66"/>
      <c r="H66"/>
      <c r="I66"/>
    </row>
    <row r="67" spans="1:9" x14ac:dyDescent="0.4">
      <c r="A67" s="16" t="s">
        <v>81</v>
      </c>
      <c r="B67" s="16" t="s">
        <v>82</v>
      </c>
      <c r="C67" s="16" t="s">
        <v>83</v>
      </c>
      <c r="D67"/>
      <c r="E67"/>
      <c r="F67"/>
      <c r="G67"/>
      <c r="H67"/>
      <c r="I67"/>
    </row>
    <row r="68" spans="1:9" x14ac:dyDescent="0.4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4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4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4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4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4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" thickBot="1" x14ac:dyDescent="0.45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42" sqref="D42"/>
    </sheetView>
  </sheetViews>
  <sheetFormatPr defaultRowHeight="14.6" x14ac:dyDescent="0.4"/>
  <cols>
    <col min="1" max="1" width="14.84375" bestFit="1" customWidth="1"/>
    <col min="2" max="2" width="14.53515625" bestFit="1" customWidth="1"/>
    <col min="6" max="6" width="12.69140625" bestFit="1" customWidth="1"/>
  </cols>
  <sheetData>
    <row r="1" spans="1:6" x14ac:dyDescent="0.4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4">
      <c r="A2" s="23">
        <v>42898.572222222225</v>
      </c>
      <c r="B2" t="s">
        <v>105</v>
      </c>
      <c r="C2">
        <v>11975.1</v>
      </c>
      <c r="D2">
        <v>0.57999999999999996</v>
      </c>
      <c r="E2">
        <v>0</v>
      </c>
      <c r="F2">
        <v>10.66</v>
      </c>
    </row>
    <row r="3" spans="1:6" x14ac:dyDescent="0.4">
      <c r="A3" s="23">
        <v>42898.572222222225</v>
      </c>
      <c r="B3" t="s">
        <v>106</v>
      </c>
      <c r="C3">
        <v>12185.2</v>
      </c>
      <c r="D3">
        <v>0.56999999999999995</v>
      </c>
      <c r="E3">
        <v>0</v>
      </c>
      <c r="F3">
        <v>21.33</v>
      </c>
    </row>
    <row r="4" spans="1:6" x14ac:dyDescent="0.4">
      <c r="A4" s="23">
        <v>42898.572222222225</v>
      </c>
      <c r="B4" t="s">
        <v>107</v>
      </c>
      <c r="C4">
        <v>12163.3</v>
      </c>
      <c r="D4">
        <v>0.56999999999999995</v>
      </c>
      <c r="E4">
        <v>0</v>
      </c>
      <c r="F4">
        <v>32.01</v>
      </c>
    </row>
    <row r="5" spans="1:6" x14ac:dyDescent="0.4">
      <c r="A5" s="23">
        <v>42898.572222222225</v>
      </c>
      <c r="B5" t="s">
        <v>117</v>
      </c>
      <c r="C5">
        <v>2495.1</v>
      </c>
      <c r="D5">
        <v>1.27</v>
      </c>
      <c r="E5">
        <v>0</v>
      </c>
      <c r="F5">
        <v>42.63</v>
      </c>
    </row>
    <row r="6" spans="1:6" x14ac:dyDescent="0.4">
      <c r="A6" s="23">
        <v>42898.572222222225</v>
      </c>
      <c r="B6" t="s">
        <v>118</v>
      </c>
      <c r="C6">
        <v>2602.8000000000002</v>
      </c>
      <c r="D6">
        <v>1.24</v>
      </c>
      <c r="E6">
        <v>0</v>
      </c>
      <c r="F6">
        <v>53.25</v>
      </c>
    </row>
    <row r="7" spans="1:6" x14ac:dyDescent="0.4">
      <c r="A7" s="23">
        <v>42898.572222222225</v>
      </c>
      <c r="B7" t="s">
        <v>119</v>
      </c>
      <c r="C7">
        <v>2546.5</v>
      </c>
      <c r="D7">
        <v>1.25</v>
      </c>
      <c r="E7">
        <v>0</v>
      </c>
      <c r="F7">
        <v>63.88</v>
      </c>
    </row>
    <row r="8" spans="1:6" x14ac:dyDescent="0.4">
      <c r="A8" s="23">
        <v>42898.572222222225</v>
      </c>
      <c r="B8" t="s">
        <v>120</v>
      </c>
      <c r="C8">
        <v>336</v>
      </c>
      <c r="D8">
        <v>3.45</v>
      </c>
      <c r="E8">
        <v>0.02</v>
      </c>
      <c r="F8">
        <v>74.5</v>
      </c>
    </row>
    <row r="9" spans="1:6" x14ac:dyDescent="0.4">
      <c r="A9" s="23">
        <v>42898.572222222225</v>
      </c>
      <c r="B9" t="s">
        <v>121</v>
      </c>
      <c r="C9">
        <v>312.39999999999998</v>
      </c>
      <c r="D9">
        <v>3.58</v>
      </c>
      <c r="E9">
        <v>0.03</v>
      </c>
      <c r="F9">
        <v>85.12</v>
      </c>
    </row>
    <row r="10" spans="1:6" x14ac:dyDescent="0.4">
      <c r="A10" s="23">
        <v>42898.572222222225</v>
      </c>
      <c r="B10" t="s">
        <v>122</v>
      </c>
      <c r="C10">
        <v>324.8</v>
      </c>
      <c r="D10">
        <v>3.51</v>
      </c>
      <c r="E10">
        <v>0.02</v>
      </c>
      <c r="F10">
        <v>95.74</v>
      </c>
    </row>
    <row r="11" spans="1:6" x14ac:dyDescent="0.4">
      <c r="A11" s="23">
        <v>42898.572222222225</v>
      </c>
      <c r="B11" t="s">
        <v>108</v>
      </c>
      <c r="C11">
        <v>11163.7</v>
      </c>
      <c r="D11">
        <v>0.6</v>
      </c>
      <c r="E11">
        <v>0</v>
      </c>
      <c r="F11">
        <v>106.41</v>
      </c>
    </row>
    <row r="12" spans="1:6" x14ac:dyDescent="0.4">
      <c r="A12" s="23">
        <v>42898.572222222225</v>
      </c>
      <c r="B12" t="s">
        <v>109</v>
      </c>
      <c r="C12">
        <v>11469</v>
      </c>
      <c r="D12">
        <v>0.59</v>
      </c>
      <c r="E12">
        <v>0</v>
      </c>
      <c r="F12">
        <v>117.08</v>
      </c>
    </row>
    <row r="13" spans="1:6" x14ac:dyDescent="0.4">
      <c r="A13" s="23">
        <v>42898.572222222225</v>
      </c>
      <c r="B13" t="s">
        <v>110</v>
      </c>
      <c r="C13">
        <v>11462.9</v>
      </c>
      <c r="D13">
        <v>0.59</v>
      </c>
      <c r="E13">
        <v>0</v>
      </c>
      <c r="F13">
        <v>127.76</v>
      </c>
    </row>
    <row r="14" spans="1:6" x14ac:dyDescent="0.4">
      <c r="A14" s="23">
        <v>42898.572222222225</v>
      </c>
      <c r="B14" t="s">
        <v>123</v>
      </c>
      <c r="C14">
        <v>2373.5</v>
      </c>
      <c r="D14">
        <v>1.3</v>
      </c>
      <c r="E14">
        <v>0</v>
      </c>
      <c r="F14">
        <v>138.5</v>
      </c>
    </row>
    <row r="15" spans="1:6" x14ac:dyDescent="0.4">
      <c r="A15" s="23">
        <v>42898.572222222225</v>
      </c>
      <c r="B15" t="s">
        <v>124</v>
      </c>
      <c r="C15">
        <v>2399.6</v>
      </c>
      <c r="D15">
        <v>1.29</v>
      </c>
      <c r="E15">
        <v>0</v>
      </c>
      <c r="F15">
        <v>149.13</v>
      </c>
    </row>
    <row r="16" spans="1:6" x14ac:dyDescent="0.4">
      <c r="A16" s="23">
        <v>42898.572222222225</v>
      </c>
      <c r="B16" t="s">
        <v>125</v>
      </c>
      <c r="C16">
        <v>2393.9</v>
      </c>
      <c r="D16">
        <v>1.29</v>
      </c>
      <c r="E16">
        <v>0</v>
      </c>
      <c r="F16">
        <v>159.76</v>
      </c>
    </row>
    <row r="17" spans="1:6" x14ac:dyDescent="0.4">
      <c r="A17" s="23">
        <v>42898.572222222225</v>
      </c>
      <c r="B17" t="s">
        <v>126</v>
      </c>
      <c r="C17">
        <v>350.5</v>
      </c>
      <c r="D17">
        <v>3.38</v>
      </c>
      <c r="E17">
        <v>0.03</v>
      </c>
      <c r="F17">
        <v>170.39</v>
      </c>
    </row>
    <row r="18" spans="1:6" x14ac:dyDescent="0.4">
      <c r="A18" s="23">
        <v>42898.572222222225</v>
      </c>
      <c r="B18" t="s">
        <v>127</v>
      </c>
      <c r="C18">
        <v>308.2</v>
      </c>
      <c r="D18">
        <v>3.6</v>
      </c>
      <c r="E18">
        <v>0.03</v>
      </c>
      <c r="F18">
        <v>181.02</v>
      </c>
    </row>
    <row r="19" spans="1:6" x14ac:dyDescent="0.4">
      <c r="A19" s="23">
        <v>42898.572222222225</v>
      </c>
      <c r="B19" t="s">
        <v>128</v>
      </c>
      <c r="C19">
        <v>303.10000000000002</v>
      </c>
      <c r="D19">
        <v>3.63</v>
      </c>
      <c r="E19">
        <v>0.03</v>
      </c>
      <c r="F19">
        <v>191.64</v>
      </c>
    </row>
    <row r="20" spans="1:6" x14ac:dyDescent="0.4">
      <c r="A20" s="23">
        <v>42898.572222222225</v>
      </c>
      <c r="B20" t="s">
        <v>111</v>
      </c>
      <c r="C20">
        <v>10245.799999999999</v>
      </c>
      <c r="D20">
        <v>0.62</v>
      </c>
      <c r="E20">
        <v>0.01</v>
      </c>
      <c r="F20">
        <v>202.34</v>
      </c>
    </row>
    <row r="21" spans="1:6" x14ac:dyDescent="0.4">
      <c r="A21" s="23">
        <v>42898.572222222225</v>
      </c>
      <c r="B21" t="s">
        <v>112</v>
      </c>
      <c r="C21">
        <v>10694.6</v>
      </c>
      <c r="D21">
        <v>0.61</v>
      </c>
      <c r="E21">
        <v>0</v>
      </c>
      <c r="F21">
        <v>213.01</v>
      </c>
    </row>
    <row r="22" spans="1:6" x14ac:dyDescent="0.4">
      <c r="A22" s="23">
        <v>42898.572222222225</v>
      </c>
      <c r="B22" t="s">
        <v>113</v>
      </c>
      <c r="C22">
        <v>10387.799999999999</v>
      </c>
      <c r="D22">
        <v>0.62</v>
      </c>
      <c r="E22">
        <v>0</v>
      </c>
      <c r="F22">
        <v>223.69</v>
      </c>
    </row>
    <row r="23" spans="1:6" x14ac:dyDescent="0.4">
      <c r="A23" s="23">
        <v>42898.572222222225</v>
      </c>
      <c r="B23" t="s">
        <v>129</v>
      </c>
      <c r="C23">
        <v>2275.6</v>
      </c>
      <c r="D23">
        <v>1.33</v>
      </c>
      <c r="E23">
        <v>0.01</v>
      </c>
      <c r="F23">
        <v>234.33</v>
      </c>
    </row>
    <row r="24" spans="1:6" x14ac:dyDescent="0.4">
      <c r="A24" s="23">
        <v>42898.572222222225</v>
      </c>
      <c r="B24" t="s">
        <v>130</v>
      </c>
      <c r="C24">
        <v>2172.9</v>
      </c>
      <c r="D24">
        <v>1.36</v>
      </c>
      <c r="E24">
        <v>0.01</v>
      </c>
      <c r="F24">
        <v>244.96</v>
      </c>
    </row>
    <row r="25" spans="1:6" x14ac:dyDescent="0.4">
      <c r="A25" s="23">
        <v>42898.572222222225</v>
      </c>
      <c r="B25" t="s">
        <v>131</v>
      </c>
      <c r="C25">
        <v>2261.6</v>
      </c>
      <c r="D25">
        <v>1.33</v>
      </c>
      <c r="E25">
        <v>0.01</v>
      </c>
      <c r="F25">
        <v>255.6</v>
      </c>
    </row>
    <row r="26" spans="1:6" x14ac:dyDescent="0.4">
      <c r="A26" s="23">
        <v>42898.572222222225</v>
      </c>
      <c r="B26" t="s">
        <v>135</v>
      </c>
      <c r="C26">
        <v>410.1</v>
      </c>
      <c r="D26">
        <v>3.12</v>
      </c>
      <c r="E26">
        <v>0.02</v>
      </c>
      <c r="F26">
        <v>266.33999999999997</v>
      </c>
    </row>
    <row r="27" spans="1:6" x14ac:dyDescent="0.4">
      <c r="A27" s="23">
        <v>42898.572222222225</v>
      </c>
      <c r="B27" t="s">
        <v>136</v>
      </c>
      <c r="C27">
        <v>342.4</v>
      </c>
      <c r="D27">
        <v>3.42</v>
      </c>
      <c r="E27">
        <v>0.02</v>
      </c>
      <c r="F27">
        <v>276.95999999999998</v>
      </c>
    </row>
    <row r="28" spans="1:6" x14ac:dyDescent="0.4">
      <c r="A28" s="23">
        <v>42898.572222222225</v>
      </c>
      <c r="B28" t="s">
        <v>137</v>
      </c>
      <c r="C28">
        <v>280.10000000000002</v>
      </c>
      <c r="D28">
        <v>3.78</v>
      </c>
      <c r="E28">
        <v>0.03</v>
      </c>
      <c r="F28">
        <v>287.58999999999997</v>
      </c>
    </row>
    <row r="29" spans="1:6" x14ac:dyDescent="0.4">
      <c r="A29" s="23">
        <v>42898.572222222225</v>
      </c>
      <c r="B29" t="s">
        <v>114</v>
      </c>
      <c r="C29">
        <v>9251.4</v>
      </c>
      <c r="D29">
        <v>0.66</v>
      </c>
      <c r="E29">
        <v>0</v>
      </c>
      <c r="F29">
        <v>298.27</v>
      </c>
    </row>
    <row r="30" spans="1:6" x14ac:dyDescent="0.4">
      <c r="A30" s="23">
        <v>42898.572222222225</v>
      </c>
      <c r="B30" t="s">
        <v>115</v>
      </c>
      <c r="C30">
        <v>10220.299999999999</v>
      </c>
      <c r="D30">
        <v>0.63</v>
      </c>
      <c r="E30">
        <v>0</v>
      </c>
      <c r="F30">
        <v>308.95</v>
      </c>
    </row>
    <row r="31" spans="1:6" x14ac:dyDescent="0.4">
      <c r="A31" s="23">
        <v>42898.572222222225</v>
      </c>
      <c r="B31" t="s">
        <v>116</v>
      </c>
      <c r="C31">
        <v>10144.799999999999</v>
      </c>
      <c r="D31">
        <v>0.63</v>
      </c>
      <c r="E31">
        <v>0</v>
      </c>
      <c r="F31">
        <v>319.62</v>
      </c>
    </row>
    <row r="32" spans="1:6" x14ac:dyDescent="0.4">
      <c r="A32" s="23">
        <v>42898.572222222225</v>
      </c>
      <c r="B32" t="s">
        <v>138</v>
      </c>
      <c r="C32">
        <v>2009.1</v>
      </c>
      <c r="D32">
        <v>1.41</v>
      </c>
      <c r="E32">
        <v>0.01</v>
      </c>
      <c r="F32">
        <v>330.27</v>
      </c>
    </row>
    <row r="33" spans="1:6" x14ac:dyDescent="0.4">
      <c r="A33" s="23">
        <v>42898.572222222225</v>
      </c>
      <c r="B33" t="s">
        <v>139</v>
      </c>
      <c r="C33">
        <v>2034.2</v>
      </c>
      <c r="D33">
        <v>1.4</v>
      </c>
      <c r="E33">
        <v>0.01</v>
      </c>
      <c r="F33">
        <v>340.9</v>
      </c>
    </row>
    <row r="34" spans="1:6" x14ac:dyDescent="0.4">
      <c r="A34" s="23">
        <v>42898.572222222225</v>
      </c>
      <c r="B34" t="s">
        <v>140</v>
      </c>
      <c r="C34">
        <v>2155.4</v>
      </c>
      <c r="D34">
        <v>1.36</v>
      </c>
      <c r="E34">
        <v>0</v>
      </c>
      <c r="F34">
        <v>351.53</v>
      </c>
    </row>
    <row r="35" spans="1:6" x14ac:dyDescent="0.4">
      <c r="A35" s="23">
        <v>42898.572222222225</v>
      </c>
      <c r="B35" t="s">
        <v>132</v>
      </c>
      <c r="C35">
        <v>414.7</v>
      </c>
      <c r="D35">
        <v>3.11</v>
      </c>
      <c r="E35">
        <v>0.02</v>
      </c>
      <c r="F35">
        <v>362.16</v>
      </c>
    </row>
    <row r="36" spans="1:6" x14ac:dyDescent="0.4">
      <c r="A36" s="23">
        <v>42898.572222222225</v>
      </c>
      <c r="B36" t="s">
        <v>133</v>
      </c>
      <c r="C36">
        <v>287.3</v>
      </c>
      <c r="D36">
        <v>3.73</v>
      </c>
      <c r="E36">
        <v>0.03</v>
      </c>
      <c r="F36">
        <v>372.79</v>
      </c>
    </row>
    <row r="37" spans="1:6" x14ac:dyDescent="0.4">
      <c r="A37" s="23">
        <v>42898.572222222225</v>
      </c>
      <c r="B37" t="s">
        <v>134</v>
      </c>
      <c r="C37">
        <v>365.9</v>
      </c>
      <c r="D37">
        <v>3.31</v>
      </c>
      <c r="E37">
        <v>0.03</v>
      </c>
      <c r="F37">
        <v>383.42</v>
      </c>
    </row>
    <row r="38" spans="1:6" x14ac:dyDescent="0.4">
      <c r="A38" s="23">
        <v>42899.441666666666</v>
      </c>
      <c r="B38" t="s">
        <v>105</v>
      </c>
      <c r="C38">
        <v>11934.9</v>
      </c>
      <c r="D38">
        <v>0.57999999999999996</v>
      </c>
      <c r="E38">
        <v>0</v>
      </c>
      <c r="F38">
        <v>10.57</v>
      </c>
    </row>
    <row r="39" spans="1:6" x14ac:dyDescent="0.4">
      <c r="A39" s="23">
        <v>42899.441666666666</v>
      </c>
      <c r="B39" t="s">
        <v>106</v>
      </c>
      <c r="C39">
        <v>12225.1</v>
      </c>
      <c r="D39">
        <v>0.56999999999999995</v>
      </c>
      <c r="E39">
        <v>0</v>
      </c>
      <c r="F39">
        <v>21.24</v>
      </c>
    </row>
    <row r="40" spans="1:6" x14ac:dyDescent="0.4">
      <c r="A40" s="23">
        <v>42899.441666666666</v>
      </c>
      <c r="B40" t="s">
        <v>107</v>
      </c>
      <c r="C40">
        <v>12018.8</v>
      </c>
      <c r="D40">
        <v>0.57999999999999996</v>
      </c>
      <c r="E40">
        <v>0</v>
      </c>
      <c r="F40">
        <v>31.89</v>
      </c>
    </row>
    <row r="41" spans="1:6" x14ac:dyDescent="0.4">
      <c r="A41" s="23">
        <v>42899.441666666666</v>
      </c>
      <c r="B41" t="s">
        <v>117</v>
      </c>
      <c r="C41">
        <v>2492.6999999999998</v>
      </c>
      <c r="D41">
        <v>1.27</v>
      </c>
      <c r="E41">
        <v>0</v>
      </c>
      <c r="F41">
        <v>42.51</v>
      </c>
    </row>
    <row r="42" spans="1:6" x14ac:dyDescent="0.4">
      <c r="A42" s="23">
        <v>42899.441666666666</v>
      </c>
      <c r="B42" t="s">
        <v>118</v>
      </c>
      <c r="C42">
        <v>2580.4</v>
      </c>
      <c r="D42">
        <v>1.25</v>
      </c>
      <c r="E42">
        <v>0</v>
      </c>
      <c r="F42">
        <v>53.15</v>
      </c>
    </row>
    <row r="43" spans="1:6" x14ac:dyDescent="0.4">
      <c r="A43" s="23">
        <v>42899.441666666666</v>
      </c>
      <c r="B43" t="s">
        <v>119</v>
      </c>
      <c r="C43">
        <v>2514.5</v>
      </c>
      <c r="D43">
        <v>1.26</v>
      </c>
      <c r="E43">
        <v>0</v>
      </c>
      <c r="F43">
        <v>63.76</v>
      </c>
    </row>
    <row r="44" spans="1:6" x14ac:dyDescent="0.4">
      <c r="A44" s="23">
        <v>42899.441666666666</v>
      </c>
      <c r="B44" t="s">
        <v>120</v>
      </c>
      <c r="C44">
        <v>344.4</v>
      </c>
      <c r="D44">
        <v>3.41</v>
      </c>
      <c r="E44">
        <v>0.02</v>
      </c>
      <c r="F44">
        <v>74.39</v>
      </c>
    </row>
    <row r="45" spans="1:6" x14ac:dyDescent="0.4">
      <c r="A45" s="23">
        <v>42899.441666666666</v>
      </c>
      <c r="B45" t="s">
        <v>121</v>
      </c>
      <c r="C45">
        <v>311.89999999999998</v>
      </c>
      <c r="D45">
        <v>3.58</v>
      </c>
      <c r="E45">
        <v>0.03</v>
      </c>
      <c r="F45">
        <v>85</v>
      </c>
    </row>
    <row r="46" spans="1:6" x14ac:dyDescent="0.4">
      <c r="A46" s="23">
        <v>42899.441666666666</v>
      </c>
      <c r="B46" t="s">
        <v>122</v>
      </c>
      <c r="C46">
        <v>309</v>
      </c>
      <c r="D46">
        <v>3.6</v>
      </c>
      <c r="E46">
        <v>0.02</v>
      </c>
      <c r="F46">
        <v>95.62</v>
      </c>
    </row>
    <row r="47" spans="1:6" x14ac:dyDescent="0.4">
      <c r="A47" s="23">
        <v>42899.441666666666</v>
      </c>
      <c r="B47" t="s">
        <v>108</v>
      </c>
      <c r="C47">
        <v>11110.7</v>
      </c>
      <c r="D47">
        <v>0.6</v>
      </c>
      <c r="E47">
        <v>0</v>
      </c>
      <c r="F47">
        <v>106.28</v>
      </c>
    </row>
    <row r="48" spans="1:6" x14ac:dyDescent="0.4">
      <c r="A48" s="23">
        <v>42899.441666666666</v>
      </c>
      <c r="B48" t="s">
        <v>109</v>
      </c>
      <c r="C48">
        <v>11362.2</v>
      </c>
      <c r="D48">
        <v>0.59</v>
      </c>
      <c r="E48">
        <v>0</v>
      </c>
      <c r="F48">
        <v>116.96</v>
      </c>
    </row>
    <row r="49" spans="1:6" x14ac:dyDescent="0.4">
      <c r="A49" s="23">
        <v>42899.441666666666</v>
      </c>
      <c r="B49" t="s">
        <v>110</v>
      </c>
      <c r="C49">
        <v>11311.8</v>
      </c>
      <c r="D49">
        <v>0.59</v>
      </c>
      <c r="E49">
        <v>0</v>
      </c>
      <c r="F49">
        <v>127.64</v>
      </c>
    </row>
    <row r="50" spans="1:6" x14ac:dyDescent="0.4">
      <c r="A50" s="23">
        <v>42899.441666666666</v>
      </c>
      <c r="B50" t="s">
        <v>123</v>
      </c>
      <c r="C50">
        <v>2322.1999999999998</v>
      </c>
      <c r="D50">
        <v>1.31</v>
      </c>
      <c r="E50">
        <v>0</v>
      </c>
      <c r="F50">
        <v>138.38</v>
      </c>
    </row>
    <row r="51" spans="1:6" x14ac:dyDescent="0.4">
      <c r="A51" s="23">
        <v>42899.441666666666</v>
      </c>
      <c r="B51" t="s">
        <v>124</v>
      </c>
      <c r="C51">
        <v>2383.1</v>
      </c>
      <c r="D51">
        <v>1.3</v>
      </c>
      <c r="E51">
        <v>0</v>
      </c>
      <c r="F51">
        <v>149.02000000000001</v>
      </c>
    </row>
    <row r="52" spans="1:6" x14ac:dyDescent="0.4">
      <c r="A52" s="23">
        <v>42899.441666666666</v>
      </c>
      <c r="B52" t="s">
        <v>125</v>
      </c>
      <c r="C52">
        <v>2403.3000000000002</v>
      </c>
      <c r="D52">
        <v>1.29</v>
      </c>
      <c r="E52">
        <v>0</v>
      </c>
      <c r="F52">
        <v>159.63999999999999</v>
      </c>
    </row>
    <row r="53" spans="1:6" x14ac:dyDescent="0.4">
      <c r="A53" s="23">
        <v>42899.441666666666</v>
      </c>
      <c r="B53" t="s">
        <v>126</v>
      </c>
      <c r="C53">
        <v>343.2</v>
      </c>
      <c r="D53">
        <v>3.41</v>
      </c>
      <c r="E53">
        <v>0.02</v>
      </c>
      <c r="F53">
        <v>170.27</v>
      </c>
    </row>
    <row r="54" spans="1:6" x14ac:dyDescent="0.4">
      <c r="A54" s="23">
        <v>42899.441666666666</v>
      </c>
      <c r="B54" t="s">
        <v>127</v>
      </c>
      <c r="C54">
        <v>303.60000000000002</v>
      </c>
      <c r="D54">
        <v>3.63</v>
      </c>
      <c r="E54">
        <v>0.03</v>
      </c>
      <c r="F54">
        <v>180.9</v>
      </c>
    </row>
    <row r="55" spans="1:6" x14ac:dyDescent="0.4">
      <c r="A55" s="23">
        <v>42899.441666666666</v>
      </c>
      <c r="B55" t="s">
        <v>128</v>
      </c>
      <c r="C55">
        <v>302.5</v>
      </c>
      <c r="D55">
        <v>3.64</v>
      </c>
      <c r="E55">
        <v>0.03</v>
      </c>
      <c r="F55">
        <v>191.52</v>
      </c>
    </row>
    <row r="56" spans="1:6" x14ac:dyDescent="0.4">
      <c r="A56" s="23">
        <v>42899.441666666666</v>
      </c>
      <c r="B56" t="s">
        <v>111</v>
      </c>
      <c r="C56">
        <v>10074.1</v>
      </c>
      <c r="D56">
        <v>0.63</v>
      </c>
      <c r="E56">
        <v>0</v>
      </c>
      <c r="F56">
        <v>202.2</v>
      </c>
    </row>
    <row r="57" spans="1:6" x14ac:dyDescent="0.4">
      <c r="A57" s="23">
        <v>42899.441666666666</v>
      </c>
      <c r="B57" t="s">
        <v>112</v>
      </c>
      <c r="C57">
        <v>10636.6</v>
      </c>
      <c r="D57">
        <v>0.61</v>
      </c>
      <c r="E57">
        <v>0</v>
      </c>
      <c r="F57">
        <v>212.87</v>
      </c>
    </row>
    <row r="58" spans="1:6" x14ac:dyDescent="0.4">
      <c r="A58" s="23">
        <v>42899.441666666666</v>
      </c>
      <c r="B58" t="s">
        <v>113</v>
      </c>
      <c r="C58">
        <v>10275.1</v>
      </c>
      <c r="D58">
        <v>0.62</v>
      </c>
      <c r="E58">
        <v>0</v>
      </c>
      <c r="F58">
        <v>223.55</v>
      </c>
    </row>
    <row r="59" spans="1:6" x14ac:dyDescent="0.4">
      <c r="A59" s="23">
        <v>42899.441666666666</v>
      </c>
      <c r="B59" t="s">
        <v>129</v>
      </c>
      <c r="C59">
        <v>2279.1999999999998</v>
      </c>
      <c r="D59">
        <v>1.32</v>
      </c>
      <c r="E59">
        <v>0</v>
      </c>
      <c r="F59">
        <v>234.18</v>
      </c>
    </row>
    <row r="60" spans="1:6" x14ac:dyDescent="0.4">
      <c r="A60" s="23">
        <v>42899.441666666666</v>
      </c>
      <c r="B60" t="s">
        <v>130</v>
      </c>
      <c r="C60">
        <v>2132.1999999999998</v>
      </c>
      <c r="D60">
        <v>1.37</v>
      </c>
      <c r="E60">
        <v>0</v>
      </c>
      <c r="F60">
        <v>244.81</v>
      </c>
    </row>
    <row r="61" spans="1:6" x14ac:dyDescent="0.4">
      <c r="A61" s="23">
        <v>42899.441666666666</v>
      </c>
      <c r="B61" t="s">
        <v>131</v>
      </c>
      <c r="C61">
        <v>2193.3000000000002</v>
      </c>
      <c r="D61">
        <v>1.35</v>
      </c>
      <c r="E61">
        <v>0</v>
      </c>
      <c r="F61">
        <v>255.44</v>
      </c>
    </row>
    <row r="62" spans="1:6" x14ac:dyDescent="0.4">
      <c r="A62" s="23">
        <v>42899.441666666666</v>
      </c>
      <c r="B62" t="s">
        <v>135</v>
      </c>
      <c r="C62">
        <v>407</v>
      </c>
      <c r="D62">
        <v>3.13</v>
      </c>
      <c r="E62">
        <v>0.02</v>
      </c>
      <c r="F62">
        <v>266.17</v>
      </c>
    </row>
    <row r="63" spans="1:6" x14ac:dyDescent="0.4">
      <c r="A63" s="23">
        <v>42899.441666666666</v>
      </c>
      <c r="B63" t="s">
        <v>136</v>
      </c>
      <c r="C63">
        <v>362.8</v>
      </c>
      <c r="D63">
        <v>3.32</v>
      </c>
      <c r="E63">
        <v>0.02</v>
      </c>
      <c r="F63">
        <v>276.77999999999997</v>
      </c>
    </row>
    <row r="64" spans="1:6" x14ac:dyDescent="0.4">
      <c r="A64" s="23">
        <v>42899.441666666666</v>
      </c>
      <c r="B64" t="s">
        <v>137</v>
      </c>
      <c r="C64">
        <v>287.7</v>
      </c>
      <c r="D64">
        <v>3.73</v>
      </c>
      <c r="E64">
        <v>0.03</v>
      </c>
      <c r="F64">
        <v>287.42</v>
      </c>
    </row>
    <row r="65" spans="1:6" x14ac:dyDescent="0.4">
      <c r="A65" s="23">
        <v>42899.441666666666</v>
      </c>
      <c r="B65" t="s">
        <v>114</v>
      </c>
      <c r="C65">
        <v>9173</v>
      </c>
      <c r="D65">
        <v>0.66</v>
      </c>
      <c r="E65">
        <v>0</v>
      </c>
      <c r="F65">
        <v>298.08</v>
      </c>
    </row>
    <row r="66" spans="1:6" x14ac:dyDescent="0.4">
      <c r="A66" s="23">
        <v>42899.441666666666</v>
      </c>
      <c r="B66" t="s">
        <v>115</v>
      </c>
      <c r="C66">
        <v>10129.9</v>
      </c>
      <c r="D66">
        <v>0.63</v>
      </c>
      <c r="E66">
        <v>0</v>
      </c>
      <c r="F66">
        <v>308.75</v>
      </c>
    </row>
    <row r="67" spans="1:6" x14ac:dyDescent="0.4">
      <c r="A67" s="23">
        <v>42899.441666666666</v>
      </c>
      <c r="B67" t="s">
        <v>116</v>
      </c>
      <c r="C67">
        <v>10064.9</v>
      </c>
      <c r="D67">
        <v>0.63</v>
      </c>
      <c r="E67">
        <v>0</v>
      </c>
      <c r="F67">
        <v>319.42</v>
      </c>
    </row>
    <row r="68" spans="1:6" x14ac:dyDescent="0.4">
      <c r="A68" s="23">
        <v>42899.441666666666</v>
      </c>
      <c r="B68" t="s">
        <v>138</v>
      </c>
      <c r="C68">
        <v>2048</v>
      </c>
      <c r="D68">
        <v>1.4</v>
      </c>
      <c r="E68">
        <v>0.01</v>
      </c>
      <c r="F68">
        <v>330.05</v>
      </c>
    </row>
    <row r="69" spans="1:6" x14ac:dyDescent="0.4">
      <c r="A69" s="23">
        <v>42899.441666666666</v>
      </c>
      <c r="B69" t="s">
        <v>139</v>
      </c>
      <c r="C69">
        <v>2051.9</v>
      </c>
      <c r="D69">
        <v>1.4</v>
      </c>
      <c r="E69">
        <v>0</v>
      </c>
      <c r="F69">
        <v>340.68</v>
      </c>
    </row>
    <row r="70" spans="1:6" x14ac:dyDescent="0.4">
      <c r="A70" s="23">
        <v>42899.441666666666</v>
      </c>
      <c r="B70" t="s">
        <v>140</v>
      </c>
      <c r="C70">
        <v>2152.1</v>
      </c>
      <c r="D70">
        <v>1.36</v>
      </c>
      <c r="E70">
        <v>0</v>
      </c>
      <c r="F70">
        <v>351.31</v>
      </c>
    </row>
    <row r="71" spans="1:6" x14ac:dyDescent="0.4">
      <c r="A71" s="23">
        <v>42899.441666666666</v>
      </c>
      <c r="B71" t="s">
        <v>132</v>
      </c>
      <c r="C71">
        <v>408.4</v>
      </c>
      <c r="D71">
        <v>3.13</v>
      </c>
      <c r="E71">
        <v>0.02</v>
      </c>
      <c r="F71">
        <v>361.94</v>
      </c>
    </row>
    <row r="72" spans="1:6" x14ac:dyDescent="0.4">
      <c r="A72" s="23">
        <v>42899.441666666666</v>
      </c>
      <c r="B72" t="s">
        <v>133</v>
      </c>
      <c r="C72">
        <v>284.8</v>
      </c>
      <c r="D72">
        <v>3.75</v>
      </c>
      <c r="E72">
        <v>0.03</v>
      </c>
      <c r="F72">
        <v>372.57</v>
      </c>
    </row>
    <row r="73" spans="1:6" x14ac:dyDescent="0.4">
      <c r="A73" s="23">
        <v>42899.441666666666</v>
      </c>
      <c r="B73" t="s">
        <v>134</v>
      </c>
      <c r="C73">
        <v>358.5</v>
      </c>
      <c r="D73">
        <v>3.34</v>
      </c>
      <c r="E73">
        <v>0.02</v>
      </c>
      <c r="F73">
        <v>383.2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46" sqref="C46"/>
    </sheetView>
  </sheetViews>
  <sheetFormatPr defaultRowHeight="14.6" x14ac:dyDescent="0.4"/>
  <cols>
    <col min="1" max="1" width="14.53515625" bestFit="1" customWidth="1"/>
    <col min="2" max="2" width="9.84375" customWidth="1"/>
    <col min="3" max="4" width="12" bestFit="1" customWidth="1"/>
    <col min="5" max="5" width="18.3828125" bestFit="1" customWidth="1"/>
    <col min="6" max="6" width="11.84375" bestFit="1" customWidth="1"/>
    <col min="7" max="7" width="16.69140625" bestFit="1" customWidth="1"/>
    <col min="8" max="8" width="30.84375" bestFit="1" customWidth="1"/>
  </cols>
  <sheetData>
    <row r="1" spans="1:7" x14ac:dyDescent="0.4">
      <c r="A1" t="s">
        <v>10</v>
      </c>
      <c r="B1" t="s">
        <v>96</v>
      </c>
      <c r="C1" t="s">
        <v>23</v>
      </c>
      <c r="D1" t="s">
        <v>21</v>
      </c>
      <c r="E1" t="s">
        <v>93</v>
      </c>
      <c r="F1" t="s">
        <v>94</v>
      </c>
      <c r="G1" t="s">
        <v>95</v>
      </c>
    </row>
    <row r="2" spans="1:7" x14ac:dyDescent="0.4">
      <c r="A2" t="s">
        <v>105</v>
      </c>
      <c r="B2" s="21" t="s">
        <v>97</v>
      </c>
      <c r="C2">
        <v>199.25</v>
      </c>
      <c r="D2">
        <v>1.1556500000000001</v>
      </c>
      <c r="E2" s="1" t="s">
        <v>50</v>
      </c>
      <c r="F2" s="1">
        <f>'Calibration Data'!$B$28*'Count-&gt;Actual Activity'!C2+'Calibration Data'!$B$27</f>
        <v>43.613713311452727</v>
      </c>
      <c r="G2" s="22">
        <f>'Calibration Data'!$L$20/'Calibration Data'!$L$31*SQRT(1/'Calibration Data'!$L$21+1+('Count-&gt;Actual Activity'!F2-AVERAGE('Calibration Data'!$F$3:$F$8))^2/('Calibration Data'!$L$31^2*'Calibration Data'!$J$9))</f>
        <v>0.23311737778845504</v>
      </c>
    </row>
    <row r="3" spans="1:7" x14ac:dyDescent="0.4">
      <c r="A3" t="s">
        <v>106</v>
      </c>
      <c r="B3" s="21" t="s">
        <v>97</v>
      </c>
      <c r="C3">
        <v>203.41916666666671</v>
      </c>
      <c r="D3">
        <v>1.15948925</v>
      </c>
      <c r="E3" s="1" t="s">
        <v>50</v>
      </c>
      <c r="F3" s="1">
        <f>'Calibration Data'!$B$28*'Count-&gt;Actual Activity'!C3+'Calibration Data'!$B$27</f>
        <v>44.526478174971956</v>
      </c>
      <c r="G3" s="22">
        <f>'Calibration Data'!$L$20/'Calibration Data'!$L$31*SQRT(1/'Calibration Data'!$L$21+1+('Count-&gt;Actual Activity'!F3-AVERAGE('Calibration Data'!$F$3:$F$8))^2/('Calibration Data'!$L$31^2*'Calibration Data'!$J$9))</f>
        <v>0.23312325728559022</v>
      </c>
    </row>
    <row r="4" spans="1:7" x14ac:dyDescent="0.4">
      <c r="A4" t="s">
        <v>107</v>
      </c>
      <c r="B4" s="21" t="s">
        <v>97</v>
      </c>
      <c r="C4">
        <v>201.51750000000001</v>
      </c>
      <c r="D4">
        <v>1.158725625</v>
      </c>
      <c r="E4" s="1" t="s">
        <v>50</v>
      </c>
      <c r="F4" s="1">
        <f>'Calibration Data'!$B$28*'Count-&gt;Actual Activity'!C4+'Calibration Data'!$B$27</f>
        <v>44.110142092911012</v>
      </c>
      <c r="G4" s="22">
        <f>'Calibration Data'!$L$20/'Calibration Data'!$L$31*SQRT(1/'Calibration Data'!$L$21+1+('Count-&gt;Actual Activity'!F4-AVERAGE('Calibration Data'!$F$3:$F$8))^2/('Calibration Data'!$L$31^2*'Calibration Data'!$J$9))</f>
        <v>0.23312056037397968</v>
      </c>
    </row>
    <row r="5" spans="1:7" x14ac:dyDescent="0.4">
      <c r="A5" t="s">
        <v>117</v>
      </c>
      <c r="B5" s="21" t="s">
        <v>97</v>
      </c>
      <c r="C5">
        <v>41.564999999999998</v>
      </c>
      <c r="D5">
        <v>0.52787549999999994</v>
      </c>
      <c r="E5" s="1" t="s">
        <v>50</v>
      </c>
      <c r="F5" s="1">
        <f>'Calibration Data'!$B$28*'Count-&gt;Actual Activity'!C5+'Calibration Data'!$B$27</f>
        <v>9.0913881056094645</v>
      </c>
      <c r="G5" s="22">
        <f>'Calibration Data'!$L$20/'Calibration Data'!$L$31*SQRT(1/'Calibration Data'!$L$21+1+('Count-&gt;Actual Activity'!F5-AVERAGE('Calibration Data'!$F$3:$F$8))^2/('Calibration Data'!$L$31^2*'Calibration Data'!$J$9))</f>
        <v>0.2329845559612515</v>
      </c>
    </row>
    <row r="6" spans="1:7" x14ac:dyDescent="0.4">
      <c r="A6" t="s">
        <v>118</v>
      </c>
      <c r="B6" s="21" t="s">
        <v>97</v>
      </c>
      <c r="C6">
        <v>43.193333333333342</v>
      </c>
      <c r="D6">
        <v>0.53775700000000004</v>
      </c>
      <c r="E6" s="1" t="s">
        <v>50</v>
      </c>
      <c r="F6" s="1">
        <f>'Calibration Data'!$B$28*'Count-&gt;Actual Activity'!C6+'Calibration Data'!$B$27</f>
        <v>9.4478827175056406</v>
      </c>
      <c r="G6" s="22">
        <f>'Calibration Data'!$L$20/'Calibration Data'!$L$31*SQRT(1/'Calibration Data'!$L$21+1+('Count-&gt;Actual Activity'!F6-AVERAGE('Calibration Data'!$F$3:$F$8))^2/('Calibration Data'!$L$31^2*'Calibration Data'!$J$9))</f>
        <v>0.23298503540038601</v>
      </c>
    </row>
    <row r="7" spans="1:7" x14ac:dyDescent="0.4">
      <c r="A7" t="s">
        <v>119</v>
      </c>
      <c r="B7" s="21" t="s">
        <v>97</v>
      </c>
      <c r="C7">
        <v>42.174999999999997</v>
      </c>
      <c r="D7">
        <v>0.52929625000000002</v>
      </c>
      <c r="E7" s="1" t="s">
        <v>50</v>
      </c>
      <c r="F7" s="1">
        <f>'Calibration Data'!$B$28*'Count-&gt;Actual Activity'!C7+'Calibration Data'!$B$27</f>
        <v>9.2249367524405788</v>
      </c>
      <c r="G7" s="22">
        <f>'Calibration Data'!$L$20/'Calibration Data'!$L$31*SQRT(1/'Calibration Data'!$L$21+1+('Count-&gt;Actual Activity'!F7-AVERAGE('Calibration Data'!$F$3:$F$8))^2/('Calibration Data'!$L$31^2*'Calibration Data'!$J$9))</f>
        <v>0.23298473338519896</v>
      </c>
    </row>
    <row r="8" spans="1:7" ht="15.75" customHeight="1" x14ac:dyDescent="0.4">
      <c r="A8" t="s">
        <v>120</v>
      </c>
      <c r="B8" s="21" t="s">
        <v>97</v>
      </c>
      <c r="C8">
        <v>5.67</v>
      </c>
      <c r="D8">
        <v>0.19448099999999999</v>
      </c>
      <c r="E8" s="1" t="s">
        <v>50</v>
      </c>
      <c r="F8" s="1">
        <f>'Calibration Data'!$B$28*'Count-&gt;Actual Activity'!C8+'Calibration Data'!$B$27</f>
        <v>1.2328165023260587</v>
      </c>
      <c r="G8" s="22">
        <f>'Calibration Data'!$L$20/'Calibration Data'!$L$31*SQRT(1/'Calibration Data'!$L$21+1+('Count-&gt;Actual Activity'!F8-AVERAGE('Calibration Data'!$F$3:$F$8))^2/('Calibration Data'!$L$31^2*'Calibration Data'!$J$9))</f>
        <v>0.23297871792067615</v>
      </c>
    </row>
    <row r="9" spans="1:7" x14ac:dyDescent="0.4">
      <c r="A9" t="s">
        <v>121</v>
      </c>
      <c r="B9" s="21" t="s">
        <v>97</v>
      </c>
      <c r="C9">
        <v>5.2024999999999997</v>
      </c>
      <c r="D9">
        <v>0.18624950000000001</v>
      </c>
      <c r="E9" s="1" t="s">
        <v>50</v>
      </c>
      <c r="F9" s="1">
        <f>'Calibration Data'!$B$28*'Count-&gt;Actual Activity'!C9+'Calibration Data'!$B$27</f>
        <v>1.1304656951235237</v>
      </c>
      <c r="G9" s="22">
        <f>'Calibration Data'!$L$20/'Calibration Data'!$L$31*SQRT(1/'Calibration Data'!$L$21+1+('Count-&gt;Actual Activity'!F9-AVERAGE('Calibration Data'!$F$3:$F$8))^2/('Calibration Data'!$L$31^2*'Calibration Data'!$J$9))</f>
        <v>0.23297870159435799</v>
      </c>
    </row>
    <row r="10" spans="1:7" x14ac:dyDescent="0.4">
      <c r="A10" t="s">
        <v>122</v>
      </c>
      <c r="B10" s="21" t="s">
        <v>97</v>
      </c>
      <c r="C10">
        <v>5.2816666666666663</v>
      </c>
      <c r="D10">
        <v>0.18776324999999999</v>
      </c>
      <c r="E10" s="1" t="s">
        <v>50</v>
      </c>
      <c r="F10" s="1">
        <f>'Calibration Data'!$B$28*'Count-&gt;Actual Activity'!C10+'Calibration Data'!$B$27</f>
        <v>1.1477978282505126</v>
      </c>
      <c r="G10" s="22">
        <f>'Calibration Data'!$L$20/'Calibration Data'!$L$31*SQRT(1/'Calibration Data'!$L$21+1+('Count-&gt;Actual Activity'!F10-AVERAGE('Calibration Data'!$F$3:$F$8))^2/('Calibration Data'!$L$31^2*'Calibration Data'!$J$9))</f>
        <v>0.2329787042510808</v>
      </c>
    </row>
    <row r="11" spans="1:7" x14ac:dyDescent="0.4">
      <c r="A11" t="s">
        <v>108</v>
      </c>
      <c r="B11" s="21" t="s">
        <v>97</v>
      </c>
      <c r="C11">
        <v>185.62</v>
      </c>
      <c r="D11">
        <v>1.11372</v>
      </c>
      <c r="E11" s="1" t="s">
        <v>50</v>
      </c>
      <c r="F11" s="1">
        <f>'Calibration Data'!$B$28*'Count-&gt;Actual Activity'!C11+'Calibration Data'!$B$27</f>
        <v>40.629667317505024</v>
      </c>
      <c r="G11" s="22">
        <f>'Calibration Data'!$L$20/'Calibration Data'!$L$31*SQRT(1/'Calibration Data'!$L$21+1+('Count-&gt;Actual Activity'!F11-AVERAGE('Calibration Data'!$F$3:$F$8))^2/('Calibration Data'!$L$31^2*'Calibration Data'!$J$9))</f>
        <v>0.23309900696777239</v>
      </c>
    </row>
    <row r="12" spans="1:7" x14ac:dyDescent="0.4">
      <c r="A12" t="s">
        <v>109</v>
      </c>
      <c r="B12" s="21" t="s">
        <v>97</v>
      </c>
      <c r="C12">
        <v>190.26</v>
      </c>
      <c r="D12">
        <v>1.1225339999999999</v>
      </c>
      <c r="E12" s="1" t="s">
        <v>50</v>
      </c>
      <c r="F12" s="1">
        <f>'Calibration Data'!$B$28*'Count-&gt;Actual Activity'!C12+'Calibration Data'!$B$27</f>
        <v>41.645512762253176</v>
      </c>
      <c r="G12" s="22">
        <f>'Calibration Data'!$L$20/'Calibration Data'!$L$31*SQRT(1/'Calibration Data'!$L$21+1+('Count-&gt;Actual Activity'!F12-AVERAGE('Calibration Data'!$F$3:$F$8))^2/('Calibration Data'!$L$31^2*'Calibration Data'!$J$9))</f>
        <v>0.23310511458911573</v>
      </c>
    </row>
    <row r="13" spans="1:7" x14ac:dyDescent="0.4">
      <c r="A13" t="s">
        <v>110</v>
      </c>
      <c r="B13" s="21" t="s">
        <v>97</v>
      </c>
      <c r="C13">
        <v>189.78916666666669</v>
      </c>
      <c r="D13">
        <v>1.1197560833333331</v>
      </c>
      <c r="E13" s="1" t="s">
        <v>50</v>
      </c>
      <c r="F13" s="1">
        <f>'Calibration Data'!$B$28*'Count-&gt;Actual Activity'!C13+'Calibration Data'!$B$27</f>
        <v>41.542432181024246</v>
      </c>
      <c r="G13" s="22">
        <f>'Calibration Data'!$L$20/'Calibration Data'!$L$31*SQRT(1/'Calibration Data'!$L$21+1+('Count-&gt;Actual Activity'!F13-AVERAGE('Calibration Data'!$F$3:$F$8))^2/('Calibration Data'!$L$31^2*'Calibration Data'!$J$9))</f>
        <v>0.23310448794841021</v>
      </c>
    </row>
    <row r="14" spans="1:7" x14ac:dyDescent="0.4">
      <c r="A14" t="s">
        <v>123</v>
      </c>
      <c r="B14" s="21" t="s">
        <v>97</v>
      </c>
      <c r="C14">
        <v>39.130833333333328</v>
      </c>
      <c r="D14">
        <v>0.51065737499999997</v>
      </c>
      <c r="E14" s="1" t="s">
        <v>50</v>
      </c>
      <c r="F14" s="1">
        <f>'Calibration Data'!$B$28*'Count-&gt;Actual Activity'!C14+'Calibration Data'!$B$27</f>
        <v>8.5584706228312015</v>
      </c>
      <c r="G14" s="22">
        <f>'Calibration Data'!$L$20/'Calibration Data'!$L$31*SQRT(1/'Calibration Data'!$L$21+1+('Count-&gt;Actual Activity'!F14-AVERAGE('Calibration Data'!$F$3:$F$8))^2/('Calibration Data'!$L$31^2*'Calibration Data'!$J$9))</f>
        <v>0.2329838739875332</v>
      </c>
    </row>
    <row r="15" spans="1:7" x14ac:dyDescent="0.4">
      <c r="A15" t="s">
        <v>124</v>
      </c>
      <c r="B15" s="21" t="s">
        <v>97</v>
      </c>
      <c r="C15">
        <v>39.855833333333337</v>
      </c>
      <c r="D15">
        <v>0.51613304166666674</v>
      </c>
      <c r="E15" s="1" t="s">
        <v>50</v>
      </c>
      <c r="F15" s="1">
        <f>'Calibration Data'!$B$28*'Count-&gt;Actual Activity'!C15+'Calibration Data'!$B$27</f>
        <v>8.7171964735731038</v>
      </c>
      <c r="G15" s="22">
        <f>'Calibration Data'!$L$20/'Calibration Data'!$L$31*SQRT(1/'Calibration Data'!$L$21+1+('Count-&gt;Actual Activity'!F15-AVERAGE('Calibration Data'!$F$3:$F$8))^2/('Calibration Data'!$L$31^2*'Calibration Data'!$J$9))</f>
        <v>0.23298407275663713</v>
      </c>
    </row>
    <row r="16" spans="1:7" x14ac:dyDescent="0.4">
      <c r="A16" t="s">
        <v>125</v>
      </c>
      <c r="B16" s="21" t="s">
        <v>97</v>
      </c>
      <c r="C16">
        <v>39.976666666666667</v>
      </c>
      <c r="D16">
        <v>0.51569900000000002</v>
      </c>
      <c r="E16" s="1" t="s">
        <v>50</v>
      </c>
      <c r="F16" s="1">
        <f>'Calibration Data'!$B$28*'Count-&gt;Actual Activity'!C16+'Calibration Data'!$B$27</f>
        <v>8.7436507820300857</v>
      </c>
      <c r="G16" s="22">
        <f>'Calibration Data'!$L$20/'Calibration Data'!$L$31*SQRT(1/'Calibration Data'!$L$21+1+('Count-&gt;Actual Activity'!F16-AVERAGE('Calibration Data'!$F$3:$F$8))^2/('Calibration Data'!$L$31^2*'Calibration Data'!$J$9))</f>
        <v>0.23298410624378618</v>
      </c>
    </row>
    <row r="17" spans="1:7" x14ac:dyDescent="0.4">
      <c r="A17" t="s">
        <v>126</v>
      </c>
      <c r="B17" s="21" t="s">
        <v>97</v>
      </c>
      <c r="C17">
        <v>5.7808333333333337</v>
      </c>
      <c r="D17">
        <v>0.19625929166666661</v>
      </c>
      <c r="E17" s="1" t="s">
        <v>50</v>
      </c>
      <c r="F17" s="1">
        <f>'Calibration Data'!$B$28*'Count-&gt;Actual Activity'!C17+'Calibration Data'!$B$27</f>
        <v>1.2570814887038433</v>
      </c>
      <c r="G17" s="22">
        <f>'Calibration Data'!$L$20/'Calibration Data'!$L$31*SQRT(1/'Calibration Data'!$L$21+1+('Count-&gt;Actual Activity'!F17-AVERAGE('Calibration Data'!$F$3:$F$8))^2/('Calibration Data'!$L$31^2*'Calibration Data'!$J$9))</f>
        <v>0.2329787220164081</v>
      </c>
    </row>
    <row r="18" spans="1:7" x14ac:dyDescent="0.4">
      <c r="A18" t="s">
        <v>127</v>
      </c>
      <c r="B18" s="21" t="s">
        <v>97</v>
      </c>
      <c r="C18">
        <v>5.0983333333333336</v>
      </c>
      <c r="D18">
        <v>0.18430474999999999</v>
      </c>
      <c r="E18" s="1" t="s">
        <v>50</v>
      </c>
      <c r="F18" s="1">
        <f>'Calibration Data'!$B$28*'Count-&gt;Actual Activity'!C18+'Calibration Data'!$B$27</f>
        <v>1.1076602567985383</v>
      </c>
      <c r="G18" s="22">
        <f>'Calibration Data'!$L$20/'Calibration Data'!$L$31*SQRT(1/'Calibration Data'!$L$21+1+('Count-&gt;Actual Activity'!F18-AVERAGE('Calibration Data'!$F$3:$F$8))^2/('Calibration Data'!$L$31^2*'Calibration Data'!$J$9))</f>
        <v>0.2329786981657482</v>
      </c>
    </row>
    <row r="19" spans="1:7" x14ac:dyDescent="0.4">
      <c r="A19" t="s">
        <v>128</v>
      </c>
      <c r="B19" s="21" t="s">
        <v>97</v>
      </c>
      <c r="C19">
        <v>5.0466666666666669</v>
      </c>
      <c r="D19">
        <v>0.18344633333333341</v>
      </c>
      <c r="E19" s="1" t="s">
        <v>50</v>
      </c>
      <c r="F19" s="1">
        <f>'Calibration Data'!$B$28*'Count-&gt;Actual Activity'!C19+'Calibration Data'!$B$27</f>
        <v>1.0963487593893455</v>
      </c>
      <c r="G19" s="22">
        <f>'Calibration Data'!$L$20/'Calibration Data'!$L$31*SQRT(1/'Calibration Data'!$L$21+1+('Count-&gt;Actual Activity'!F19-AVERAGE('Calibration Data'!$F$3:$F$8))^2/('Calibration Data'!$L$31^2*'Calibration Data'!$J$9))</f>
        <v>0.23297869649343789</v>
      </c>
    </row>
    <row r="20" spans="1:7" x14ac:dyDescent="0.4">
      <c r="A20" t="s">
        <v>111</v>
      </c>
      <c r="B20" s="21" t="s">
        <v>97</v>
      </c>
      <c r="C20">
        <v>169.33250000000001</v>
      </c>
      <c r="D20">
        <v>1.0583281250000001</v>
      </c>
      <c r="E20" s="1" t="s">
        <v>50</v>
      </c>
      <c r="F20" s="1">
        <f>'Calibration Data'!$B$28*'Count-&gt;Actual Activity'!C20+'Calibration Data'!$B$27</f>
        <v>37.06380898101029</v>
      </c>
      <c r="G20" s="22">
        <f>'Calibration Data'!$L$20/'Calibration Data'!$L$31*SQRT(1/'Calibration Data'!$L$21+1+('Count-&gt;Actual Activity'!F20-AVERAGE('Calibration Data'!$F$3:$F$8))^2/('Calibration Data'!$L$31^2*'Calibration Data'!$J$9))</f>
        <v>0.23307876323443064</v>
      </c>
    </row>
    <row r="21" spans="1:7" x14ac:dyDescent="0.4">
      <c r="A21" t="s">
        <v>112</v>
      </c>
      <c r="B21" s="21" t="s">
        <v>97</v>
      </c>
      <c r="C21">
        <v>177.76</v>
      </c>
      <c r="D21">
        <v>1.084336</v>
      </c>
      <c r="E21" s="1" t="s">
        <v>50</v>
      </c>
      <c r="F21" s="1">
        <f>'Calibration Data'!$B$28*'Count-&gt;Actual Activity'!C21+'Calibration Data'!$B$27</f>
        <v>38.908860163254914</v>
      </c>
      <c r="G21" s="22">
        <f>'Calibration Data'!$L$20/'Calibration Data'!$L$31*SQRT(1/'Calibration Data'!$L$21+1+('Count-&gt;Actual Activity'!F21-AVERAGE('Calibration Data'!$F$3:$F$8))^2/('Calibration Data'!$L$31^2*'Calibration Data'!$J$9))</f>
        <v>0.23308900543821146</v>
      </c>
    </row>
    <row r="22" spans="1:7" x14ac:dyDescent="0.4">
      <c r="A22" t="s">
        <v>113</v>
      </c>
      <c r="B22" s="21" t="s">
        <v>97</v>
      </c>
      <c r="C22">
        <v>172.1908333333333</v>
      </c>
      <c r="D22">
        <v>1.0675831666666671</v>
      </c>
      <c r="E22" s="1" t="s">
        <v>50</v>
      </c>
      <c r="F22" s="1">
        <f>'Calibration Data'!$B$28*'Count-&gt;Actual Activity'!C22+'Calibration Data'!$B$27</f>
        <v>37.689590208647886</v>
      </c>
      <c r="G22" s="22">
        <f>'Calibration Data'!$L$20/'Calibration Data'!$L$31*SQRT(1/'Calibration Data'!$L$21+1+('Count-&gt;Actual Activity'!F22-AVERAGE('Calibration Data'!$F$3:$F$8))^2/('Calibration Data'!$L$31^2*'Calibration Data'!$J$9))</f>
        <v>0.23308218121828839</v>
      </c>
    </row>
    <row r="23" spans="1:7" x14ac:dyDescent="0.4">
      <c r="A23" t="s">
        <v>129</v>
      </c>
      <c r="B23" s="21" t="s">
        <v>97</v>
      </c>
      <c r="C23">
        <v>37.956666666666663</v>
      </c>
      <c r="D23">
        <v>0.50292583333333329</v>
      </c>
      <c r="E23" s="1" t="s">
        <v>50</v>
      </c>
      <c r="F23" s="1">
        <f>'Calibration Data'!$B$28*'Count-&gt;Actual Activity'!C23+'Calibration Data'!$B$27</f>
        <v>8.301407722031966</v>
      </c>
      <c r="G23" s="22">
        <f>'Calibration Data'!$L$20/'Calibration Data'!$L$31*SQRT(1/'Calibration Data'!$L$21+1+('Count-&gt;Actual Activity'!F23-AVERAGE('Calibration Data'!$F$3:$F$8))^2/('Calibration Data'!$L$31^2*'Calibration Data'!$J$9))</f>
        <v>0.23298355990500541</v>
      </c>
    </row>
    <row r="24" spans="1:7" x14ac:dyDescent="0.4">
      <c r="A24" t="s">
        <v>130</v>
      </c>
      <c r="B24" s="21" t="s">
        <v>97</v>
      </c>
      <c r="C24">
        <v>35.875833333333333</v>
      </c>
      <c r="D24">
        <v>0.48970512500000002</v>
      </c>
      <c r="E24" s="1" t="s">
        <v>50</v>
      </c>
      <c r="F24" s="1">
        <f>'Calibration Data'!$B$28*'Count-&gt;Actual Activity'!C24+'Calibration Data'!$B$27</f>
        <v>7.8458462860520557</v>
      </c>
      <c r="G24" s="22">
        <f>'Calibration Data'!$L$20/'Calibration Data'!$L$31*SQRT(1/'Calibration Data'!$L$21+1+('Count-&gt;Actual Activity'!F24-AVERAGE('Calibration Data'!$F$3:$F$8))^2/('Calibration Data'!$L$31^2*'Calibration Data'!$J$9))</f>
        <v>0.23298302708335805</v>
      </c>
    </row>
    <row r="25" spans="1:7" x14ac:dyDescent="0.4">
      <c r="A25" t="s">
        <v>131</v>
      </c>
      <c r="B25" s="21" t="s">
        <v>97</v>
      </c>
      <c r="C25">
        <v>37.124166666666667</v>
      </c>
      <c r="D25">
        <v>0.49746383333333338</v>
      </c>
      <c r="E25" s="1" t="s">
        <v>50</v>
      </c>
      <c r="F25" s="1">
        <f>'Calibration Data'!$B$28*'Count-&gt;Actual Activity'!C25+'Calibration Data'!$B$27</f>
        <v>8.119146658938682</v>
      </c>
      <c r="G25" s="22">
        <f>'Calibration Data'!$L$20/'Calibration Data'!$L$31*SQRT(1/'Calibration Data'!$L$21+1+('Count-&gt;Actual Activity'!F25-AVERAGE('Calibration Data'!$F$3:$F$8))^2/('Calibration Data'!$L$31^2*'Calibration Data'!$J$9))</f>
        <v>0.2329833430836146</v>
      </c>
    </row>
    <row r="26" spans="1:7" x14ac:dyDescent="0.4">
      <c r="A26" t="s">
        <v>135</v>
      </c>
      <c r="B26" s="21" t="s">
        <v>97</v>
      </c>
      <c r="C26">
        <v>6.8091666666666661</v>
      </c>
      <c r="D26">
        <v>0.21278645833333329</v>
      </c>
      <c r="E26" s="1" t="s">
        <v>50</v>
      </c>
      <c r="F26" s="1">
        <f>'Calibration Data'!$B$28*'Count-&gt;Actual Activity'!C26+'Calibration Data'!$B$27</f>
        <v>1.4822167758481</v>
      </c>
      <c r="G26" s="22">
        <f>'Calibration Data'!$L$20/'Calibration Data'!$L$31*SQRT(1/'Calibration Data'!$L$21+1+('Count-&gt;Actual Activity'!F26-AVERAGE('Calibration Data'!$F$3:$F$8))^2/('Calibration Data'!$L$31^2*'Calibration Data'!$J$9))</f>
        <v>0.23297876413204582</v>
      </c>
    </row>
    <row r="27" spans="1:7" x14ac:dyDescent="0.4">
      <c r="A27" t="s">
        <v>136</v>
      </c>
      <c r="B27" s="21" t="s">
        <v>97</v>
      </c>
      <c r="C27">
        <v>5.8766666666666669</v>
      </c>
      <c r="D27">
        <v>0.1980436666666667</v>
      </c>
      <c r="E27" s="1" t="s">
        <v>50</v>
      </c>
      <c r="F27" s="1">
        <f>'Calibration Data'!$B$28*'Count-&gt;Actual Activity'!C27+'Calibration Data'!$B$27</f>
        <v>1.2780624919628301</v>
      </c>
      <c r="G27" s="22">
        <f>'Calibration Data'!$L$20/'Calibration Data'!$L$31*SQRT(1/'Calibration Data'!$L$21+1+('Count-&gt;Actual Activity'!F27-AVERAGE('Calibration Data'!$F$3:$F$8))^2/('Calibration Data'!$L$31^2*'Calibration Data'!$J$9))</f>
        <v>0.2329787256273966</v>
      </c>
    </row>
    <row r="28" spans="1:7" x14ac:dyDescent="0.4">
      <c r="A28" t="s">
        <v>137</v>
      </c>
      <c r="B28" s="21" t="s">
        <v>97</v>
      </c>
      <c r="C28">
        <v>4.7316666666666674</v>
      </c>
      <c r="D28">
        <v>0.1776740833333334</v>
      </c>
      <c r="E28" s="1" t="s">
        <v>50</v>
      </c>
      <c r="F28" s="1">
        <f>'Calibration Data'!$B$28*'Count-&gt;Actual Activity'!C28+'Calibration Data'!$B$27</f>
        <v>1.0273851138945893</v>
      </c>
      <c r="G28" s="22">
        <f>'Calibration Data'!$L$20/'Calibration Data'!$L$31*SQRT(1/'Calibration Data'!$L$21+1+('Count-&gt;Actual Activity'!F28-AVERAGE('Calibration Data'!$F$3:$F$8))^2/('Calibration Data'!$L$31^2*'Calibration Data'!$J$9))</f>
        <v>0.23297868670342747</v>
      </c>
    </row>
    <row r="29" spans="1:7" x14ac:dyDescent="0.4">
      <c r="A29" t="s">
        <v>114</v>
      </c>
      <c r="B29" s="21" t="s">
        <v>97</v>
      </c>
      <c r="C29">
        <v>153.53666666666669</v>
      </c>
      <c r="D29">
        <v>1.013342</v>
      </c>
      <c r="E29" s="1" t="s">
        <v>50</v>
      </c>
      <c r="F29" s="1">
        <f>'Calibration Data'!$B$28*'Count-&gt;Actual Activity'!C29+'Calibration Data'!$B$27</f>
        <v>33.605592313409488</v>
      </c>
      <c r="G29" s="22">
        <f>'Calibration Data'!$L$20/'Calibration Data'!$L$31*SQRT(1/'Calibration Data'!$L$21+1+('Count-&gt;Actual Activity'!F29-AVERAGE('Calibration Data'!$F$3:$F$8))^2/('Calibration Data'!$L$31^2*'Calibration Data'!$J$9))</f>
        <v>0.2330609083448619</v>
      </c>
    </row>
    <row r="30" spans="1:7" x14ac:dyDescent="0.4">
      <c r="A30" t="s">
        <v>115</v>
      </c>
      <c r="B30" s="21" t="s">
        <v>97</v>
      </c>
      <c r="C30">
        <v>169.58500000000001</v>
      </c>
      <c r="D30">
        <v>1.0683855</v>
      </c>
      <c r="E30" s="1" t="s">
        <v>50</v>
      </c>
      <c r="F30" s="1">
        <f>'Calibration Data'!$B$28*'Count-&gt;Actual Activity'!C30+'Calibration Data'!$B$27</f>
        <v>37.119089363510057</v>
      </c>
      <c r="G30" s="22">
        <f>'Calibration Data'!$L$20/'Calibration Data'!$L$31*SQRT(1/'Calibration Data'!$L$21+1+('Count-&gt;Actual Activity'!F30-AVERAGE('Calibration Data'!$F$3:$F$8))^2/('Calibration Data'!$L$31^2*'Calibration Data'!$J$9))</f>
        <v>0.23307906286486016</v>
      </c>
    </row>
    <row r="31" spans="1:7" x14ac:dyDescent="0.4">
      <c r="A31" t="s">
        <v>116</v>
      </c>
      <c r="B31" s="21" t="s">
        <v>97</v>
      </c>
      <c r="C31">
        <v>168.41416666666669</v>
      </c>
      <c r="D31">
        <v>1.0610092499999999</v>
      </c>
      <c r="E31" s="1" t="s">
        <v>50</v>
      </c>
      <c r="F31" s="1">
        <f>'Calibration Data'!$B$28*'Count-&gt;Actual Activity'!C31+'Calibration Data'!$B$27</f>
        <v>36.862756236737219</v>
      </c>
      <c r="G31" s="22">
        <f>'Calibration Data'!$L$20/'Calibration Data'!$L$31*SQRT(1/'Calibration Data'!$L$21+1+('Count-&gt;Actual Activity'!F31-AVERAGE('Calibration Data'!$F$3:$F$8))^2/('Calibration Data'!$L$31^2*'Calibration Data'!$J$9))</f>
        <v>0.23307767726122847</v>
      </c>
    </row>
    <row r="32" spans="1:7" x14ac:dyDescent="0.4">
      <c r="A32" t="s">
        <v>138</v>
      </c>
      <c r="B32" s="21" t="s">
        <v>97</v>
      </c>
      <c r="C32">
        <v>33.80916666666667</v>
      </c>
      <c r="D32">
        <v>0.47501879166666672</v>
      </c>
      <c r="E32" s="1" t="s">
        <v>50</v>
      </c>
      <c r="F32" s="1">
        <f>'Calibration Data'!$B$28*'Count-&gt;Actual Activity'!C32+'Calibration Data'!$B$27</f>
        <v>7.3933863896843448</v>
      </c>
      <c r="G32" s="22">
        <f>'Calibration Data'!$L$20/'Calibration Data'!$L$31*SQRT(1/'Calibration Data'!$L$21+1+('Count-&gt;Actual Activity'!F32-AVERAGE('Calibration Data'!$F$3:$F$8))^2/('Calibration Data'!$L$31^2*'Calibration Data'!$J$9))</f>
        <v>0.23298252799455191</v>
      </c>
    </row>
    <row r="33" spans="1:7" x14ac:dyDescent="0.4">
      <c r="A33" t="s">
        <v>139</v>
      </c>
      <c r="B33" s="21" t="s">
        <v>97</v>
      </c>
      <c r="C33">
        <v>34.050833333333337</v>
      </c>
      <c r="D33">
        <v>0.47671166666666659</v>
      </c>
      <c r="E33" s="1" t="s">
        <v>50</v>
      </c>
      <c r="F33" s="1">
        <f>'Calibration Data'!$B$28*'Count-&gt;Actual Activity'!C33+'Calibration Data'!$B$27</f>
        <v>7.4462950065983105</v>
      </c>
      <c r="G33" s="22">
        <f>'Calibration Data'!$L$20/'Calibration Data'!$L$31*SQRT(1/'Calibration Data'!$L$21+1+('Count-&gt;Actual Activity'!F33-AVERAGE('Calibration Data'!$F$3:$F$8))^2/('Calibration Data'!$L$31^2*'Calibration Data'!$J$9))</f>
        <v>0.23298258480668541</v>
      </c>
    </row>
    <row r="34" spans="1:7" x14ac:dyDescent="0.4">
      <c r="A34" t="s">
        <v>140</v>
      </c>
      <c r="B34" s="21" t="s">
        <v>97</v>
      </c>
      <c r="C34">
        <v>35.895833333333329</v>
      </c>
      <c r="D34">
        <v>0.4881833333333333</v>
      </c>
      <c r="E34" s="1" t="s">
        <v>50</v>
      </c>
      <c r="F34" s="1">
        <f>'Calibration Data'!$B$28*'Count-&gt;Actual Activity'!C34+'Calibration Data'!$B$27</f>
        <v>7.8502249302104525</v>
      </c>
      <c r="G34" s="22">
        <f>'Calibration Data'!$L$20/'Calibration Data'!$L$31*SQRT(1/'Calibration Data'!$L$21+1+('Count-&gt;Actual Activity'!F34-AVERAGE('Calibration Data'!$F$3:$F$8))^2/('Calibration Data'!$L$31^2*'Calibration Data'!$J$9))</f>
        <v>0.2329830320598282</v>
      </c>
    </row>
    <row r="35" spans="1:7" x14ac:dyDescent="0.4">
      <c r="A35" t="s">
        <v>132</v>
      </c>
      <c r="B35" s="21" t="s">
        <v>97</v>
      </c>
      <c r="C35">
        <v>6.8591666666666669</v>
      </c>
      <c r="D35">
        <v>0.214006</v>
      </c>
      <c r="E35" s="1" t="s">
        <v>50</v>
      </c>
      <c r="F35" s="1">
        <f>'Calibration Data'!$B$28*'Count-&gt;Actual Activity'!C35+'Calibration Data'!$B$27</f>
        <v>1.4931633862440932</v>
      </c>
      <c r="G35" s="22">
        <f>'Calibration Data'!$L$20/'Calibration Data'!$L$31*SQRT(1/'Calibration Data'!$L$21+1+('Count-&gt;Actual Activity'!F35-AVERAGE('Calibration Data'!$F$3:$F$8))^2/('Calibration Data'!$L$31^2*'Calibration Data'!$J$9))</f>
        <v>0.23297876636918735</v>
      </c>
    </row>
    <row r="36" spans="1:7" x14ac:dyDescent="0.4">
      <c r="A36" t="s">
        <v>133</v>
      </c>
      <c r="B36" s="21" t="s">
        <v>97</v>
      </c>
      <c r="C36">
        <v>4.7675000000000001</v>
      </c>
      <c r="D36">
        <v>0.1783045</v>
      </c>
      <c r="E36" s="1" t="s">
        <v>50</v>
      </c>
      <c r="F36" s="1">
        <f>'Calibration Data'!$B$28*'Count-&gt;Actual Activity'!C36+'Calibration Data'!$B$27</f>
        <v>1.0352301846783842</v>
      </c>
      <c r="G36" s="22">
        <f>'Calibration Data'!$L$20/'Calibration Data'!$L$31*SQRT(1/'Calibration Data'!$L$21+1+('Count-&gt;Actual Activity'!F36-AVERAGE('Calibration Data'!$F$3:$F$8))^2/('Calibration Data'!$L$31^2*'Calibration Data'!$J$9))</f>
        <v>0.23297868778196917</v>
      </c>
    </row>
    <row r="37" spans="1:7" x14ac:dyDescent="0.4">
      <c r="A37" t="s">
        <v>134</v>
      </c>
      <c r="B37" s="21" t="s">
        <v>97</v>
      </c>
      <c r="C37">
        <v>6.0366666666666662</v>
      </c>
      <c r="D37">
        <v>0.2007191666666667</v>
      </c>
      <c r="E37" s="1" t="s">
        <v>50</v>
      </c>
      <c r="F37" s="1">
        <f>'Calibration Data'!$B$28*'Count-&gt;Actual Activity'!C37+'Calibration Data'!$B$27</f>
        <v>1.3130916452300077</v>
      </c>
      <c r="G37" s="22">
        <f>'Calibration Data'!$L$20/'Calibration Data'!$L$31*SQRT(1/'Calibration Data'!$L$21+1+('Count-&gt;Actual Activity'!F37-AVERAGE('Calibration Data'!$F$3:$F$8))^2/('Calibration Data'!$L$31^2*'Calibration Data'!$J$9))</f>
        <v>0.23297873179995363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8" sqref="O48"/>
    </sheetView>
  </sheetViews>
  <sheetFormatPr defaultRowHeight="14.6" x14ac:dyDescent="0.4"/>
  <cols>
    <col min="1" max="1" width="14.53515625" bestFit="1" customWidth="1"/>
    <col min="2" max="2" width="24.3046875" bestFit="1" customWidth="1"/>
    <col min="3" max="3" width="16.53515625" bestFit="1" customWidth="1"/>
    <col min="4" max="4" width="8.15234375" bestFit="1" customWidth="1"/>
    <col min="5" max="5" width="17.53515625" bestFit="1" customWidth="1"/>
    <col min="6" max="6" width="22.3828125" bestFit="1" customWidth="1"/>
    <col min="7" max="7" width="19.15234375" bestFit="1" customWidth="1"/>
    <col min="8" max="8" width="24.3828125" bestFit="1" customWidth="1"/>
    <col min="9" max="9" width="24.69140625" bestFit="1" customWidth="1"/>
    <col min="10" max="10" width="29.84375" bestFit="1" customWidth="1"/>
    <col min="11" max="11" width="11.3046875" bestFit="1" customWidth="1"/>
    <col min="12" max="12" width="12.3828125" bestFit="1" customWidth="1"/>
    <col min="13" max="13" width="16.84375" bestFit="1" customWidth="1"/>
    <col min="14" max="14" width="18.15234375" bestFit="1" customWidth="1"/>
    <col min="15" max="15" width="13.15234375" bestFit="1" customWidth="1"/>
    <col min="16" max="16" width="14.3046875" bestFit="1" customWidth="1"/>
  </cols>
  <sheetData>
    <row r="1" spans="1:15" x14ac:dyDescent="0.4">
      <c r="A1" t="s">
        <v>10</v>
      </c>
      <c r="B1" t="s">
        <v>24</v>
      </c>
      <c r="C1" t="s">
        <v>25</v>
      </c>
      <c r="D1" t="s">
        <v>12</v>
      </c>
      <c r="E1" t="s">
        <v>89</v>
      </c>
      <c r="F1" t="s">
        <v>90</v>
      </c>
      <c r="G1" t="s">
        <v>87</v>
      </c>
      <c r="H1" t="s">
        <v>88</v>
      </c>
      <c r="I1" t="s">
        <v>91</v>
      </c>
      <c r="J1" t="s">
        <v>92</v>
      </c>
      <c r="K1" t="s">
        <v>26</v>
      </c>
      <c r="L1" t="s">
        <v>27</v>
      </c>
      <c r="M1" t="s">
        <v>29</v>
      </c>
      <c r="N1" t="s">
        <v>30</v>
      </c>
      <c r="O1" t="s">
        <v>101</v>
      </c>
    </row>
    <row r="2" spans="1:15" x14ac:dyDescent="0.4">
      <c r="A2" t="s">
        <v>105</v>
      </c>
      <c r="B2">
        <v>0.35499999999999998</v>
      </c>
      <c r="C2">
        <v>2E-3</v>
      </c>
      <c r="D2" s="1">
        <v>3.01</v>
      </c>
      <c r="E2" s="1">
        <v>100</v>
      </c>
      <c r="F2" s="1">
        <v>5</v>
      </c>
      <c r="G2" s="1">
        <f>'Count-&gt;Actual Activity'!F2</f>
        <v>43.613713311452727</v>
      </c>
      <c r="H2" s="1">
        <f>'Count-&gt;Actual Activity'!G2</f>
        <v>0.23311737778845504</v>
      </c>
      <c r="I2" s="1">
        <v>10</v>
      </c>
      <c r="J2" s="1">
        <v>0.01</v>
      </c>
      <c r="K2">
        <f>G2/I2</f>
        <v>4.3613713311452731</v>
      </c>
      <c r="L2">
        <f>SQRT((J2/I2)^2+(H2/G2)^2)*K2</f>
        <v>2.3716211294340182E-2</v>
      </c>
      <c r="M2">
        <f>B2*Parameters!$B$6</f>
        <v>210.50000000000003</v>
      </c>
      <c r="N2">
        <f>SQRT((C2/B2)^2+(Parameters!$C$6/Parameters!$B$6)^2)*'Bottle Results'!M2</f>
        <v>10.566758990174671</v>
      </c>
      <c r="O2">
        <f>(M2-K2*E2)/M2</f>
        <v>-1.0719103710903908</v>
      </c>
    </row>
    <row r="3" spans="1:15" x14ac:dyDescent="0.4">
      <c r="A3" t="s">
        <v>106</v>
      </c>
      <c r="B3">
        <v>0.35499999999999998</v>
      </c>
      <c r="C3">
        <v>2E-3</v>
      </c>
      <c r="D3" s="1">
        <v>3.01</v>
      </c>
      <c r="E3" s="1">
        <v>100</v>
      </c>
      <c r="F3" s="1">
        <v>5</v>
      </c>
      <c r="G3" s="1">
        <f>'Count-&gt;Actual Activity'!F3</f>
        <v>44.526478174971956</v>
      </c>
      <c r="H3" s="1">
        <f>'Count-&gt;Actual Activity'!G3</f>
        <v>0.23312325728559022</v>
      </c>
      <c r="I3" s="1">
        <v>10</v>
      </c>
      <c r="J3" s="1">
        <v>0.01</v>
      </c>
      <c r="K3">
        <f t="shared" ref="K3:K37" si="0">G3/I3</f>
        <v>4.452647817497196</v>
      </c>
      <c r="L3">
        <f t="shared" ref="L3:L37" si="1">SQRT((J3/I3)^2+(H3/G3)^2)*K3</f>
        <v>2.3733743983221391E-2</v>
      </c>
      <c r="M3">
        <f>B3*Parameters!$B$6</f>
        <v>210.50000000000003</v>
      </c>
      <c r="N3">
        <f>SQRT((C3/B3)^2+(Parameters!$C$6/Parameters!$B$6)^2)*'Bottle Results'!M3</f>
        <v>10.566758990174671</v>
      </c>
      <c r="O3">
        <f t="shared" ref="O3:O37" si="2">(M3-K3*E3)/M3</f>
        <v>-1.1152721223264586</v>
      </c>
    </row>
    <row r="4" spans="1:15" x14ac:dyDescent="0.4">
      <c r="A4" t="s">
        <v>107</v>
      </c>
      <c r="B4">
        <v>0.35499999999999998</v>
      </c>
      <c r="C4">
        <v>2E-3</v>
      </c>
      <c r="D4" s="1">
        <v>3.02</v>
      </c>
      <c r="E4" s="1">
        <v>100</v>
      </c>
      <c r="F4" s="1">
        <v>5</v>
      </c>
      <c r="G4" s="1">
        <f>'Count-&gt;Actual Activity'!F4</f>
        <v>44.110142092911012</v>
      </c>
      <c r="H4" s="1">
        <f>'Count-&gt;Actual Activity'!G4</f>
        <v>0.23312056037397968</v>
      </c>
      <c r="I4" s="1">
        <v>10</v>
      </c>
      <c r="J4" s="1">
        <v>0.01</v>
      </c>
      <c r="K4">
        <f t="shared" si="0"/>
        <v>4.4110142092911016</v>
      </c>
      <c r="L4">
        <f t="shared" si="1"/>
        <v>2.3725703425722729E-2</v>
      </c>
      <c r="M4">
        <f>B4*Parameters!$B$6</f>
        <v>210.50000000000003</v>
      </c>
      <c r="N4">
        <f>SQRT((C4/B4)^2+(Parameters!$C$6/Parameters!$B$6)^2)*'Bottle Results'!M4</f>
        <v>10.566758990174671</v>
      </c>
      <c r="O4">
        <f t="shared" si="2"/>
        <v>-1.0954936861240383</v>
      </c>
    </row>
    <row r="5" spans="1:15" x14ac:dyDescent="0.4">
      <c r="A5" t="s">
        <v>117</v>
      </c>
      <c r="B5">
        <v>7.0999999999999994E-2</v>
      </c>
      <c r="C5">
        <v>1E-4</v>
      </c>
      <c r="D5" s="1">
        <v>2.97</v>
      </c>
      <c r="E5" s="1">
        <v>100</v>
      </c>
      <c r="F5" s="1">
        <v>5</v>
      </c>
      <c r="G5" s="1">
        <f>'Count-&gt;Actual Activity'!F5</f>
        <v>9.0913881056094645</v>
      </c>
      <c r="H5" s="1">
        <f>'Count-&gt;Actual Activity'!G5</f>
        <v>0.2329845559612515</v>
      </c>
      <c r="I5" s="1">
        <v>10</v>
      </c>
      <c r="J5" s="1">
        <v>0.01</v>
      </c>
      <c r="K5">
        <f t="shared" si="0"/>
        <v>0.90913881056094648</v>
      </c>
      <c r="L5">
        <f t="shared" si="1"/>
        <v>2.3316186792472812E-2</v>
      </c>
      <c r="M5">
        <f>B5*Parameters!$B$6</f>
        <v>42.1</v>
      </c>
      <c r="N5">
        <f>SQRT((C5/B5)^2+(Parameters!$C$6/Parameters!$B$6)^2)*'Bottle Results'!M5</f>
        <v>2.1008369734206158</v>
      </c>
      <c r="O5">
        <f t="shared" si="2"/>
        <v>-1.1594746094084241</v>
      </c>
    </row>
    <row r="6" spans="1:15" x14ac:dyDescent="0.4">
      <c r="A6" t="s">
        <v>118</v>
      </c>
      <c r="B6">
        <v>7.0999999999999994E-2</v>
      </c>
      <c r="C6">
        <v>1E-4</v>
      </c>
      <c r="D6" s="1">
        <v>3.05</v>
      </c>
      <c r="E6" s="1">
        <v>100</v>
      </c>
      <c r="F6" s="1">
        <v>5</v>
      </c>
      <c r="G6" s="1">
        <f>'Count-&gt;Actual Activity'!F6</f>
        <v>9.4478827175056406</v>
      </c>
      <c r="H6" s="1">
        <f>'Count-&gt;Actual Activity'!G6</f>
        <v>0.23298503540038601</v>
      </c>
      <c r="I6" s="1">
        <v>10</v>
      </c>
      <c r="J6" s="1">
        <v>0.01</v>
      </c>
      <c r="K6">
        <f t="shared" si="0"/>
        <v>0.94478827175056401</v>
      </c>
      <c r="L6">
        <f t="shared" si="1"/>
        <v>2.3317651941900767E-2</v>
      </c>
      <c r="M6">
        <f>B6*Parameters!$B$6</f>
        <v>42.1</v>
      </c>
      <c r="N6">
        <f>SQRT((C6/B6)^2+(Parameters!$C$6/Parameters!$B$6)^2)*'Bottle Results'!M6</f>
        <v>2.1008369734206158</v>
      </c>
      <c r="O6">
        <f t="shared" si="2"/>
        <v>-1.2441526644906507</v>
      </c>
    </row>
    <row r="7" spans="1:15" x14ac:dyDescent="0.4">
      <c r="A7" t="s">
        <v>119</v>
      </c>
      <c r="B7">
        <v>7.0999999999999994E-2</v>
      </c>
      <c r="C7">
        <v>1E-4</v>
      </c>
      <c r="D7" s="1">
        <v>2.96</v>
      </c>
      <c r="E7" s="1">
        <v>100</v>
      </c>
      <c r="F7" s="1">
        <v>5</v>
      </c>
      <c r="G7" s="1">
        <f>'Count-&gt;Actual Activity'!F7</f>
        <v>9.2249367524405788</v>
      </c>
      <c r="H7" s="1">
        <f>'Count-&gt;Actual Activity'!G7</f>
        <v>0.23298473338519896</v>
      </c>
      <c r="I7" s="1">
        <v>10</v>
      </c>
      <c r="J7" s="1">
        <v>0.01</v>
      </c>
      <c r="K7">
        <f t="shared" si="0"/>
        <v>0.9224936752440579</v>
      </c>
      <c r="L7">
        <f t="shared" si="1"/>
        <v>2.3316729069202388E-2</v>
      </c>
      <c r="M7">
        <f>B7*Parameters!$B$6</f>
        <v>42.1</v>
      </c>
      <c r="N7">
        <f>SQRT((C7/B7)^2+(Parameters!$C$6/Parameters!$B$6)^2)*'Bottle Results'!M7</f>
        <v>2.1008369734206158</v>
      </c>
      <c r="O7">
        <f t="shared" si="2"/>
        <v>-1.1911963782519188</v>
      </c>
    </row>
    <row r="8" spans="1:15" ht="15.75" customHeight="1" x14ac:dyDescent="0.4">
      <c r="A8" t="s">
        <v>120</v>
      </c>
      <c r="B8">
        <v>7.0000000000000001E-3</v>
      </c>
      <c r="C8">
        <v>1E-4</v>
      </c>
      <c r="D8" s="1">
        <v>3.01</v>
      </c>
      <c r="E8" s="1">
        <v>100</v>
      </c>
      <c r="F8" s="1">
        <v>5</v>
      </c>
      <c r="G8" s="1">
        <f>'Count-&gt;Actual Activity'!F8</f>
        <v>1.2328165023260587</v>
      </c>
      <c r="H8" s="1">
        <f>'Count-&gt;Actual Activity'!G8</f>
        <v>0.23297871792067615</v>
      </c>
      <c r="I8" s="1">
        <v>10</v>
      </c>
      <c r="J8" s="1">
        <v>0.01</v>
      </c>
      <c r="K8">
        <f t="shared" si="0"/>
        <v>0.12328165023260587</v>
      </c>
      <c r="L8">
        <f t="shared" si="1"/>
        <v>2.3298197964754783E-2</v>
      </c>
      <c r="M8">
        <f>B8*Parameters!$B$6</f>
        <v>4.1507042253521131</v>
      </c>
      <c r="N8">
        <f>SQRT((C8/B8)^2+(Parameters!$C$6/Parameters!$B$6)^2)*'Bottle Results'!M8</f>
        <v>0.21536592960401044</v>
      </c>
      <c r="O8">
        <f t="shared" si="2"/>
        <v>-1.9701381630522619</v>
      </c>
    </row>
    <row r="9" spans="1:15" x14ac:dyDescent="0.4">
      <c r="A9" t="s">
        <v>121</v>
      </c>
      <c r="B9">
        <v>7.0000000000000001E-3</v>
      </c>
      <c r="C9">
        <v>1E-4</v>
      </c>
      <c r="D9" s="1">
        <v>3.01</v>
      </c>
      <c r="E9" s="1">
        <v>100</v>
      </c>
      <c r="F9" s="1">
        <v>5</v>
      </c>
      <c r="G9" s="1">
        <f>'Count-&gt;Actual Activity'!F9</f>
        <v>1.1304656951235237</v>
      </c>
      <c r="H9" s="1">
        <f>'Count-&gt;Actual Activity'!G9</f>
        <v>0.23297870159435799</v>
      </c>
      <c r="I9" s="1">
        <v>10</v>
      </c>
      <c r="J9" s="1">
        <v>0.01</v>
      </c>
      <c r="K9">
        <f t="shared" si="0"/>
        <v>0.11304656951235237</v>
      </c>
      <c r="L9">
        <f t="shared" si="1"/>
        <v>2.3298144421666021E-2</v>
      </c>
      <c r="M9">
        <f>B9*Parameters!$B$6</f>
        <v>4.1507042253521131</v>
      </c>
      <c r="N9">
        <f>SQRT((C9/B9)^2+(Parameters!$C$6/Parameters!$B$6)^2)*'Bottle Results'!M9</f>
        <v>0.21536592960401044</v>
      </c>
      <c r="O9">
        <f t="shared" si="2"/>
        <v>-1.7235515559474102</v>
      </c>
    </row>
    <row r="10" spans="1:15" x14ac:dyDescent="0.4">
      <c r="A10" t="s">
        <v>122</v>
      </c>
      <c r="B10">
        <v>7.0000000000000001E-3</v>
      </c>
      <c r="C10">
        <v>1E-4</v>
      </c>
      <c r="D10" s="1">
        <v>2.99</v>
      </c>
      <c r="E10" s="1">
        <v>100</v>
      </c>
      <c r="F10" s="1">
        <v>5</v>
      </c>
      <c r="G10" s="1">
        <f>'Count-&gt;Actual Activity'!F10</f>
        <v>1.1477978282505126</v>
      </c>
      <c r="H10" s="1">
        <f>'Count-&gt;Actual Activity'!G10</f>
        <v>0.2329787042510808</v>
      </c>
      <c r="I10" s="1">
        <v>10</v>
      </c>
      <c r="J10" s="1">
        <v>0.01</v>
      </c>
      <c r="K10">
        <f t="shared" si="0"/>
        <v>0.11477978282505126</v>
      </c>
      <c r="L10">
        <f t="shared" si="1"/>
        <v>2.3298153161649338E-2</v>
      </c>
      <c r="M10">
        <f>B10*Parameters!$B$6</f>
        <v>4.1507042253521131</v>
      </c>
      <c r="N10">
        <f>SQRT((C10/B10)^2+(Parameters!$C$6/Parameters!$B$6)^2)*'Bottle Results'!M10</f>
        <v>0.21536592960401044</v>
      </c>
      <c r="O10">
        <f t="shared" si="2"/>
        <v>-1.7653086462771084</v>
      </c>
    </row>
    <row r="11" spans="1:15" x14ac:dyDescent="0.4">
      <c r="A11" t="s">
        <v>108</v>
      </c>
      <c r="B11">
        <v>0.35499999999999998</v>
      </c>
      <c r="C11">
        <v>2E-3</v>
      </c>
      <c r="D11" s="1">
        <v>5.0199999999999996</v>
      </c>
      <c r="E11" s="1">
        <v>100</v>
      </c>
      <c r="F11" s="1">
        <v>5</v>
      </c>
      <c r="G11" s="1">
        <f>'Count-&gt;Actual Activity'!F11</f>
        <v>40.629667317505024</v>
      </c>
      <c r="H11" s="1">
        <f>'Count-&gt;Actual Activity'!G11</f>
        <v>0.23309900696777239</v>
      </c>
      <c r="I11" s="1">
        <v>10</v>
      </c>
      <c r="J11" s="1">
        <v>0.01</v>
      </c>
      <c r="K11">
        <f t="shared" si="0"/>
        <v>4.0629667317505023</v>
      </c>
      <c r="L11">
        <f t="shared" si="1"/>
        <v>2.3661343350641087E-2</v>
      </c>
      <c r="M11">
        <f>B11*Parameters!$B$6</f>
        <v>210.50000000000003</v>
      </c>
      <c r="N11">
        <f>SQRT((C11/B11)^2+(Parameters!$C$6/Parameters!$B$6)^2)*'Bottle Results'!M11</f>
        <v>10.566758990174671</v>
      </c>
      <c r="O11">
        <f t="shared" si="2"/>
        <v>-0.93015046638978705</v>
      </c>
    </row>
    <row r="12" spans="1:15" x14ac:dyDescent="0.4">
      <c r="A12" t="s">
        <v>109</v>
      </c>
      <c r="B12">
        <v>0.35499999999999998</v>
      </c>
      <c r="C12">
        <v>2E-3</v>
      </c>
      <c r="D12" s="1">
        <v>5.05</v>
      </c>
      <c r="E12" s="1">
        <v>100</v>
      </c>
      <c r="F12" s="1">
        <v>5</v>
      </c>
      <c r="G12" s="1">
        <f>'Count-&gt;Actual Activity'!F12</f>
        <v>41.645512762253176</v>
      </c>
      <c r="H12" s="1">
        <f>'Count-&gt;Actual Activity'!G12</f>
        <v>0.23310511458911573</v>
      </c>
      <c r="I12" s="1">
        <v>10</v>
      </c>
      <c r="J12" s="1">
        <v>0.01</v>
      </c>
      <c r="K12">
        <f t="shared" si="0"/>
        <v>4.1645512762253176</v>
      </c>
      <c r="L12">
        <f t="shared" si="1"/>
        <v>2.3679599485809673E-2</v>
      </c>
      <c r="M12">
        <f>B12*Parameters!$B$6</f>
        <v>210.50000000000003</v>
      </c>
      <c r="N12">
        <f>SQRT((C12/B12)^2+(Parameters!$C$6/Parameters!$B$6)^2)*'Bottle Results'!M12</f>
        <v>10.566758990174671</v>
      </c>
      <c r="O12">
        <f t="shared" si="2"/>
        <v>-0.97840915735169465</v>
      </c>
    </row>
    <row r="13" spans="1:15" x14ac:dyDescent="0.4">
      <c r="A13" t="s">
        <v>110</v>
      </c>
      <c r="B13">
        <v>0.35499999999999998</v>
      </c>
      <c r="C13">
        <v>2E-3</v>
      </c>
      <c r="D13" s="1">
        <v>5.05</v>
      </c>
      <c r="E13" s="1">
        <v>100</v>
      </c>
      <c r="F13" s="1">
        <v>5</v>
      </c>
      <c r="G13" s="1">
        <f>'Count-&gt;Actual Activity'!F13</f>
        <v>41.542432181024246</v>
      </c>
      <c r="H13" s="1">
        <f>'Count-&gt;Actual Activity'!G13</f>
        <v>0.23310448794841021</v>
      </c>
      <c r="I13" s="1">
        <v>10</v>
      </c>
      <c r="J13" s="1">
        <v>0.01</v>
      </c>
      <c r="K13">
        <f t="shared" si="0"/>
        <v>4.1542432181024243</v>
      </c>
      <c r="L13">
        <f t="shared" si="1"/>
        <v>2.3677727081205559E-2</v>
      </c>
      <c r="M13">
        <f>B13*Parameters!$B$6</f>
        <v>210.50000000000003</v>
      </c>
      <c r="N13">
        <f>SQRT((C13/B13)^2+(Parameters!$C$6/Parameters!$B$6)^2)*'Bottle Results'!M13</f>
        <v>10.566758990174671</v>
      </c>
      <c r="O13">
        <f t="shared" si="2"/>
        <v>-0.97351221762585449</v>
      </c>
    </row>
    <row r="14" spans="1:15" x14ac:dyDescent="0.4">
      <c r="A14" t="s">
        <v>123</v>
      </c>
      <c r="B14">
        <v>7.0999999999999994E-2</v>
      </c>
      <c r="C14">
        <v>1E-4</v>
      </c>
      <c r="D14" s="1">
        <v>5.0199999999999996</v>
      </c>
      <c r="E14" s="1">
        <v>100</v>
      </c>
      <c r="F14" s="1">
        <v>5</v>
      </c>
      <c r="G14" s="1">
        <f>'Count-&gt;Actual Activity'!F14</f>
        <v>8.5584706228312015</v>
      </c>
      <c r="H14" s="1">
        <f>'Count-&gt;Actual Activity'!G14</f>
        <v>0.2329838739875332</v>
      </c>
      <c r="I14" s="1">
        <v>10</v>
      </c>
      <c r="J14" s="1">
        <v>0.01</v>
      </c>
      <c r="K14">
        <f t="shared" si="0"/>
        <v>0.85584706228312013</v>
      </c>
      <c r="L14">
        <f t="shared" si="1"/>
        <v>2.3314101517673935E-2</v>
      </c>
      <c r="M14">
        <f>B14*Parameters!$B$6</f>
        <v>42.1</v>
      </c>
      <c r="N14">
        <f>SQRT((C14/B14)^2+(Parameters!$C$6/Parameters!$B$6)^2)*'Bottle Results'!M14</f>
        <v>2.1008369734206158</v>
      </c>
      <c r="O14">
        <f t="shared" si="2"/>
        <v>-1.0328908842829456</v>
      </c>
    </row>
    <row r="15" spans="1:15" x14ac:dyDescent="0.4">
      <c r="A15" t="s">
        <v>124</v>
      </c>
      <c r="B15">
        <v>7.0999999999999994E-2</v>
      </c>
      <c r="C15">
        <v>1E-4</v>
      </c>
      <c r="D15" s="1">
        <v>4.97</v>
      </c>
      <c r="E15" s="1">
        <v>100</v>
      </c>
      <c r="F15" s="1">
        <v>5</v>
      </c>
      <c r="G15" s="1">
        <f>'Count-&gt;Actual Activity'!F15</f>
        <v>8.7171964735731038</v>
      </c>
      <c r="H15" s="1">
        <f>'Count-&gt;Actual Activity'!G15</f>
        <v>0.23298407275663713</v>
      </c>
      <c r="I15" s="1">
        <v>10</v>
      </c>
      <c r="J15" s="1">
        <v>0.01</v>
      </c>
      <c r="K15">
        <f t="shared" si="0"/>
        <v>0.87171964735731033</v>
      </c>
      <c r="L15">
        <f t="shared" si="1"/>
        <v>2.3314709449750573E-2</v>
      </c>
      <c r="M15">
        <f>B15*Parameters!$B$6</f>
        <v>42.1</v>
      </c>
      <c r="N15">
        <f>SQRT((C15/B15)^2+(Parameters!$C$6/Parameters!$B$6)^2)*'Bottle Results'!M15</f>
        <v>2.1008369734206158</v>
      </c>
      <c r="O15">
        <f t="shared" si="2"/>
        <v>-1.0705929865969368</v>
      </c>
    </row>
    <row r="16" spans="1:15" x14ac:dyDescent="0.4">
      <c r="A16" t="s">
        <v>125</v>
      </c>
      <c r="B16">
        <v>7.0999999999999994E-2</v>
      </c>
      <c r="C16">
        <v>1E-4</v>
      </c>
      <c r="D16" s="1">
        <v>4.96</v>
      </c>
      <c r="E16" s="1">
        <v>100</v>
      </c>
      <c r="F16" s="1">
        <v>5</v>
      </c>
      <c r="G16" s="1">
        <f>'Count-&gt;Actual Activity'!F16</f>
        <v>8.7436507820300857</v>
      </c>
      <c r="H16" s="1">
        <f>'Count-&gt;Actual Activity'!G16</f>
        <v>0.23298410624378618</v>
      </c>
      <c r="I16" s="1">
        <v>10</v>
      </c>
      <c r="J16" s="1">
        <v>0.01</v>
      </c>
      <c r="K16">
        <f t="shared" si="0"/>
        <v>0.87436507820300857</v>
      </c>
      <c r="L16">
        <f t="shared" si="1"/>
        <v>2.3314811856674705E-2</v>
      </c>
      <c r="M16">
        <f>B16*Parameters!$B$6</f>
        <v>42.1</v>
      </c>
      <c r="N16">
        <f>SQRT((C16/B16)^2+(Parameters!$C$6/Parameters!$B$6)^2)*'Bottle Results'!M16</f>
        <v>2.1008369734206158</v>
      </c>
      <c r="O16">
        <f t="shared" si="2"/>
        <v>-1.0768766703159349</v>
      </c>
    </row>
    <row r="17" spans="1:15" x14ac:dyDescent="0.4">
      <c r="A17" t="s">
        <v>126</v>
      </c>
      <c r="B17">
        <v>7.0000000000000001E-3</v>
      </c>
      <c r="C17">
        <v>1E-4</v>
      </c>
      <c r="D17" s="1">
        <v>4.97</v>
      </c>
      <c r="E17" s="1">
        <v>100</v>
      </c>
      <c r="F17" s="1">
        <v>5</v>
      </c>
      <c r="G17" s="1">
        <f>'Count-&gt;Actual Activity'!F17</f>
        <v>1.2570814887038433</v>
      </c>
      <c r="H17" s="1">
        <f>'Count-&gt;Actual Activity'!G17</f>
        <v>0.2329787220164081</v>
      </c>
      <c r="I17" s="1">
        <v>10</v>
      </c>
      <c r="J17" s="1">
        <v>0.01</v>
      </c>
      <c r="K17">
        <f t="shared" si="0"/>
        <v>0.12570814887038434</v>
      </c>
      <c r="L17">
        <f t="shared" si="1"/>
        <v>2.329821134041582E-2</v>
      </c>
      <c r="M17">
        <f>B17*Parameters!$B$6</f>
        <v>4.1507042253521131</v>
      </c>
      <c r="N17">
        <f>SQRT((C17/B17)^2+(Parameters!$C$6/Parameters!$B$6)^2)*'Bottle Results'!M17</f>
        <v>0.21536592960401044</v>
      </c>
      <c r="O17">
        <f t="shared" si="2"/>
        <v>-2.0285980895138405</v>
      </c>
    </row>
    <row r="18" spans="1:15" x14ac:dyDescent="0.4">
      <c r="A18" t="s">
        <v>127</v>
      </c>
      <c r="B18">
        <v>7.0000000000000001E-3</v>
      </c>
      <c r="C18">
        <v>1E-4</v>
      </c>
      <c r="D18" s="1">
        <v>5.05</v>
      </c>
      <c r="E18" s="1">
        <v>100</v>
      </c>
      <c r="F18" s="1">
        <v>5</v>
      </c>
      <c r="G18" s="1">
        <f>'Count-&gt;Actual Activity'!F18</f>
        <v>1.1076602567985383</v>
      </c>
      <c r="H18" s="1">
        <f>'Count-&gt;Actual Activity'!G18</f>
        <v>0.2329786981657482</v>
      </c>
      <c r="I18" s="1">
        <v>10</v>
      </c>
      <c r="J18" s="1">
        <v>0.01</v>
      </c>
      <c r="K18">
        <f t="shared" si="0"/>
        <v>0.11076602567985383</v>
      </c>
      <c r="L18">
        <f t="shared" si="1"/>
        <v>2.3298133124834551E-2</v>
      </c>
      <c r="M18">
        <f>B18*Parameters!$B$6</f>
        <v>4.1507042253521131</v>
      </c>
      <c r="N18">
        <f>SQRT((C18/B18)^2+(Parameters!$C$6/Parameters!$B$6)^2)*'Bottle Results'!M18</f>
        <v>0.21536592960401044</v>
      </c>
      <c r="O18">
        <f t="shared" si="2"/>
        <v>-1.6686080160399119</v>
      </c>
    </row>
    <row r="19" spans="1:15" x14ac:dyDescent="0.4">
      <c r="A19" t="s">
        <v>128</v>
      </c>
      <c r="B19">
        <v>7.0000000000000001E-3</v>
      </c>
      <c r="C19">
        <v>1E-4</v>
      </c>
      <c r="D19" s="1">
        <v>4.9800000000000004</v>
      </c>
      <c r="E19" s="1">
        <v>100</v>
      </c>
      <c r="F19" s="1">
        <v>5</v>
      </c>
      <c r="G19" s="1">
        <f>'Count-&gt;Actual Activity'!F19</f>
        <v>1.0963487593893455</v>
      </c>
      <c r="H19" s="1">
        <f>'Count-&gt;Actual Activity'!G19</f>
        <v>0.23297869649343789</v>
      </c>
      <c r="I19" s="1">
        <v>10</v>
      </c>
      <c r="J19" s="1">
        <v>0.01</v>
      </c>
      <c r="K19">
        <f t="shared" si="0"/>
        <v>0.10963487593893455</v>
      </c>
      <c r="L19">
        <f t="shared" si="1"/>
        <v>2.3298127607252833E-2</v>
      </c>
      <c r="M19">
        <f>B19*Parameters!$B$6</f>
        <v>4.1507042253521131</v>
      </c>
      <c r="N19">
        <f>SQRT((C19/B19)^2+(Parameters!$C$6/Parameters!$B$6)^2)*'Bottle Results'!M19</f>
        <v>0.21536592960401044</v>
      </c>
      <c r="O19">
        <f t="shared" si="2"/>
        <v>-1.6413560202457929</v>
      </c>
    </row>
    <row r="20" spans="1:15" x14ac:dyDescent="0.4">
      <c r="A20" t="s">
        <v>111</v>
      </c>
      <c r="B20">
        <v>0.35499999999999998</v>
      </c>
      <c r="C20">
        <v>2E-3</v>
      </c>
      <c r="D20" s="1">
        <v>6.95</v>
      </c>
      <c r="E20" s="1">
        <v>100</v>
      </c>
      <c r="F20" s="1">
        <v>5</v>
      </c>
      <c r="G20" s="1">
        <f>'Count-&gt;Actual Activity'!F20</f>
        <v>37.06380898101029</v>
      </c>
      <c r="H20" s="1">
        <f>'Count-&gt;Actual Activity'!G20</f>
        <v>0.23307876323443064</v>
      </c>
      <c r="I20" s="1">
        <v>10</v>
      </c>
      <c r="J20" s="1">
        <v>0.01</v>
      </c>
      <c r="K20">
        <f t="shared" si="0"/>
        <v>3.7063808981010289</v>
      </c>
      <c r="L20">
        <f t="shared" si="1"/>
        <v>2.3600727914001422E-2</v>
      </c>
      <c r="M20">
        <f>B20*Parameters!$B$6</f>
        <v>210.50000000000003</v>
      </c>
      <c r="N20">
        <f>SQRT((C20/B20)^2+(Parameters!$C$6/Parameters!$B$6)^2)*'Bottle Results'!M20</f>
        <v>10.566758990174671</v>
      </c>
      <c r="O20">
        <f t="shared" si="2"/>
        <v>-0.76075102047554788</v>
      </c>
    </row>
    <row r="21" spans="1:15" x14ac:dyDescent="0.4">
      <c r="A21" t="s">
        <v>112</v>
      </c>
      <c r="B21">
        <v>0.35499999999999998</v>
      </c>
      <c r="C21">
        <v>2E-3</v>
      </c>
      <c r="D21" s="1">
        <v>6.95</v>
      </c>
      <c r="E21" s="1">
        <v>100</v>
      </c>
      <c r="F21" s="1">
        <v>5</v>
      </c>
      <c r="G21" s="1">
        <f>'Count-&gt;Actual Activity'!F21</f>
        <v>38.908860163254914</v>
      </c>
      <c r="H21" s="1">
        <f>'Count-&gt;Actual Activity'!G21</f>
        <v>0.23308900543821146</v>
      </c>
      <c r="I21" s="1">
        <v>10</v>
      </c>
      <c r="J21" s="1">
        <v>0.01</v>
      </c>
      <c r="K21">
        <f t="shared" si="0"/>
        <v>3.8908860163254912</v>
      </c>
      <c r="L21">
        <f t="shared" si="1"/>
        <v>2.3631416346757188E-2</v>
      </c>
      <c r="M21">
        <f>B21*Parameters!$B$6</f>
        <v>210.50000000000003</v>
      </c>
      <c r="N21">
        <f>SQRT((C21/B21)^2+(Parameters!$C$6/Parameters!$B$6)^2)*'Bottle Results'!M21</f>
        <v>10.566758990174671</v>
      </c>
      <c r="O21">
        <f t="shared" si="2"/>
        <v>-0.84840190799310722</v>
      </c>
    </row>
    <row r="22" spans="1:15" x14ac:dyDescent="0.4">
      <c r="A22" t="s">
        <v>113</v>
      </c>
      <c r="B22">
        <v>0.35499999999999998</v>
      </c>
      <c r="C22">
        <v>2E-3</v>
      </c>
      <c r="D22" s="1">
        <v>6.96</v>
      </c>
      <c r="E22" s="1">
        <v>100</v>
      </c>
      <c r="F22" s="1">
        <v>5</v>
      </c>
      <c r="G22" s="1">
        <f>'Count-&gt;Actual Activity'!F22</f>
        <v>37.689590208647886</v>
      </c>
      <c r="H22" s="1">
        <f>'Count-&gt;Actual Activity'!G22</f>
        <v>0.23308218121828839</v>
      </c>
      <c r="I22" s="1">
        <v>10</v>
      </c>
      <c r="J22" s="1">
        <v>0.01</v>
      </c>
      <c r="K22">
        <f t="shared" si="0"/>
        <v>3.7689590208647887</v>
      </c>
      <c r="L22">
        <f t="shared" si="1"/>
        <v>2.361097380701839E-2</v>
      </c>
      <c r="M22">
        <f>B22*Parameters!$B$6</f>
        <v>210.50000000000003</v>
      </c>
      <c r="N22">
        <f>SQRT((C22/B22)^2+(Parameters!$C$6/Parameters!$B$6)^2)*'Bottle Results'!M22</f>
        <v>10.566758990174671</v>
      </c>
      <c r="O22">
        <f t="shared" si="2"/>
        <v>-0.79047934482887805</v>
      </c>
    </row>
    <row r="23" spans="1:15" x14ac:dyDescent="0.4">
      <c r="A23" t="s">
        <v>129</v>
      </c>
      <c r="B23">
        <v>7.0999999999999994E-2</v>
      </c>
      <c r="C23">
        <v>1E-4</v>
      </c>
      <c r="D23" s="1">
        <v>6.97</v>
      </c>
      <c r="E23" s="1">
        <v>100</v>
      </c>
      <c r="F23" s="1">
        <v>5</v>
      </c>
      <c r="G23" s="1">
        <f>'Count-&gt;Actual Activity'!F23</f>
        <v>8.301407722031966</v>
      </c>
      <c r="H23" s="1">
        <f>'Count-&gt;Actual Activity'!G23</f>
        <v>0.23298355990500541</v>
      </c>
      <c r="I23" s="1">
        <v>10</v>
      </c>
      <c r="J23" s="1">
        <v>0.01</v>
      </c>
      <c r="K23">
        <f t="shared" si="0"/>
        <v>0.8301407722031966</v>
      </c>
      <c r="L23">
        <f t="shared" si="1"/>
        <v>2.3313140619868587E-2</v>
      </c>
      <c r="M23">
        <f>B23*Parameters!$B$6</f>
        <v>42.1</v>
      </c>
      <c r="N23">
        <f>SQRT((C23/B23)^2+(Parameters!$C$6/Parameters!$B$6)^2)*'Bottle Results'!M23</f>
        <v>2.1008369734206158</v>
      </c>
      <c r="O23">
        <f t="shared" si="2"/>
        <v>-0.97183081283419626</v>
      </c>
    </row>
    <row r="24" spans="1:15" x14ac:dyDescent="0.4">
      <c r="A24" t="s">
        <v>130</v>
      </c>
      <c r="B24">
        <v>7.0999999999999994E-2</v>
      </c>
      <c r="C24">
        <v>1E-4</v>
      </c>
      <c r="D24" s="1">
        <v>6.95</v>
      </c>
      <c r="E24" s="1">
        <v>100</v>
      </c>
      <c r="F24" s="1">
        <v>5</v>
      </c>
      <c r="G24" s="1">
        <f>'Count-&gt;Actual Activity'!F24</f>
        <v>7.8458462860520557</v>
      </c>
      <c r="H24" s="1">
        <f>'Count-&gt;Actual Activity'!G24</f>
        <v>0.23298302708335805</v>
      </c>
      <c r="I24" s="1">
        <v>10</v>
      </c>
      <c r="J24" s="1">
        <v>0.01</v>
      </c>
      <c r="K24">
        <f t="shared" si="0"/>
        <v>0.78458462860520561</v>
      </c>
      <c r="L24">
        <f t="shared" si="1"/>
        <v>2.3311509649284648E-2</v>
      </c>
      <c r="M24">
        <f>B24*Parameters!$B$6</f>
        <v>42.1</v>
      </c>
      <c r="N24">
        <f>SQRT((C24/B24)^2+(Parameters!$C$6/Parameters!$B$6)^2)*'Bottle Results'!M24</f>
        <v>2.1008369734206158</v>
      </c>
      <c r="O24">
        <f t="shared" si="2"/>
        <v>-0.86362144561806542</v>
      </c>
    </row>
    <row r="25" spans="1:15" x14ac:dyDescent="0.4">
      <c r="A25" t="s">
        <v>131</v>
      </c>
      <c r="B25">
        <v>7.0999999999999994E-2</v>
      </c>
      <c r="C25">
        <v>1E-4</v>
      </c>
      <c r="D25" s="1">
        <v>6.96</v>
      </c>
      <c r="E25" s="1">
        <v>100</v>
      </c>
      <c r="F25" s="1">
        <v>5</v>
      </c>
      <c r="G25" s="1">
        <f>'Count-&gt;Actual Activity'!F25</f>
        <v>8.119146658938682</v>
      </c>
      <c r="H25" s="1">
        <f>'Count-&gt;Actual Activity'!G25</f>
        <v>0.2329833430836146</v>
      </c>
      <c r="I25" s="1">
        <v>10</v>
      </c>
      <c r="J25" s="1">
        <v>0.01</v>
      </c>
      <c r="K25">
        <f t="shared" si="0"/>
        <v>0.81191466589386818</v>
      </c>
      <c r="L25">
        <f t="shared" si="1"/>
        <v>2.3312477066345098E-2</v>
      </c>
      <c r="M25">
        <f>B25*Parameters!$B$6</f>
        <v>42.1</v>
      </c>
      <c r="N25">
        <f>SQRT((C25/B25)^2+(Parameters!$C$6/Parameters!$B$6)^2)*'Bottle Results'!M25</f>
        <v>2.1008369734206158</v>
      </c>
      <c r="O25">
        <f t="shared" si="2"/>
        <v>-0.92853839879778666</v>
      </c>
    </row>
    <row r="26" spans="1:15" x14ac:dyDescent="0.4">
      <c r="A26" t="s">
        <v>135</v>
      </c>
      <c r="B26">
        <v>7.0000000000000001E-3</v>
      </c>
      <c r="C26">
        <v>1E-4</v>
      </c>
      <c r="D26" s="1">
        <v>6.97</v>
      </c>
      <c r="E26" s="1">
        <v>100</v>
      </c>
      <c r="F26" s="1">
        <v>5</v>
      </c>
      <c r="G26" s="1">
        <f>'Count-&gt;Actual Activity'!F26</f>
        <v>1.4822167758481</v>
      </c>
      <c r="H26" s="1">
        <f>'Count-&gt;Actual Activity'!G26</f>
        <v>0.23297876413204582</v>
      </c>
      <c r="I26" s="1">
        <v>10</v>
      </c>
      <c r="J26" s="1">
        <v>0.01</v>
      </c>
      <c r="K26">
        <f t="shared" si="0"/>
        <v>0.14822167758481</v>
      </c>
      <c r="L26">
        <f t="shared" si="1"/>
        <v>2.3298347903460033E-2</v>
      </c>
      <c r="M26">
        <f>B26*Parameters!$B$6</f>
        <v>4.1507042253521131</v>
      </c>
      <c r="N26">
        <f>SQRT((C26/B26)^2+(Parameters!$C$6/Parameters!$B$6)^2)*'Bottle Results'!M26</f>
        <v>0.21536592960401044</v>
      </c>
      <c r="O26">
        <f t="shared" si="2"/>
        <v>-2.5710007154806616</v>
      </c>
    </row>
    <row r="27" spans="1:15" x14ac:dyDescent="0.4">
      <c r="A27" t="s">
        <v>136</v>
      </c>
      <c r="B27">
        <v>7.0000000000000001E-3</v>
      </c>
      <c r="C27">
        <v>1E-4</v>
      </c>
      <c r="D27" s="1">
        <v>7</v>
      </c>
      <c r="E27" s="1">
        <v>100</v>
      </c>
      <c r="F27" s="1">
        <v>5</v>
      </c>
      <c r="G27" s="1">
        <f>'Count-&gt;Actual Activity'!F27</f>
        <v>1.2780624919628301</v>
      </c>
      <c r="H27" s="1">
        <f>'Count-&gt;Actual Activity'!G27</f>
        <v>0.2329787256273966</v>
      </c>
      <c r="I27" s="1">
        <v>10</v>
      </c>
      <c r="J27" s="1">
        <v>0.01</v>
      </c>
      <c r="K27">
        <f t="shared" si="0"/>
        <v>0.127806249196283</v>
      </c>
      <c r="L27">
        <f t="shared" si="1"/>
        <v>2.3298223116516657E-2</v>
      </c>
      <c r="M27">
        <f>B27*Parameters!$B$6</f>
        <v>4.1507042253521131</v>
      </c>
      <c r="N27">
        <f>SQRT((C27/B27)^2+(Parameters!$C$6/Parameters!$B$6)^2)*'Bottle Results'!M27</f>
        <v>0.21536592960401044</v>
      </c>
      <c r="O27">
        <f t="shared" si="2"/>
        <v>-2.0791461462287386</v>
      </c>
    </row>
    <row r="28" spans="1:15" x14ac:dyDescent="0.4">
      <c r="A28" t="s">
        <v>137</v>
      </c>
      <c r="B28">
        <v>7.0000000000000001E-3</v>
      </c>
      <c r="C28">
        <v>1E-4</v>
      </c>
      <c r="D28" s="1">
        <v>6.98</v>
      </c>
      <c r="E28" s="1">
        <v>100</v>
      </c>
      <c r="F28" s="1">
        <v>5</v>
      </c>
      <c r="G28" s="1">
        <f>'Count-&gt;Actual Activity'!F28</f>
        <v>1.0273851138945893</v>
      </c>
      <c r="H28" s="1">
        <f>'Count-&gt;Actual Activity'!G28</f>
        <v>0.23297868670342747</v>
      </c>
      <c r="I28" s="1">
        <v>10</v>
      </c>
      <c r="J28" s="1">
        <v>0.01</v>
      </c>
      <c r="K28">
        <f t="shared" si="0"/>
        <v>0.10273851138945893</v>
      </c>
      <c r="L28">
        <f t="shared" si="1"/>
        <v>2.3298095196437423E-2</v>
      </c>
      <c r="M28">
        <f>B28*Parameters!$B$6</f>
        <v>4.1507042253521131</v>
      </c>
      <c r="N28">
        <f>SQRT((C28/B28)^2+(Parameters!$C$6/Parameters!$B$6)^2)*'Bottle Results'!M28</f>
        <v>0.21536592960401044</v>
      </c>
      <c r="O28">
        <f t="shared" si="2"/>
        <v>-1.4752067555655186</v>
      </c>
    </row>
    <row r="29" spans="1:15" x14ac:dyDescent="0.4">
      <c r="A29" t="s">
        <v>114</v>
      </c>
      <c r="B29">
        <v>0.35499999999999998</v>
      </c>
      <c r="C29">
        <v>2E-3</v>
      </c>
      <c r="D29" s="1">
        <v>8.9700000000000006</v>
      </c>
      <c r="E29" s="1">
        <v>100</v>
      </c>
      <c r="F29" s="1">
        <v>5</v>
      </c>
      <c r="G29" s="1">
        <f>'Count-&gt;Actual Activity'!F29</f>
        <v>33.605592313409488</v>
      </c>
      <c r="H29" s="1">
        <f>'Count-&gt;Actual Activity'!G29</f>
        <v>0.2330609083448619</v>
      </c>
      <c r="I29" s="1">
        <v>10</v>
      </c>
      <c r="J29" s="1">
        <v>0.01</v>
      </c>
      <c r="K29">
        <f t="shared" si="0"/>
        <v>3.3605592313409489</v>
      </c>
      <c r="L29">
        <f t="shared" si="1"/>
        <v>2.3547127814930464E-2</v>
      </c>
      <c r="M29">
        <f>B29*Parameters!$B$6</f>
        <v>210.50000000000003</v>
      </c>
      <c r="N29">
        <f>SQRT((C29/B29)^2+(Parameters!$C$6/Parameters!$B$6)^2)*'Bottle Results'!M29</f>
        <v>10.566758990174671</v>
      </c>
      <c r="O29">
        <f t="shared" si="2"/>
        <v>-0.59646519303608003</v>
      </c>
    </row>
    <row r="30" spans="1:15" x14ac:dyDescent="0.4">
      <c r="A30" t="s">
        <v>115</v>
      </c>
      <c r="B30">
        <v>0.35499999999999998</v>
      </c>
      <c r="C30">
        <v>2E-3</v>
      </c>
      <c r="D30" s="1">
        <v>8.9600000000000009</v>
      </c>
      <c r="E30" s="1">
        <v>100</v>
      </c>
      <c r="F30" s="1">
        <v>5</v>
      </c>
      <c r="G30" s="1">
        <f>'Count-&gt;Actual Activity'!F30</f>
        <v>37.119089363510057</v>
      </c>
      <c r="H30" s="1">
        <f>'Count-&gt;Actual Activity'!G30</f>
        <v>0.23307906286486016</v>
      </c>
      <c r="I30" s="1">
        <v>10</v>
      </c>
      <c r="J30" s="1">
        <v>0.01</v>
      </c>
      <c r="K30">
        <f t="shared" si="0"/>
        <v>3.7119089363510058</v>
      </c>
      <c r="L30">
        <f t="shared" si="1"/>
        <v>2.3601626287427246E-2</v>
      </c>
      <c r="M30">
        <f>B30*Parameters!$B$6</f>
        <v>210.50000000000003</v>
      </c>
      <c r="N30">
        <f>SQRT((C30/B30)^2+(Parameters!$C$6/Parameters!$B$6)^2)*'Bottle Results'!M30</f>
        <v>10.566758990174671</v>
      </c>
      <c r="O30">
        <f t="shared" si="2"/>
        <v>-0.7633771669125915</v>
      </c>
    </row>
    <row r="31" spans="1:15" x14ac:dyDescent="0.4">
      <c r="A31" t="s">
        <v>116</v>
      </c>
      <c r="B31">
        <v>0.35499999999999998</v>
      </c>
      <c r="C31">
        <v>2E-3</v>
      </c>
      <c r="D31" s="1">
        <v>8.9700000000000006</v>
      </c>
      <c r="E31" s="1">
        <v>100</v>
      </c>
      <c r="F31" s="1">
        <v>5</v>
      </c>
      <c r="G31" s="1">
        <f>'Count-&gt;Actual Activity'!F31</f>
        <v>36.862756236737219</v>
      </c>
      <c r="H31" s="1">
        <f>'Count-&gt;Actual Activity'!G31</f>
        <v>0.23307767726122847</v>
      </c>
      <c r="I31" s="1">
        <v>10</v>
      </c>
      <c r="J31" s="1">
        <v>0.01</v>
      </c>
      <c r="K31">
        <f t="shared" si="0"/>
        <v>3.6862756236737217</v>
      </c>
      <c r="L31">
        <f t="shared" si="1"/>
        <v>2.3597471566856158E-2</v>
      </c>
      <c r="M31">
        <f>B31*Parameters!$B$6</f>
        <v>210.50000000000003</v>
      </c>
      <c r="N31">
        <f>SQRT((C31/B31)^2+(Parameters!$C$6/Parameters!$B$6)^2)*'Bottle Results'!M31</f>
        <v>10.566758990174671</v>
      </c>
      <c r="O31">
        <f t="shared" si="2"/>
        <v>-0.75119982122267026</v>
      </c>
    </row>
    <row r="32" spans="1:15" x14ac:dyDescent="0.4">
      <c r="A32" t="s">
        <v>138</v>
      </c>
      <c r="B32">
        <v>7.0999999999999994E-2</v>
      </c>
      <c r="C32">
        <v>1E-4</v>
      </c>
      <c r="D32" s="1">
        <v>8.9700000000000006</v>
      </c>
      <c r="E32" s="1">
        <v>100</v>
      </c>
      <c r="F32" s="1">
        <v>5</v>
      </c>
      <c r="G32" s="1">
        <f>'Count-&gt;Actual Activity'!F32</f>
        <v>7.3933863896843448</v>
      </c>
      <c r="H32" s="1">
        <f>'Count-&gt;Actual Activity'!G32</f>
        <v>0.23298252799455191</v>
      </c>
      <c r="I32" s="1">
        <v>10</v>
      </c>
      <c r="J32" s="1">
        <v>0.01</v>
      </c>
      <c r="K32">
        <f t="shared" si="0"/>
        <v>0.73933863896843444</v>
      </c>
      <c r="L32">
        <f t="shared" si="1"/>
        <v>2.330998080501984E-2</v>
      </c>
      <c r="M32">
        <f>B32*Parameters!$B$6</f>
        <v>42.1</v>
      </c>
      <c r="N32">
        <f>SQRT((C32/B32)^2+(Parameters!$C$6/Parameters!$B$6)^2)*'Bottle Results'!M32</f>
        <v>2.1008369734206158</v>
      </c>
      <c r="O32">
        <f t="shared" si="2"/>
        <v>-0.75614878614830039</v>
      </c>
    </row>
    <row r="33" spans="1:15" x14ac:dyDescent="0.4">
      <c r="A33" t="s">
        <v>139</v>
      </c>
      <c r="B33">
        <v>7.0999999999999994E-2</v>
      </c>
      <c r="C33">
        <v>1E-4</v>
      </c>
      <c r="D33" s="1">
        <v>8.98</v>
      </c>
      <c r="E33" s="1">
        <v>100</v>
      </c>
      <c r="F33" s="1">
        <v>5</v>
      </c>
      <c r="G33" s="1">
        <f>'Count-&gt;Actual Activity'!F33</f>
        <v>7.4462950065983105</v>
      </c>
      <c r="H33" s="1">
        <f>'Count-&gt;Actual Activity'!G33</f>
        <v>0.23298258480668541</v>
      </c>
      <c r="I33" s="1">
        <v>10</v>
      </c>
      <c r="J33" s="1">
        <v>0.01</v>
      </c>
      <c r="K33">
        <f t="shared" si="0"/>
        <v>0.74462950065983102</v>
      </c>
      <c r="L33">
        <f t="shared" si="1"/>
        <v>2.3310154897067857E-2</v>
      </c>
      <c r="M33">
        <f>B33*Parameters!$B$6</f>
        <v>42.1</v>
      </c>
      <c r="N33">
        <f>SQRT((C33/B33)^2+(Parameters!$C$6/Parameters!$B$6)^2)*'Bottle Results'!M33</f>
        <v>2.1008369734206158</v>
      </c>
      <c r="O33">
        <f t="shared" si="2"/>
        <v>-0.76871615358629708</v>
      </c>
    </row>
    <row r="34" spans="1:15" x14ac:dyDescent="0.4">
      <c r="A34" t="s">
        <v>140</v>
      </c>
      <c r="B34">
        <v>7.0999999999999994E-2</v>
      </c>
      <c r="C34">
        <v>1E-4</v>
      </c>
      <c r="D34" s="1">
        <v>8.9600000000000009</v>
      </c>
      <c r="E34" s="1">
        <v>100</v>
      </c>
      <c r="F34" s="1">
        <v>5</v>
      </c>
      <c r="G34" s="1">
        <f>'Count-&gt;Actual Activity'!F34</f>
        <v>7.8502249302104525</v>
      </c>
      <c r="H34" s="1">
        <f>'Count-&gt;Actual Activity'!G34</f>
        <v>0.2329830320598282</v>
      </c>
      <c r="I34" s="1">
        <v>10</v>
      </c>
      <c r="J34" s="1">
        <v>0.01</v>
      </c>
      <c r="K34">
        <f t="shared" si="0"/>
        <v>0.78502249302104521</v>
      </c>
      <c r="L34">
        <f t="shared" si="1"/>
        <v>2.3311524887755803E-2</v>
      </c>
      <c r="M34">
        <f>B34*Parameters!$B$6</f>
        <v>42.1</v>
      </c>
      <c r="N34">
        <f>SQRT((C34/B34)^2+(Parameters!$C$6/Parameters!$B$6)^2)*'Bottle Results'!M34</f>
        <v>2.1008369734206158</v>
      </c>
      <c r="O34">
        <f t="shared" si="2"/>
        <v>-0.86466150361293381</v>
      </c>
    </row>
    <row r="35" spans="1:15" x14ac:dyDescent="0.4">
      <c r="A35" t="s">
        <v>132</v>
      </c>
      <c r="B35">
        <v>7.0000000000000001E-3</v>
      </c>
      <c r="C35">
        <v>1E-4</v>
      </c>
      <c r="D35" s="1">
        <v>8.9499999999999993</v>
      </c>
      <c r="E35" s="1">
        <v>100</v>
      </c>
      <c r="F35" s="1">
        <v>5</v>
      </c>
      <c r="G35" s="1">
        <f>'Count-&gt;Actual Activity'!F35</f>
        <v>1.4931633862440932</v>
      </c>
      <c r="H35" s="1">
        <f>'Count-&gt;Actual Activity'!G35</f>
        <v>0.23297876636918735</v>
      </c>
      <c r="I35" s="1">
        <v>10</v>
      </c>
      <c r="J35" s="1">
        <v>0.01</v>
      </c>
      <c r="K35">
        <f t="shared" si="0"/>
        <v>0.14931633862440932</v>
      </c>
      <c r="L35">
        <f t="shared" si="1"/>
        <v>2.3298355117004808E-2</v>
      </c>
      <c r="M35">
        <f>B35*Parameters!$B$6</f>
        <v>4.1507042253521131</v>
      </c>
      <c r="N35">
        <f>SQRT((C35/B35)^2+(Parameters!$C$6/Parameters!$B$6)^2)*'Bottle Results'!M35</f>
        <v>0.21536592960401044</v>
      </c>
      <c r="O35">
        <f t="shared" si="2"/>
        <v>-2.5973736146362607</v>
      </c>
    </row>
    <row r="36" spans="1:15" x14ac:dyDescent="0.4">
      <c r="A36" t="s">
        <v>133</v>
      </c>
      <c r="B36">
        <v>7.0000000000000001E-3</v>
      </c>
      <c r="C36">
        <v>1E-4</v>
      </c>
      <c r="D36" s="1">
        <v>8.98</v>
      </c>
      <c r="E36" s="1">
        <v>100</v>
      </c>
      <c r="F36" s="1">
        <v>5</v>
      </c>
      <c r="G36" s="1">
        <f>'Count-&gt;Actual Activity'!F36</f>
        <v>1.0352301846783842</v>
      </c>
      <c r="H36" s="1">
        <f>'Count-&gt;Actual Activity'!G36</f>
        <v>0.23297868778196917</v>
      </c>
      <c r="I36" s="1">
        <v>10</v>
      </c>
      <c r="J36" s="1">
        <v>0.01</v>
      </c>
      <c r="K36">
        <f t="shared" si="0"/>
        <v>0.10352301846783843</v>
      </c>
      <c r="L36">
        <f t="shared" si="1"/>
        <v>2.3298098776969665E-2</v>
      </c>
      <c r="M36">
        <f>B36*Parameters!$B$6</f>
        <v>4.1507042253521131</v>
      </c>
      <c r="N36">
        <f>SQRT((C36/B36)^2+(Parameters!$C$6/Parameters!$B$6)^2)*'Bottle Results'!M36</f>
        <v>0.21536592960401044</v>
      </c>
      <c r="O36">
        <f t="shared" si="2"/>
        <v>-1.494107333293698</v>
      </c>
    </row>
    <row r="37" spans="1:15" x14ac:dyDescent="0.4">
      <c r="A37" t="s">
        <v>134</v>
      </c>
      <c r="B37">
        <v>7.0000000000000001E-3</v>
      </c>
      <c r="C37">
        <v>1E-4</v>
      </c>
      <c r="D37" s="1">
        <v>8.9700000000000006</v>
      </c>
      <c r="E37" s="1">
        <v>100</v>
      </c>
      <c r="F37" s="1">
        <v>5</v>
      </c>
      <c r="G37" s="1">
        <f>'Count-&gt;Actual Activity'!F37</f>
        <v>1.3130916452300077</v>
      </c>
      <c r="H37" s="1">
        <f>'Count-&gt;Actual Activity'!G37</f>
        <v>0.23297873179995363</v>
      </c>
      <c r="I37" s="1">
        <v>10</v>
      </c>
      <c r="J37" s="1">
        <v>0.01</v>
      </c>
      <c r="K37">
        <f t="shared" si="0"/>
        <v>0.13130916452300076</v>
      </c>
      <c r="L37">
        <f t="shared" si="1"/>
        <v>2.3298243212908454E-2</v>
      </c>
      <c r="M37">
        <f>B37*Parameters!$B$6</f>
        <v>4.1507042253521131</v>
      </c>
      <c r="N37">
        <f>SQRT((C37/B37)^2+(Parameters!$C$6/Parameters!$B$6)^2)*'Bottle Results'!M37</f>
        <v>0.21536592960401044</v>
      </c>
      <c r="O37">
        <f t="shared" si="2"/>
        <v>-2.1635394235266552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J8" sqref="J8"/>
    </sheetView>
  </sheetViews>
  <sheetFormatPr defaultRowHeight="14.6" x14ac:dyDescent="0.4"/>
  <sheetData>
    <row r="1" spans="1:10" x14ac:dyDescent="0.4">
      <c r="A1" t="s">
        <v>15</v>
      </c>
      <c r="B1" t="s">
        <v>26</v>
      </c>
      <c r="C1" t="s">
        <v>98</v>
      </c>
      <c r="D1" t="s">
        <v>28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4">
      <c r="A2">
        <v>0</v>
      </c>
      <c r="B2">
        <f>AVERAGE('Bottle Results'!K2:K4)</f>
        <v>4.4083444526445232</v>
      </c>
      <c r="C2">
        <f>_xlfn.STDEV.S('Bottle Results'!K2:K4)</f>
        <v>4.569677166498911E-2</v>
      </c>
      <c r="D2" t="e">
        <f>AVERAGE('Bottle Results'!#REF!)</f>
        <v>#REF!</v>
      </c>
      <c r="E2" t="e">
        <f>_xlfn.STDEV.S('Bottle Results'!#REF!)</f>
        <v>#REF!</v>
      </c>
      <c r="F2">
        <f>AVERAGE('Bottle Results'!M2:M4)</f>
        <v>210.50000000000003</v>
      </c>
      <c r="G2">
        <f>AVERAGE('Bottle Results'!O2:O4)</f>
        <v>-1.0942253931802959</v>
      </c>
      <c r="I2">
        <f>AVERAGE('Bottle Results'!D2:D4)</f>
        <v>3.0133333333333332</v>
      </c>
      <c r="J2">
        <f>_xlfn.STDEV.S('Bottle Results'!D2:D4)</f>
        <v>5.7735026918963907E-3</v>
      </c>
    </row>
    <row r="3" spans="1:10" x14ac:dyDescent="0.4">
      <c r="A3">
        <v>10</v>
      </c>
      <c r="B3">
        <f>AVERAGE('Bottle Results'!K5:K7)</f>
        <v>0.92547358585185613</v>
      </c>
      <c r="C3">
        <f>_xlfn.STDEV.S('Bottle Results'!K5:K7)</f>
        <v>1.801057803626422E-2</v>
      </c>
      <c r="D3" t="e">
        <f>AVERAGE('Bottle Results'!#REF!)</f>
        <v>#REF!</v>
      </c>
      <c r="E3" t="e">
        <f>_xlfn.STDEV.S('Bottle Results'!#REF!)</f>
        <v>#REF!</v>
      </c>
      <c r="F3">
        <f>AVERAGE('Bottle Results'!M5:M7)</f>
        <v>42.1</v>
      </c>
      <c r="G3">
        <f>AVERAGE('Bottle Results'!O5:O7)</f>
        <v>-1.1982745507169978</v>
      </c>
      <c r="H3">
        <f>_xlfn.STDEV.S('Bottle Results'!O5:O7)</f>
        <v>4.2780470394926731E-2</v>
      </c>
      <c r="I3">
        <f>AVERAGE('Bottle Results'!D5:D7)</f>
        <v>2.9933333333333336</v>
      </c>
      <c r="J3">
        <f>_xlfn.STDEV.S('Bottle Results'!D5:D7)</f>
        <v>4.9328828623162339E-2</v>
      </c>
    </row>
    <row r="4" spans="1:10" x14ac:dyDescent="0.4">
      <c r="A4">
        <v>50</v>
      </c>
      <c r="B4">
        <f>AVERAGE('Bottle Results'!K8:K10)</f>
        <v>0.11703600085666983</v>
      </c>
      <c r="C4">
        <f>_xlfn.STDEV.S('Bottle Results'!K8:K10)</f>
        <v>5.4778745140954838E-3</v>
      </c>
      <c r="D4" t="e">
        <f>AVERAGE('Bottle Results'!#REF!)</f>
        <v>#REF!</v>
      </c>
      <c r="E4" t="e">
        <f>_xlfn.STDEV.S('Bottle Results'!#REF!)</f>
        <v>#REF!</v>
      </c>
      <c r="F4">
        <f>AVERAGE('Bottle Results'!M8:M10)</f>
        <v>4.1507042253521131</v>
      </c>
      <c r="G4">
        <f>AVERAGE('Bottle Results'!O8:O10)</f>
        <v>-1.8196661217589269</v>
      </c>
      <c r="H4">
        <f>_xlfn.STDEV.S('Bottle Results'!O8:O10)</f>
        <v>0.13197458109968752</v>
      </c>
      <c r="I4">
        <f>AVERAGE('Bottle Results'!D8:D10)</f>
        <v>3.0033333333333334</v>
      </c>
      <c r="J4">
        <f>_xlfn.STDEV.S('Bottle Results'!D8:D10)</f>
        <v>1.154700538379227E-2</v>
      </c>
    </row>
    <row r="5" spans="1:10" x14ac:dyDescent="0.4">
      <c r="A5">
        <v>100</v>
      </c>
      <c r="B5">
        <f>AVERAGE('Bottle Results'!K11:K13)</f>
        <v>4.127253742026082</v>
      </c>
      <c r="C5">
        <f>_xlfn.STDEV.S('Bottle Results'!K11:K13)</f>
        <v>5.5912241800839535E-2</v>
      </c>
      <c r="D5" t="e">
        <f>AVERAGE('Bottle Results'!#REF!)</f>
        <v>#REF!</v>
      </c>
      <c r="E5" t="e">
        <f>_xlfn.STDEV.S('Bottle Results'!#REF!)</f>
        <v>#REF!</v>
      </c>
      <c r="F5">
        <f>AVERAGE('Bottle Results'!M11:M13)</f>
        <v>210.50000000000003</v>
      </c>
      <c r="G5">
        <f>AVERAGE('Bottle Results'!O11:O13)</f>
        <v>-0.96069061378911202</v>
      </c>
      <c r="H5">
        <f>_xlfn.STDEV.S('Bottle Results'!O11:O13)</f>
        <v>2.6561635059781274E-2</v>
      </c>
      <c r="I5">
        <f>AVERAGE('Bottle Results'!D11:D13)</f>
        <v>5.04</v>
      </c>
      <c r="J5">
        <f>_xlfn.STDEV.S('Bottle Results'!D3:D11)</f>
        <v>0.67303417446664515</v>
      </c>
    </row>
    <row r="6" spans="1:10" x14ac:dyDescent="0.4">
      <c r="A6">
        <v>250</v>
      </c>
      <c r="B6">
        <f>AVERAGE('Bottle Results'!K14:K16)</f>
        <v>0.86731059594781301</v>
      </c>
      <c r="C6">
        <f>_xlfn.STDEV.S('Bottle Results'!K14:K16)</f>
        <v>1.0015439538582577E-2</v>
      </c>
      <c r="D6" t="e">
        <f>AVERAGE('Bottle Results'!#REF!)</f>
        <v>#REF!</v>
      </c>
      <c r="E6" t="e">
        <f>_xlfn.STDEV.S('Bottle Results'!#REF!)</f>
        <v>#REF!</v>
      </c>
      <c r="F6">
        <f>AVERAGE('Bottle Results'!M14:M16)</f>
        <v>42.1</v>
      </c>
      <c r="G6">
        <f>AVERAGE('Bottle Results'!O14:O16)</f>
        <v>-1.0601201803986058</v>
      </c>
      <c r="H6">
        <f>_xlfn.STDEV.S('Bottle Results'!O14:O16)</f>
        <v>2.3789642609459892E-2</v>
      </c>
      <c r="I6">
        <f>AVERAGE('Bottle Results'!D14:D16)</f>
        <v>4.9833333333333334</v>
      </c>
      <c r="J6">
        <f>_xlfn.STDEV.S('Bottle Results'!D14:D16)</f>
        <v>3.2145502536643007E-2</v>
      </c>
    </row>
    <row r="7" spans="1:10" x14ac:dyDescent="0.4">
      <c r="A7">
        <v>500</v>
      </c>
      <c r="B7">
        <f>AVERAGE('Bottle Results'!K17:K19)</f>
        <v>0.11536968349639092</v>
      </c>
      <c r="C7">
        <f>_xlfn.STDEV.S('Bottle Results'!K17:K19)</f>
        <v>8.9712192399384223E-3</v>
      </c>
      <c r="D7" t="e">
        <f>AVERAGE('Bottle Results'!#REF!)</f>
        <v>#REF!</v>
      </c>
      <c r="E7" t="e">
        <f>_xlfn.STDEV.S('Bottle Results'!#REF!)</f>
        <v>#REF!</v>
      </c>
      <c r="F7">
        <f>AVERAGE('Bottle Results'!M17:M19)</f>
        <v>4.1507042253521131</v>
      </c>
      <c r="G7">
        <f>AVERAGE('Bottle Results'!O17:O19)</f>
        <v>-1.7795207085998486</v>
      </c>
      <c r="H7">
        <f>_xlfn.STDEV.S('Bottle Results'!O17:O19)</f>
        <v>0.21613728063645357</v>
      </c>
      <c r="I7">
        <f>AVERAGE('Bottle Results'!D17:D19)</f>
        <v>5</v>
      </c>
      <c r="J7">
        <f>_xlfn.STDEV.S('Bottle Results'!D17:D19)</f>
        <v>4.3588989435406622E-2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2017-06-14T20:24:34Z</dcterms:modified>
</cp:coreProperties>
</file>