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Mont_pH7\"/>
    </mc:Choice>
  </mc:AlternateContent>
  <bookViews>
    <workbookView xWindow="0" yWindow="0" windowWidth="7470" windowHeight="1228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Rd Calculations" sheetId="9" r:id="rId6"/>
    <sheet name="Averaged Results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F4" i="9" l="1"/>
  <c r="F3" i="9"/>
  <c r="F2" i="9"/>
  <c r="D4" i="9"/>
  <c r="D3" i="9"/>
  <c r="D2" i="9"/>
  <c r="C4" i="9"/>
  <c r="C3" i="9"/>
  <c r="C2" i="9"/>
  <c r="C3" i="8" l="1"/>
  <c r="B3" i="8"/>
  <c r="B2" i="8"/>
  <c r="Q6" i="5"/>
  <c r="P4" i="8" l="1"/>
  <c r="P3" i="8"/>
  <c r="Q17" i="5" l="1"/>
  <c r="L7" i="8"/>
  <c r="L6" i="8"/>
  <c r="L5" i="8"/>
  <c r="L4" i="8"/>
  <c r="L3" i="8"/>
  <c r="L2" i="8"/>
  <c r="K2" i="8"/>
  <c r="K7" i="8"/>
  <c r="K6" i="8"/>
  <c r="K5" i="8"/>
  <c r="J5" i="8"/>
  <c r="K4" i="8"/>
  <c r="K3" i="8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" i="5"/>
  <c r="J7" i="8" l="1"/>
  <c r="J6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2" i="5"/>
  <c r="T2" i="5" s="1"/>
  <c r="F3" i="2"/>
  <c r="F4" i="2"/>
  <c r="F5" i="2"/>
  <c r="F6" i="2"/>
  <c r="F7" i="2"/>
  <c r="F8" i="2"/>
  <c r="F9" i="2"/>
  <c r="F10" i="2"/>
  <c r="I10" i="5" s="1"/>
  <c r="Q10" i="5" s="1"/>
  <c r="F11" i="2"/>
  <c r="G11" i="2" s="1"/>
  <c r="J11" i="5" s="1"/>
  <c r="F12" i="2"/>
  <c r="G12" i="2" s="1"/>
  <c r="J12" i="5" s="1"/>
  <c r="F13" i="2"/>
  <c r="F14" i="2"/>
  <c r="F15" i="2"/>
  <c r="F16" i="2"/>
  <c r="F17" i="2"/>
  <c r="G17" i="2" s="1"/>
  <c r="J17" i="5" s="1"/>
  <c r="F18" i="2"/>
  <c r="F19" i="2"/>
  <c r="T5" i="5" l="1"/>
  <c r="F3" i="8"/>
  <c r="W10" i="5"/>
  <c r="F4" i="8"/>
  <c r="U10" i="5"/>
  <c r="F6" i="8"/>
  <c r="F2" i="8"/>
  <c r="F5" i="8"/>
  <c r="G18" i="2"/>
  <c r="J18" i="5" s="1"/>
  <c r="R18" i="5" s="1"/>
  <c r="I18" i="5"/>
  <c r="Q18" i="5" s="1"/>
  <c r="G10" i="2"/>
  <c r="J10" i="5" s="1"/>
  <c r="R10" i="5" s="1"/>
  <c r="G19" i="2"/>
  <c r="J19" i="5" s="1"/>
  <c r="I19" i="5"/>
  <c r="Q19" i="5" s="1"/>
  <c r="G3" i="2"/>
  <c r="J3" i="5" s="1"/>
  <c r="I3" i="5"/>
  <c r="Q3" i="5" s="1"/>
  <c r="U3" i="5" s="1"/>
  <c r="G9" i="2"/>
  <c r="J9" i="5" s="1"/>
  <c r="I9" i="5"/>
  <c r="Q9" i="5" s="1"/>
  <c r="U9" i="5" s="1"/>
  <c r="I16" i="5"/>
  <c r="Q16" i="5" s="1"/>
  <c r="W16" i="5" s="1"/>
  <c r="G16" i="2"/>
  <c r="J16" i="5" s="1"/>
  <c r="R16" i="5" s="1"/>
  <c r="I8" i="5"/>
  <c r="Q8" i="5" s="1"/>
  <c r="G8" i="2"/>
  <c r="J8" i="5" s="1"/>
  <c r="R8" i="5" s="1"/>
  <c r="G15" i="2"/>
  <c r="J15" i="5" s="1"/>
  <c r="I15" i="5"/>
  <c r="Q15" i="5" s="1"/>
  <c r="U15" i="5" s="1"/>
  <c r="G7" i="2"/>
  <c r="J7" i="5" s="1"/>
  <c r="I7" i="5"/>
  <c r="Q7" i="5" s="1"/>
  <c r="W7" i="5" s="1"/>
  <c r="I14" i="5"/>
  <c r="Q14" i="5" s="1"/>
  <c r="G14" i="2"/>
  <c r="J14" i="5" s="1"/>
  <c r="R14" i="5" s="1"/>
  <c r="G6" i="2"/>
  <c r="J6" i="5" s="1"/>
  <c r="I6" i="5"/>
  <c r="U6" i="5" s="1"/>
  <c r="G13" i="2"/>
  <c r="J13" i="5" s="1"/>
  <c r="I13" i="5"/>
  <c r="Q13" i="5" s="1"/>
  <c r="W13" i="5" s="1"/>
  <c r="G5" i="2"/>
  <c r="J5" i="5" s="1"/>
  <c r="I5" i="5"/>
  <c r="Q5" i="5" s="1"/>
  <c r="W5" i="5" s="1"/>
  <c r="I4" i="5"/>
  <c r="Q4" i="5" s="1"/>
  <c r="U4" i="5" s="1"/>
  <c r="G4" i="2"/>
  <c r="J4" i="5" s="1"/>
  <c r="R4" i="5" s="1"/>
  <c r="I17" i="5"/>
  <c r="I12" i="5"/>
  <c r="Q12" i="5" s="1"/>
  <c r="U12" i="5" s="1"/>
  <c r="I11" i="5"/>
  <c r="Q11" i="5" s="1"/>
  <c r="W11" i="5" s="1"/>
  <c r="F2" i="2"/>
  <c r="G2" i="2" s="1"/>
  <c r="J2" i="5" s="1"/>
  <c r="S18" i="5" l="1"/>
  <c r="U18" i="5" s="1"/>
  <c r="H3" i="9" s="1"/>
  <c r="K3" i="9" s="1"/>
  <c r="B3" i="9"/>
  <c r="T18" i="5"/>
  <c r="H3" i="8"/>
  <c r="G3" i="8"/>
  <c r="R17" i="5"/>
  <c r="R13" i="5"/>
  <c r="R12" i="5"/>
  <c r="R15" i="5"/>
  <c r="R6" i="5"/>
  <c r="R19" i="5"/>
  <c r="R5" i="5"/>
  <c r="R7" i="5"/>
  <c r="R9" i="5"/>
  <c r="R11" i="5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B6" i="8"/>
  <c r="C6" i="8"/>
  <c r="U8" i="5"/>
  <c r="W8" i="5"/>
  <c r="U16" i="5"/>
  <c r="W9" i="5"/>
  <c r="W18" i="5"/>
  <c r="U7" i="5"/>
  <c r="W14" i="5"/>
  <c r="C5" i="8"/>
  <c r="B5" i="8"/>
  <c r="U11" i="5"/>
  <c r="U14" i="5"/>
  <c r="I2" i="5"/>
  <c r="Q2" i="5" s="1"/>
  <c r="R2" i="5" s="1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S17" i="5" l="1"/>
  <c r="W17" i="5" s="1"/>
  <c r="B2" i="9"/>
  <c r="I3" i="9"/>
  <c r="J3" i="9"/>
  <c r="B4" i="9"/>
  <c r="S19" i="5"/>
  <c r="W19" i="5" s="1"/>
  <c r="E3" i="8"/>
  <c r="D3" i="8"/>
  <c r="H5" i="8"/>
  <c r="G6" i="8"/>
  <c r="H6" i="8"/>
  <c r="G4" i="8"/>
  <c r="H4" i="8"/>
  <c r="C2" i="8"/>
  <c r="U2" i="5"/>
  <c r="W2" i="5"/>
  <c r="E6" i="8"/>
  <c r="D6" i="8"/>
  <c r="P2" i="8" s="1"/>
  <c r="D5" i="8"/>
  <c r="E5" i="8"/>
  <c r="D4" i="8"/>
  <c r="E4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G7" i="8" l="1"/>
  <c r="H7" i="8"/>
  <c r="J4" i="9"/>
  <c r="I4" i="9"/>
  <c r="U17" i="5"/>
  <c r="H2" i="9" s="1"/>
  <c r="K2" i="9" s="1"/>
  <c r="U19" i="5"/>
  <c r="H4" i="9" s="1"/>
  <c r="K4" i="9" s="1"/>
  <c r="F7" i="8"/>
  <c r="T17" i="5"/>
  <c r="T19" i="5"/>
  <c r="J2" i="9"/>
  <c r="I2" i="9"/>
  <c r="G2" i="8"/>
  <c r="H2" i="8"/>
  <c r="E2" i="8"/>
  <c r="D2" i="8"/>
  <c r="N6" i="7"/>
  <c r="J9" i="7"/>
  <c r="N5" i="7"/>
  <c r="N3" i="7"/>
  <c r="N7" i="7"/>
  <c r="E7" i="8" l="1"/>
  <c r="D7" i="8"/>
</calcChain>
</file>

<file path=xl/sharedStrings.xml><?xml version="1.0" encoding="utf-8"?>
<sst xmlns="http://schemas.openxmlformats.org/spreadsheetml/2006/main" count="354" uniqueCount="165">
  <si>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</si>
  <si>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</si>
  <si>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</si>
  <si>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</si>
  <si>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</si>
  <si>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</si>
  <si>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</si>
  <si>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</si>
  <si>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</si>
  <si>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</si>
  <si>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</si>
  <si>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</si>
  <si>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</si>
  <si>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</si>
  <si>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</si>
  <si>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</si>
  <si>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</si>
  <si>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</si>
  <si>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</si>
  <si>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</si>
  <si>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</si>
  <si>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</si>
  <si>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</si>
  <si>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</si>
  <si>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</si>
  <si>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</si>
  <si>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</si>
  <si>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</si>
  <si>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</si>
  <si>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</si>
  <si>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</si>
  <si>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</si>
  <si>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</si>
  <si>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</si>
  <si>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</si>
  <si>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</si>
  <si>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</si>
  <si>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</si>
  <si>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</si>
  <si>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</si>
  <si>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</si>
  <si>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</si>
  <si>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</si>
  <si>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</si>
  <si>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</si>
  <si>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</si>
  <si>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</si>
  <si>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</si>
  <si>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</si>
  <si>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</si>
  <si>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</si>
  <si>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</si>
  <si>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</si>
  <si>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</si>
  <si>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</si>
  <si>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</si>
  <si>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</si>
  <si>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</si>
  <si>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</si>
  <si>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</si>
  <si>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</si>
  <si>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</si>
  <si>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</si>
  <si>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</si>
  <si>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</si>
  <si>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</si>
  <si>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</si>
  <si>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</si>
  <si>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</si>
  <si>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</si>
  <si>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</si>
  <si>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</si>
  <si>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</si>
  <si>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</si>
  <si>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</si>
  <si>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</si>
  <si>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</si>
  <si>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</si>
  <si>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</si>
  <si>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</si>
  <si>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</si>
  <si>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</si>
  <si>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</si>
  <si>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</si>
  <si>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</si>
  <si>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</si>
  <si>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</si>
  <si>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</si>
  <si>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</si>
  <si>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</si>
  <si>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</si>
  <si>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</si>
  <si>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</si>
  <si>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</si>
  <si>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</si>
  <si>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</si>
  <si>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</si>
  <si>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</si>
  <si>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</si>
  <si>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</si>
  <si>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</si>
  <si>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Calibration Method</t>
  </si>
  <si>
    <t>Activity (Bq)</t>
  </si>
  <si>
    <t>Activity Error (Bq)</t>
  </si>
  <si>
    <t>Phase</t>
  </si>
  <si>
    <t>Water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</si>
  <si>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</si>
  <si>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</si>
  <si>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</si>
  <si>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</si>
  <si>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</si>
  <si>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</si>
  <si>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</si>
  <si>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</si>
  <si>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T1_A</t>
  </si>
  <si>
    <t>T1_B</t>
  </si>
  <si>
    <t>T1_C</t>
  </si>
  <si>
    <t>T2_A</t>
  </si>
  <si>
    <t>T2_B</t>
  </si>
  <si>
    <t>T3_C</t>
  </si>
  <si>
    <t>T2_C</t>
  </si>
  <si>
    <t>T3_A</t>
  </si>
  <si>
    <t>T3_B</t>
  </si>
  <si>
    <t>T4_A</t>
  </si>
  <si>
    <t>T4_B</t>
  </si>
  <si>
    <t>T4_C</t>
  </si>
  <si>
    <t>T5_A</t>
  </si>
  <si>
    <t>T5_B</t>
  </si>
  <si>
    <t>T5_C</t>
  </si>
  <si>
    <t>Desorb_A</t>
  </si>
  <si>
    <t>Desorb_B</t>
  </si>
  <si>
    <t>Desorb_C</t>
  </si>
  <si>
    <t>Ra_Stock_5</t>
  </si>
  <si>
    <t>Sample start</t>
  </si>
  <si>
    <t>Sample end</t>
  </si>
  <si>
    <t>Experiment Length</t>
  </si>
  <si>
    <t>Experiment Length (min)</t>
  </si>
  <si>
    <t>T1</t>
  </si>
  <si>
    <t>T2</t>
  </si>
  <si>
    <t>T3</t>
  </si>
  <si>
    <t>T4</t>
  </si>
  <si>
    <t>T5</t>
  </si>
  <si>
    <t>Desorb</t>
  </si>
  <si>
    <t>Mass (g)</t>
  </si>
  <si>
    <t>Kd</t>
  </si>
  <si>
    <t>Vol removed</t>
  </si>
  <si>
    <t>Expected starting activity</t>
  </si>
  <si>
    <t>Bq</t>
  </si>
  <si>
    <t>ml</t>
  </si>
  <si>
    <t>Desorb solution</t>
  </si>
  <si>
    <t>Total water</t>
  </si>
  <si>
    <t>Rd</t>
  </si>
  <si>
    <t>Bottle</t>
  </si>
  <si>
    <t>A</t>
  </si>
  <si>
    <t>C</t>
  </si>
  <si>
    <t>B</t>
  </si>
  <si>
    <t>Vol Left on Solid</t>
  </si>
  <si>
    <t>Ra Free (Desorb)</t>
  </si>
  <si>
    <t>Ra Free Adsorb</t>
  </si>
  <si>
    <t>Exp. Vol (Desorb)</t>
  </si>
  <si>
    <t>Ra sorbed (Bq/g)</t>
  </si>
  <si>
    <t>Ra sorbed (Desorption expt)</t>
  </si>
  <si>
    <t>Rd by Sajih</t>
  </si>
  <si>
    <t>Kd adsorb</t>
  </si>
  <si>
    <t>Kd desorb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</si>
</sst>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m]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3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/>
    <xf numFmtId="0" fontId="6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5319444444444447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Time 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'Averaged Results'!$K$2:$K$6</c:f>
              <c:numCache>
                <c:formatCode>[m]</c:formatCode>
                <c:ptCount val="5"/>
                <c:pt idx="0">
                  <c:v>0.12175925926082225</c:v>
                </c:pt>
                <c:pt idx="1">
                  <c:v>0.25995370370461995</c:v>
                </c:pt>
                <c:pt idx="2">
                  <c:v>1.0004629629644721</c:v>
                </c:pt>
                <c:pt idx="3">
                  <c:v>10.796990740743544</c:v>
                </c:pt>
                <c:pt idx="4">
                  <c:v>10.784953703706075</c:v>
                </c:pt>
              </c:numCache>
            </c:numRef>
          </c:xVal>
          <c:yVal>
            <c:numRef>
              <c:f>'Averaged Results'!$B$2:$B$6</c:f>
              <c:numCache>
                <c:formatCode>General</c:formatCode>
                <c:ptCount val="5"/>
                <c:pt idx="0">
                  <c:v>0.49280272850001111</c:v>
                </c:pt>
                <c:pt idx="1">
                  <c:v>0.4739107033915938</c:v>
                </c:pt>
                <c:pt idx="2">
                  <c:v>0.48737807490377466</c:v>
                </c:pt>
                <c:pt idx="3">
                  <c:v>0.54139351575777994</c:v>
                </c:pt>
                <c:pt idx="4">
                  <c:v>0.6385629273728789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7672"/>
        <c:axId val="198598064"/>
      </c:scatterChart>
      <c:valAx>
        <c:axId val="19859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m]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8064"/>
        <c:crosses val="autoZero"/>
        <c:crossBetween val="midCat"/>
      </c:valAx>
      <c:valAx>
        <c:axId val="1985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9</xdr:row>
      <xdr:rowOff>114300</xdr:rowOff>
    </xdr:from>
    <xdr:to>
      <xdr:col>9</xdr:col>
      <xdr:colOff>152400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14" sqref="E14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5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106</v>
      </c>
    </row>
    <row r="5" spans="1:5" x14ac:dyDescent="0.25">
      <c r="A5" t="s">
        <v>22</v>
      </c>
      <c r="B5" t="s">
        <v>132</v>
      </c>
    </row>
    <row r="6" spans="1:5" x14ac:dyDescent="0.25">
      <c r="A6" t="s">
        <v>6</v>
      </c>
      <c r="B6">
        <f>42.1/0.071</f>
        <v>592.95774647887333</v>
      </c>
      <c r="C6">
        <f>2.1/0.071</f>
        <v>29.577464788732399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workbookViewId="0">
      <selection activeCell="B19" sqref="B19:C19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23" x14ac:dyDescent="0.25">
      <c r="A2" s="3" t="s">
        <v>53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36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54</v>
      </c>
      <c r="I10" s="5"/>
    </row>
    <row r="11" spans="1:23" x14ac:dyDescent="0.25">
      <c r="A11" t="s">
        <v>55</v>
      </c>
      <c r="B11" t="s">
        <v>56</v>
      </c>
      <c r="C11" s="2" t="s">
        <v>57</v>
      </c>
      <c r="K11" s="7" t="s">
        <v>54</v>
      </c>
    </row>
    <row r="12" spans="1:23" ht="15.75" thickBot="1" x14ac:dyDescent="0.3">
      <c r="K12" t="s">
        <v>58</v>
      </c>
      <c r="M12" t="s">
        <v>57</v>
      </c>
      <c r="V12" t="s">
        <v>55</v>
      </c>
    </row>
    <row r="13" spans="1:23" ht="15.75" thickBot="1" x14ac:dyDescent="0.3">
      <c r="A13" s="8" t="s">
        <v>59</v>
      </c>
      <c r="B13" s="8"/>
    </row>
    <row r="14" spans="1:23" x14ac:dyDescent="0.25">
      <c r="A14" s="9" t="s">
        <v>60</v>
      </c>
      <c r="B14" s="9">
        <v>0.99999857522978297</v>
      </c>
      <c r="K14" t="s">
        <v>55</v>
      </c>
      <c r="V14" s="10" t="s">
        <v>59</v>
      </c>
      <c r="W14" s="10"/>
    </row>
    <row r="15" spans="1:23" ht="15.75" thickBot="1" x14ac:dyDescent="0.3">
      <c r="A15" s="9" t="s">
        <v>61</v>
      </c>
      <c r="B15" s="9">
        <v>0.99999715046159587</v>
      </c>
      <c r="V15" s="11" t="s">
        <v>60</v>
      </c>
      <c r="W15" s="11">
        <v>0.99999829960800468</v>
      </c>
    </row>
    <row r="16" spans="1:23" x14ac:dyDescent="0.25">
      <c r="A16" s="9" t="s">
        <v>62</v>
      </c>
      <c r="B16" s="9">
        <v>0.99999643807699479</v>
      </c>
      <c r="K16" s="10" t="s">
        <v>59</v>
      </c>
      <c r="L16" s="10"/>
      <c r="M16" s="12"/>
      <c r="V16" s="11" t="s">
        <v>61</v>
      </c>
      <c r="W16" s="11">
        <v>0.99999659921890061</v>
      </c>
    </row>
    <row r="17" spans="1:30" x14ac:dyDescent="0.25">
      <c r="A17" s="9" t="s">
        <v>63</v>
      </c>
      <c r="B17" s="9">
        <v>0.2156959844518157</v>
      </c>
      <c r="K17" s="11" t="s">
        <v>60</v>
      </c>
      <c r="L17" s="11">
        <v>0.99999857522978297</v>
      </c>
      <c r="M17" s="11"/>
      <c r="V17" s="11" t="s">
        <v>62</v>
      </c>
      <c r="W17" s="11">
        <v>0.9999959190626807</v>
      </c>
    </row>
    <row r="18" spans="1:30" ht="15.75" customHeight="1" thickBot="1" x14ac:dyDescent="0.3">
      <c r="A18" s="13" t="s">
        <v>64</v>
      </c>
      <c r="B18" s="13">
        <v>6</v>
      </c>
      <c r="K18" s="11" t="s">
        <v>61</v>
      </c>
      <c r="L18" s="11">
        <v>0.99999715046159587</v>
      </c>
      <c r="M18" s="11"/>
      <c r="V18" s="11" t="s">
        <v>63</v>
      </c>
      <c r="W18" s="11">
        <v>0.21657792198407996</v>
      </c>
    </row>
    <row r="19" spans="1:30" ht="15.75" thickBot="1" x14ac:dyDescent="0.3">
      <c r="K19" s="11" t="s">
        <v>62</v>
      </c>
      <c r="L19" s="11">
        <v>0.99999643807699479</v>
      </c>
      <c r="M19" s="11"/>
      <c r="V19" s="14" t="s">
        <v>64</v>
      </c>
      <c r="W19" s="14">
        <v>7</v>
      </c>
    </row>
    <row r="20" spans="1:30" ht="15.75" customHeight="1" thickBot="1" x14ac:dyDescent="0.3">
      <c r="A20" t="s">
        <v>65</v>
      </c>
      <c r="K20" s="11" t="s">
        <v>63</v>
      </c>
      <c r="L20" s="11">
        <v>0.98521674441591967</v>
      </c>
      <c r="M20" t="s">
        <v>66</v>
      </c>
    </row>
    <row r="21" spans="1:30" ht="15.75" thickBot="1" x14ac:dyDescent="0.3">
      <c r="A21" s="15"/>
      <c r="B21" s="15" t="s">
        <v>67</v>
      </c>
      <c r="C21" s="15" t="s">
        <v>68</v>
      </c>
      <c r="D21" s="15" t="s">
        <v>69</v>
      </c>
      <c r="E21" s="15" t="s">
        <v>70</v>
      </c>
      <c r="F21" s="15" t="s">
        <v>71</v>
      </c>
      <c r="K21" s="14" t="s">
        <v>64</v>
      </c>
      <c r="L21" s="14">
        <v>6</v>
      </c>
      <c r="M21" s="11"/>
      <c r="V21" t="s">
        <v>65</v>
      </c>
    </row>
    <row r="22" spans="1:30" x14ac:dyDescent="0.25">
      <c r="A22" s="9" t="s">
        <v>72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67</v>
      </c>
      <c r="X22" s="16" t="s">
        <v>68</v>
      </c>
      <c r="Y22" s="16" t="s">
        <v>69</v>
      </c>
      <c r="Z22" s="16" t="s">
        <v>70</v>
      </c>
      <c r="AA22" s="16" t="s">
        <v>71</v>
      </c>
    </row>
    <row r="23" spans="1:30" ht="15.75" thickBot="1" x14ac:dyDescent="0.3">
      <c r="A23" s="9" t="s">
        <v>73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65</v>
      </c>
      <c r="V23" s="11" t="s">
        <v>72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74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67</v>
      </c>
      <c r="M24" s="16"/>
      <c r="N24" s="16" t="s">
        <v>68</v>
      </c>
      <c r="O24" s="16" t="s">
        <v>69</v>
      </c>
      <c r="P24" s="16" t="s">
        <v>70</v>
      </c>
      <c r="Q24" s="16" t="s">
        <v>71</v>
      </c>
      <c r="V24" s="11" t="s">
        <v>73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72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74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75</v>
      </c>
      <c r="C26" s="15" t="s">
        <v>63</v>
      </c>
      <c r="D26" s="15" t="s">
        <v>76</v>
      </c>
      <c r="E26" s="15" t="s">
        <v>77</v>
      </c>
      <c r="F26" s="15" t="s">
        <v>78</v>
      </c>
      <c r="G26" s="15" t="s">
        <v>79</v>
      </c>
      <c r="H26" s="15" t="s">
        <v>80</v>
      </c>
      <c r="I26" s="15" t="s">
        <v>81</v>
      </c>
      <c r="J26" s="17"/>
      <c r="K26" s="11" t="s">
        <v>73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82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74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75</v>
      </c>
      <c r="X27" s="16" t="s">
        <v>63</v>
      </c>
      <c r="Y27" s="16" t="s">
        <v>76</v>
      </c>
      <c r="Z27" s="16" t="s">
        <v>77</v>
      </c>
      <c r="AA27" s="16" t="s">
        <v>78</v>
      </c>
      <c r="AB27" s="16" t="s">
        <v>79</v>
      </c>
      <c r="AC27" s="16" t="s">
        <v>80</v>
      </c>
      <c r="AD27" s="16" t="s">
        <v>81</v>
      </c>
    </row>
    <row r="28" spans="1:30" ht="15.75" customHeight="1" thickBot="1" x14ac:dyDescent="0.3">
      <c r="A28" s="13" t="s">
        <v>83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82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75</v>
      </c>
      <c r="M29" s="16"/>
      <c r="N29" s="16" t="s">
        <v>63</v>
      </c>
      <c r="O29" s="16" t="s">
        <v>76</v>
      </c>
      <c r="P29" s="16" t="s">
        <v>77</v>
      </c>
      <c r="Q29" s="16" t="s">
        <v>78</v>
      </c>
      <c r="R29" s="16" t="s">
        <v>79</v>
      </c>
      <c r="S29" s="16" t="s">
        <v>80</v>
      </c>
      <c r="T29" s="16" t="s">
        <v>81</v>
      </c>
      <c r="V29" s="14" t="s">
        <v>83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82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83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84</v>
      </c>
    </row>
    <row r="33" spans="1:24" ht="15.75" thickBot="1" x14ac:dyDescent="0.3">
      <c r="V33" t="s">
        <v>84</v>
      </c>
    </row>
    <row r="34" spans="1:24" ht="15.75" thickBot="1" x14ac:dyDescent="0.3">
      <c r="A34" s="15" t="s">
        <v>85</v>
      </c>
      <c r="B34" s="15" t="s">
        <v>86</v>
      </c>
      <c r="C34" s="15" t="s">
        <v>87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84</v>
      </c>
      <c r="V35" s="16" t="s">
        <v>85</v>
      </c>
      <c r="W35" s="16" t="s">
        <v>86</v>
      </c>
      <c r="X35" s="16" t="s">
        <v>87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85</v>
      </c>
      <c r="L37" s="16" t="s">
        <v>86</v>
      </c>
      <c r="M37" s="16"/>
      <c r="N37" s="16" t="s">
        <v>87</v>
      </c>
      <c r="O37" s="19" t="s">
        <v>88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89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55</v>
      </c>
      <c r="B44" t="s">
        <v>90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59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60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61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62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63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64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65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67</v>
      </c>
      <c r="C54" s="16" t="s">
        <v>68</v>
      </c>
      <c r="D54" s="16" t="s">
        <v>69</v>
      </c>
      <c r="E54" s="16" t="s">
        <v>70</v>
      </c>
      <c r="F54" s="16" t="s">
        <v>71</v>
      </c>
      <c r="G54"/>
      <c r="H54"/>
      <c r="I54"/>
    </row>
    <row r="55" spans="1:10" x14ac:dyDescent="0.25">
      <c r="A55" s="11" t="s">
        <v>72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73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74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75</v>
      </c>
      <c r="C59" s="16" t="s">
        <v>63</v>
      </c>
      <c r="D59" s="16" t="s">
        <v>76</v>
      </c>
      <c r="E59" s="16" t="s">
        <v>77</v>
      </c>
      <c r="F59" s="16" t="s">
        <v>78</v>
      </c>
      <c r="G59" s="16" t="s">
        <v>79</v>
      </c>
      <c r="H59" s="16" t="s">
        <v>80</v>
      </c>
      <c r="I59" s="16" t="s">
        <v>81</v>
      </c>
      <c r="J59" s="17"/>
    </row>
    <row r="60" spans="1:10" x14ac:dyDescent="0.25">
      <c r="A60" s="11" t="s">
        <v>82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83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84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85</v>
      </c>
      <c r="B67" s="16" t="s">
        <v>86</v>
      </c>
      <c r="C67" s="16" t="s">
        <v>87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31" workbookViewId="0">
      <selection activeCell="I26" sqref="I26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4">
        <v>42563.40347222222</v>
      </c>
      <c r="B2" t="s">
        <v>114</v>
      </c>
      <c r="C2">
        <v>1369</v>
      </c>
      <c r="D2">
        <v>1.71</v>
      </c>
      <c r="E2">
        <v>0.03</v>
      </c>
      <c r="F2">
        <v>10.55</v>
      </c>
    </row>
    <row r="3" spans="1:6" x14ac:dyDescent="0.25">
      <c r="A3" s="24">
        <v>42563.40347222222</v>
      </c>
      <c r="B3" t="s">
        <v>115</v>
      </c>
      <c r="C3">
        <v>1371.7</v>
      </c>
      <c r="D3">
        <v>1.71</v>
      </c>
      <c r="E3">
        <v>0.04</v>
      </c>
      <c r="F3">
        <v>21.18</v>
      </c>
    </row>
    <row r="4" spans="1:6" x14ac:dyDescent="0.25">
      <c r="A4" s="24">
        <v>42563.40347222222</v>
      </c>
      <c r="B4" t="s">
        <v>116</v>
      </c>
      <c r="C4">
        <v>1328.3</v>
      </c>
      <c r="D4">
        <v>1.74</v>
      </c>
      <c r="E4">
        <v>7.0000000000000007E-2</v>
      </c>
      <c r="F4">
        <v>31.85</v>
      </c>
    </row>
    <row r="5" spans="1:6" x14ac:dyDescent="0.25">
      <c r="A5" s="24">
        <v>42563.40347222222</v>
      </c>
      <c r="B5" t="s">
        <v>117</v>
      </c>
      <c r="C5">
        <v>1269.9000000000001</v>
      </c>
      <c r="D5">
        <v>1.77</v>
      </c>
      <c r="E5">
        <v>0.06</v>
      </c>
      <c r="F5">
        <v>42.51</v>
      </c>
    </row>
    <row r="6" spans="1:6" x14ac:dyDescent="0.25">
      <c r="A6" s="24">
        <v>42563.40347222222</v>
      </c>
      <c r="B6" t="s">
        <v>118</v>
      </c>
      <c r="C6">
        <v>15545.1</v>
      </c>
      <c r="D6">
        <v>1.6</v>
      </c>
      <c r="E6">
        <v>0.03</v>
      </c>
      <c r="F6">
        <v>53.15</v>
      </c>
    </row>
    <row r="7" spans="1:6" x14ac:dyDescent="0.25">
      <c r="A7" s="24">
        <v>42563.40347222222</v>
      </c>
      <c r="B7" t="s">
        <v>120</v>
      </c>
      <c r="C7">
        <v>1327.9</v>
      </c>
      <c r="D7">
        <v>1.74</v>
      </c>
      <c r="E7">
        <v>0.04</v>
      </c>
      <c r="F7">
        <v>6.8</v>
      </c>
    </row>
    <row r="8" spans="1:6" x14ac:dyDescent="0.25">
      <c r="A8" s="24">
        <v>42563.40347222222</v>
      </c>
      <c r="B8" t="s">
        <v>121</v>
      </c>
      <c r="C8">
        <v>1265.5999999999999</v>
      </c>
      <c r="D8">
        <v>1.78</v>
      </c>
      <c r="E8">
        <v>0.03</v>
      </c>
      <c r="F8">
        <v>74.44</v>
      </c>
    </row>
    <row r="9" spans="1:6" x14ac:dyDescent="0.25">
      <c r="A9" s="24">
        <v>42563.40347222222</v>
      </c>
      <c r="B9" t="s">
        <v>122</v>
      </c>
      <c r="C9">
        <v>1401.2</v>
      </c>
      <c r="D9">
        <v>1.69</v>
      </c>
      <c r="E9">
        <v>0.03</v>
      </c>
      <c r="F9">
        <v>85.08</v>
      </c>
    </row>
    <row r="10" spans="1:6" x14ac:dyDescent="0.25">
      <c r="A10" s="24">
        <v>42563.40347222222</v>
      </c>
      <c r="B10" t="s">
        <v>119</v>
      </c>
      <c r="C10">
        <v>1371</v>
      </c>
      <c r="D10">
        <v>1.71</v>
      </c>
      <c r="E10">
        <v>0.03</v>
      </c>
      <c r="F10">
        <v>95.72</v>
      </c>
    </row>
    <row r="11" spans="1:6" x14ac:dyDescent="0.25">
      <c r="A11" s="24">
        <v>42563.40347222222</v>
      </c>
      <c r="B11" t="s">
        <v>123</v>
      </c>
      <c r="C11">
        <v>1801.5</v>
      </c>
      <c r="D11">
        <v>1.49</v>
      </c>
      <c r="E11">
        <v>0.02</v>
      </c>
      <c r="F11">
        <v>106.36</v>
      </c>
    </row>
    <row r="12" spans="1:6" x14ac:dyDescent="0.25">
      <c r="A12" s="24">
        <v>42563.40347222222</v>
      </c>
      <c r="B12" t="s">
        <v>124</v>
      </c>
      <c r="C12">
        <v>1316.9</v>
      </c>
      <c r="D12">
        <v>1.74</v>
      </c>
      <c r="E12">
        <v>0.03</v>
      </c>
      <c r="F12">
        <v>117.01</v>
      </c>
    </row>
    <row r="13" spans="1:6" x14ac:dyDescent="0.25">
      <c r="A13" s="24">
        <v>42563.40347222222</v>
      </c>
      <c r="B13" t="s">
        <v>125</v>
      </c>
      <c r="C13">
        <v>1335.3</v>
      </c>
      <c r="D13">
        <v>1.73</v>
      </c>
      <c r="E13">
        <v>0.02</v>
      </c>
      <c r="F13">
        <v>127.66</v>
      </c>
    </row>
    <row r="14" spans="1:6" x14ac:dyDescent="0.25">
      <c r="A14" s="24">
        <v>42563.40347222222</v>
      </c>
      <c r="B14" t="s">
        <v>126</v>
      </c>
      <c r="C14">
        <v>1832.9</v>
      </c>
      <c r="D14">
        <v>1.48</v>
      </c>
      <c r="E14">
        <v>0.01</v>
      </c>
      <c r="F14">
        <v>138.4</v>
      </c>
    </row>
    <row r="15" spans="1:6" x14ac:dyDescent="0.25">
      <c r="A15" s="24">
        <v>42563.40347222222</v>
      </c>
      <c r="B15" t="s">
        <v>127</v>
      </c>
      <c r="C15">
        <v>1580.2</v>
      </c>
      <c r="D15">
        <v>1.59</v>
      </c>
      <c r="E15">
        <v>0.03</v>
      </c>
      <c r="F15">
        <v>149.05000000000001</v>
      </c>
    </row>
    <row r="16" spans="1:6" x14ac:dyDescent="0.25">
      <c r="A16" s="24">
        <v>42563.40347222222</v>
      </c>
      <c r="B16" t="s">
        <v>128</v>
      </c>
      <c r="C16">
        <v>1869</v>
      </c>
      <c r="D16">
        <v>1.46</v>
      </c>
      <c r="E16">
        <v>0.02</v>
      </c>
      <c r="F16">
        <v>159.71</v>
      </c>
    </row>
    <row r="17" spans="1:6" x14ac:dyDescent="0.25">
      <c r="A17" s="24">
        <v>42563.40347222222</v>
      </c>
      <c r="B17" t="s">
        <v>129</v>
      </c>
      <c r="C17">
        <v>5713.3</v>
      </c>
      <c r="D17">
        <v>0.84</v>
      </c>
      <c r="E17">
        <v>0.01</v>
      </c>
      <c r="F17">
        <v>170.38</v>
      </c>
    </row>
    <row r="18" spans="1:6" x14ac:dyDescent="0.25">
      <c r="A18" s="24">
        <v>42563.40347222222</v>
      </c>
      <c r="B18" t="s">
        <v>130</v>
      </c>
      <c r="C18">
        <v>6384</v>
      </c>
      <c r="D18">
        <v>0.79</v>
      </c>
      <c r="E18">
        <v>0</v>
      </c>
      <c r="F18">
        <v>181.04</v>
      </c>
    </row>
    <row r="19" spans="1:6" x14ac:dyDescent="0.25">
      <c r="A19" s="24">
        <v>42563.40347222222</v>
      </c>
      <c r="B19" t="s">
        <v>131</v>
      </c>
      <c r="C19">
        <v>6174.9</v>
      </c>
      <c r="D19">
        <v>0.8</v>
      </c>
      <c r="E19">
        <v>0</v>
      </c>
      <c r="F19">
        <v>191.69</v>
      </c>
    </row>
    <row r="20" spans="1:6" x14ac:dyDescent="0.25">
      <c r="A20" s="24">
        <v>42564.415972222225</v>
      </c>
      <c r="B20" t="s">
        <v>114</v>
      </c>
      <c r="C20">
        <v>1366.2</v>
      </c>
      <c r="D20">
        <v>1.71</v>
      </c>
      <c r="E20">
        <v>0.01</v>
      </c>
      <c r="F20">
        <v>10.52</v>
      </c>
    </row>
    <row r="21" spans="1:6" x14ac:dyDescent="0.25">
      <c r="A21" s="24">
        <v>42564.415972222225</v>
      </c>
      <c r="B21" t="s">
        <v>115</v>
      </c>
      <c r="C21">
        <v>1350.1</v>
      </c>
      <c r="D21">
        <v>1.72</v>
      </c>
      <c r="E21">
        <v>0.02</v>
      </c>
      <c r="F21">
        <v>21.15</v>
      </c>
    </row>
    <row r="22" spans="1:6" x14ac:dyDescent="0.25">
      <c r="A22" s="24">
        <v>42564.415972222225</v>
      </c>
      <c r="B22" t="s">
        <v>116</v>
      </c>
      <c r="C22">
        <v>1332.1</v>
      </c>
      <c r="D22">
        <v>1.73</v>
      </c>
      <c r="E22">
        <v>0.03</v>
      </c>
      <c r="F22">
        <v>31.8</v>
      </c>
    </row>
    <row r="23" spans="1:6" x14ac:dyDescent="0.25">
      <c r="A23" s="24">
        <v>42564.415972222225</v>
      </c>
      <c r="B23" t="s">
        <v>117</v>
      </c>
      <c r="C23">
        <v>1259.9000000000001</v>
      </c>
      <c r="D23">
        <v>1.78</v>
      </c>
      <c r="E23">
        <v>0.03</v>
      </c>
      <c r="F23">
        <v>42.43</v>
      </c>
    </row>
    <row r="24" spans="1:6" x14ac:dyDescent="0.25">
      <c r="A24" s="24">
        <v>42564.415972222225</v>
      </c>
      <c r="B24" t="s">
        <v>118</v>
      </c>
      <c r="C24">
        <v>1549.2</v>
      </c>
      <c r="D24">
        <v>1.61</v>
      </c>
      <c r="E24">
        <v>0.01</v>
      </c>
      <c r="F24">
        <v>53.07</v>
      </c>
    </row>
    <row r="25" spans="1:6" x14ac:dyDescent="0.25">
      <c r="A25" s="24">
        <v>42564.415972222225</v>
      </c>
      <c r="B25" t="s">
        <v>120</v>
      </c>
      <c r="C25">
        <v>1346.8</v>
      </c>
      <c r="D25">
        <v>1.72</v>
      </c>
      <c r="E25">
        <v>0.02</v>
      </c>
      <c r="F25">
        <v>63.71</v>
      </c>
    </row>
    <row r="26" spans="1:6" x14ac:dyDescent="0.25">
      <c r="A26" s="24">
        <v>42564.415972222225</v>
      </c>
      <c r="B26" t="s">
        <v>121</v>
      </c>
      <c r="C26">
        <v>1245</v>
      </c>
      <c r="D26">
        <v>1.79</v>
      </c>
      <c r="E26">
        <v>0.02</v>
      </c>
      <c r="F26">
        <v>74.34</v>
      </c>
    </row>
    <row r="27" spans="1:6" x14ac:dyDescent="0.25">
      <c r="A27" s="24">
        <v>42564.415972222225</v>
      </c>
      <c r="B27" t="s">
        <v>122</v>
      </c>
      <c r="C27">
        <v>1418.8</v>
      </c>
      <c r="D27">
        <v>1.68</v>
      </c>
      <c r="E27">
        <v>0.01</v>
      </c>
      <c r="F27">
        <v>84.97</v>
      </c>
    </row>
    <row r="28" spans="1:6" x14ac:dyDescent="0.25">
      <c r="A28" s="24">
        <v>42564.415972222225</v>
      </c>
      <c r="B28" t="s">
        <v>119</v>
      </c>
      <c r="C28">
        <v>1326.6</v>
      </c>
      <c r="D28">
        <v>1.74</v>
      </c>
      <c r="E28">
        <v>0.02</v>
      </c>
      <c r="F28">
        <v>95.61</v>
      </c>
    </row>
    <row r="29" spans="1:6" x14ac:dyDescent="0.25">
      <c r="A29" s="24">
        <v>42564.415972222225</v>
      </c>
      <c r="B29" t="s">
        <v>123</v>
      </c>
      <c r="C29">
        <v>1811.5</v>
      </c>
      <c r="D29">
        <v>1.49</v>
      </c>
      <c r="E29">
        <v>0.01</v>
      </c>
      <c r="F29">
        <v>106.24</v>
      </c>
    </row>
    <row r="30" spans="1:6" x14ac:dyDescent="0.25">
      <c r="A30" s="24">
        <v>42564.415972222225</v>
      </c>
      <c r="B30" t="s">
        <v>124</v>
      </c>
      <c r="C30">
        <v>1306.0999999999999</v>
      </c>
      <c r="D30">
        <v>1.75</v>
      </c>
      <c r="E30">
        <v>0.02</v>
      </c>
      <c r="F30">
        <v>116.87</v>
      </c>
    </row>
    <row r="31" spans="1:6" x14ac:dyDescent="0.25">
      <c r="A31" s="24">
        <v>42564.415972222225</v>
      </c>
      <c r="B31" t="s">
        <v>125</v>
      </c>
      <c r="C31">
        <v>1345.1</v>
      </c>
      <c r="D31">
        <v>1.72</v>
      </c>
      <c r="E31">
        <v>0.01</v>
      </c>
      <c r="F31">
        <v>127.52</v>
      </c>
    </row>
    <row r="32" spans="1:6" x14ac:dyDescent="0.25">
      <c r="A32" s="24">
        <v>42564.415972222225</v>
      </c>
      <c r="B32" t="s">
        <v>126</v>
      </c>
      <c r="C32">
        <v>1843.9</v>
      </c>
      <c r="D32">
        <v>1.47</v>
      </c>
      <c r="E32">
        <v>0.01</v>
      </c>
      <c r="F32">
        <v>138.25</v>
      </c>
    </row>
    <row r="33" spans="1:6" x14ac:dyDescent="0.25">
      <c r="A33" s="24">
        <v>42564.415972222225</v>
      </c>
      <c r="B33" t="s">
        <v>127</v>
      </c>
      <c r="C33">
        <v>1578.7</v>
      </c>
      <c r="D33">
        <v>1.59</v>
      </c>
      <c r="E33">
        <v>0.01</v>
      </c>
      <c r="F33">
        <v>148.88999999999999</v>
      </c>
    </row>
    <row r="34" spans="1:6" x14ac:dyDescent="0.25">
      <c r="A34" s="24">
        <v>42564.415972222225</v>
      </c>
      <c r="B34" t="s">
        <v>128</v>
      </c>
      <c r="C34">
        <v>1809.5</v>
      </c>
      <c r="D34">
        <v>1.49</v>
      </c>
      <c r="E34">
        <v>0.01</v>
      </c>
      <c r="F34">
        <v>159.54</v>
      </c>
    </row>
    <row r="35" spans="1:6" x14ac:dyDescent="0.25">
      <c r="A35" s="24">
        <v>42564.415972222225</v>
      </c>
      <c r="B35" t="s">
        <v>129</v>
      </c>
      <c r="C35">
        <v>5732.4</v>
      </c>
      <c r="D35">
        <v>0.84</v>
      </c>
      <c r="E35">
        <v>0.01</v>
      </c>
      <c r="F35">
        <v>170.2</v>
      </c>
    </row>
    <row r="36" spans="1:6" x14ac:dyDescent="0.25">
      <c r="A36" s="24">
        <v>42564.415972222225</v>
      </c>
      <c r="B36" t="s">
        <v>130</v>
      </c>
      <c r="C36">
        <v>6421.3</v>
      </c>
      <c r="D36">
        <v>0.79</v>
      </c>
      <c r="E36">
        <v>0</v>
      </c>
      <c r="F36">
        <v>180.87</v>
      </c>
    </row>
    <row r="37" spans="1:6" x14ac:dyDescent="0.25">
      <c r="A37" s="24">
        <v>42564.415972222225</v>
      </c>
      <c r="B37" t="s">
        <v>131</v>
      </c>
      <c r="C37">
        <v>6129.3</v>
      </c>
      <c r="D37">
        <v>0.81</v>
      </c>
      <c r="E37">
        <v>0</v>
      </c>
      <c r="F37">
        <v>191.52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H22" sqref="H22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104</v>
      </c>
      <c r="C1" t="s">
        <v>23</v>
      </c>
      <c r="D1" t="s">
        <v>21</v>
      </c>
      <c r="E1" t="s">
        <v>101</v>
      </c>
      <c r="F1" t="s">
        <v>102</v>
      </c>
      <c r="G1" t="s">
        <v>103</v>
      </c>
    </row>
    <row r="2" spans="1:7" x14ac:dyDescent="0.25">
      <c r="A2" t="s">
        <v>114</v>
      </c>
      <c r="B2" s="21" t="s">
        <v>105</v>
      </c>
      <c r="C2">
        <v>22.793333333333301</v>
      </c>
      <c r="D2">
        <v>0.389766</v>
      </c>
      <c r="E2" s="1" t="s">
        <v>54</v>
      </c>
      <c r="F2" s="1">
        <f>'Calibration Data'!$B$28*'Count-&gt;Actual Activity'!C2+'Calibration Data'!$B$27</f>
        <v>4.9816656759404694</v>
      </c>
      <c r="G2" s="23">
        <f>'Calibration Data'!$L$20/'Calibration Data'!$L$31*SQRT(1/'Calibration Data'!$L$21+1+('Count-&gt;Actual Activity'!F2-AVERAGE('Calibration Data'!$F$3:$F$8))^2/('Calibration Data'!$L$31^2*'Calibration Data'!$J$9))</f>
        <v>0.23298037390539131</v>
      </c>
    </row>
    <row r="3" spans="1:7" x14ac:dyDescent="0.25">
      <c r="A3" t="s">
        <v>115</v>
      </c>
      <c r="B3" s="21" t="s">
        <v>105</v>
      </c>
      <c r="C3">
        <v>22.6816666666667</v>
      </c>
      <c r="D3">
        <v>0.38899058333333297</v>
      </c>
      <c r="E3" s="1" t="s">
        <v>54</v>
      </c>
      <c r="F3" s="1">
        <f>'Calibration Data'!$B$28*'Count-&gt;Actual Activity'!C3+'Calibration Data'!$B$27</f>
        <v>4.9572182460560992</v>
      </c>
      <c r="G3" s="23">
        <f>'Calibration Data'!$L$20/'Calibration Data'!$L$31*SQRT(1/'Calibration Data'!$L$21+1+('Count-&gt;Actual Activity'!F3-AVERAGE('Calibration Data'!$F$3:$F$8))^2/('Calibration Data'!$L$31^2*'Calibration Data'!$J$9))</f>
        <v>0.23298035643389295</v>
      </c>
    </row>
    <row r="4" spans="1:7" x14ac:dyDescent="0.25">
      <c r="A4" t="s">
        <v>116</v>
      </c>
      <c r="B4" s="21" t="s">
        <v>105</v>
      </c>
      <c r="C4">
        <v>22.17</v>
      </c>
      <c r="D4">
        <v>0.38464949999999998</v>
      </c>
      <c r="E4" s="1" t="s">
        <v>54</v>
      </c>
      <c r="F4" s="1">
        <f>'Calibration Data'!$B$28*'Count-&gt;Actual Activity'!C4+'Calibration Data'!$B$27</f>
        <v>4.8451979330037638</v>
      </c>
      <c r="G4" s="23">
        <f>'Calibration Data'!$L$20/'Calibration Data'!$L$31*SQRT(1/'Calibration Data'!$L$21+1+('Count-&gt;Actual Activity'!F4-AVERAGE('Calibration Data'!$F$3:$F$8))^2/('Calibration Data'!$L$31^2*'Calibration Data'!$J$9))</f>
        <v>0.2329802774981565</v>
      </c>
    </row>
    <row r="5" spans="1:7" x14ac:dyDescent="0.25">
      <c r="A5" t="s">
        <v>117</v>
      </c>
      <c r="B5" s="21" t="s">
        <v>105</v>
      </c>
      <c r="C5">
        <v>21.081666666666699</v>
      </c>
      <c r="D5">
        <v>0.37419958333333297</v>
      </c>
      <c r="E5" s="1" t="s">
        <v>54</v>
      </c>
      <c r="F5" s="1">
        <f>'Calibration Data'!$B$28*'Count-&gt;Actual Activity'!C5+'Calibration Data'!$B$27</f>
        <v>4.6069267133843219</v>
      </c>
      <c r="G5" s="23">
        <f>'Calibration Data'!$L$20/'Calibration Data'!$L$31*SQRT(1/'Calibration Data'!$L$21+1+('Count-&gt;Actual Activity'!F5-AVERAGE('Calibration Data'!$F$3:$F$8))^2/('Calibration Data'!$L$31^2*'Calibration Data'!$J$9))</f>
        <v>0.23298011571524416</v>
      </c>
    </row>
    <row r="6" spans="1:7" x14ac:dyDescent="0.25">
      <c r="A6" t="s">
        <v>118</v>
      </c>
      <c r="B6" s="21" t="s">
        <v>105</v>
      </c>
      <c r="C6">
        <v>142.45249999999999</v>
      </c>
      <c r="D6">
        <v>2.2863626250000002</v>
      </c>
      <c r="E6" s="1" t="s">
        <v>54</v>
      </c>
      <c r="F6" s="1">
        <f>'Calibration Data'!$B$28*'Count-&gt;Actual Activity'!C6+'Calibration Data'!$B$27</f>
        <v>31.178911232124424</v>
      </c>
      <c r="G6" s="23">
        <f>'Calibration Data'!$L$20/'Calibration Data'!$L$31*SQRT(1/'Calibration Data'!$L$21+1+('Count-&gt;Actual Activity'!F6-AVERAGE('Calibration Data'!$F$3:$F$8))^2/('Calibration Data'!$L$31^2*'Calibration Data'!$J$9))</f>
        <v>0.23304942468540124</v>
      </c>
    </row>
    <row r="7" spans="1:7" x14ac:dyDescent="0.25">
      <c r="A7" t="s">
        <v>120</v>
      </c>
      <c r="B7" s="21" t="s">
        <v>105</v>
      </c>
      <c r="C7">
        <v>22.289166666666699</v>
      </c>
      <c r="D7">
        <v>0.38560258333333303</v>
      </c>
      <c r="E7" s="1" t="s">
        <v>54</v>
      </c>
      <c r="F7" s="1">
        <f>'Calibration Data'!$B$28*'Count-&gt;Actual Activity'!C7+'Calibration Data'!$B$27</f>
        <v>4.8712873544475537</v>
      </c>
      <c r="G7" s="23">
        <f>'Calibration Data'!$L$20/'Calibration Data'!$L$31*SQRT(1/'Calibration Data'!$L$21+1+('Count-&gt;Actual Activity'!F7-AVERAGE('Calibration Data'!$F$3:$F$8))^2/('Calibration Data'!$L$31^2*'Calibration Data'!$J$9))</f>
        <v>0.23298029571792817</v>
      </c>
    </row>
    <row r="8" spans="1:7" ht="15.75" customHeight="1" x14ac:dyDescent="0.25">
      <c r="A8" t="s">
        <v>121</v>
      </c>
      <c r="B8" s="21" t="s">
        <v>105</v>
      </c>
      <c r="C8">
        <v>20.921666666666699</v>
      </c>
      <c r="D8">
        <v>0.37345175000000003</v>
      </c>
      <c r="E8" s="1" t="s">
        <v>54</v>
      </c>
      <c r="F8" s="1">
        <f>'Calibration Data'!$B$28*'Count-&gt;Actual Activity'!C8+'Calibration Data'!$B$27</f>
        <v>4.5718975601171437</v>
      </c>
      <c r="G8" s="23">
        <f>'Calibration Data'!$L$20/'Calibration Data'!$L$31*SQRT(1/'Calibration Data'!$L$21+1+('Count-&gt;Actual Activity'!F8-AVERAGE('Calibration Data'!$F$3:$F$8))^2/('Calibration Data'!$L$31^2*'Calibration Data'!$J$9))</f>
        <v>0.23298009263246677</v>
      </c>
    </row>
    <row r="9" spans="1:7" x14ac:dyDescent="0.25">
      <c r="A9" t="s">
        <v>122</v>
      </c>
      <c r="B9" s="21" t="s">
        <v>105</v>
      </c>
      <c r="C9">
        <v>23.5</v>
      </c>
      <c r="D9">
        <v>0.39597500000000002</v>
      </c>
      <c r="E9" s="1" t="s">
        <v>54</v>
      </c>
      <c r="F9" s="1">
        <f>'Calibration Data'!$B$28*'Count-&gt;Actual Activity'!C9+'Calibration Data'!$B$27</f>
        <v>5.1363777695371784</v>
      </c>
      <c r="G9" s="23">
        <f>'Calibration Data'!$L$20/'Calibration Data'!$L$31*SQRT(1/'Calibration Data'!$L$21+1+('Count-&gt;Actual Activity'!F9-AVERAGE('Calibration Data'!$F$3:$F$8))^2/('Calibration Data'!$L$31^2*'Calibration Data'!$J$9))</f>
        <v>0.23298048650245881</v>
      </c>
    </row>
    <row r="10" spans="1:7" x14ac:dyDescent="0.25">
      <c r="A10" t="s">
        <v>119</v>
      </c>
      <c r="B10" s="21" t="s">
        <v>105</v>
      </c>
      <c r="C10">
        <v>22.48</v>
      </c>
      <c r="D10">
        <v>0.38778000000000001</v>
      </c>
      <c r="E10" s="1" t="s">
        <v>54</v>
      </c>
      <c r="F10" s="1">
        <f>'Calibration Data'!$B$28*'Count-&gt;Actual Activity'!C10+'Calibration Data'!$B$27</f>
        <v>4.9130669174589201</v>
      </c>
      <c r="G10" s="23">
        <f>'Calibration Data'!$L$20/'Calibration Data'!$L$31*SQRT(1/'Calibration Data'!$L$21+1+('Count-&gt;Actual Activity'!F10-AVERAGE('Calibration Data'!$F$3:$F$8))^2/('Calibration Data'!$L$31^2*'Calibration Data'!$J$9))</f>
        <v>0.23298032510283156</v>
      </c>
    </row>
    <row r="11" spans="1:7" x14ac:dyDescent="0.25">
      <c r="A11" t="s">
        <v>123</v>
      </c>
      <c r="B11" s="21" t="s">
        <v>105</v>
      </c>
      <c r="C11">
        <v>30.108333333333299</v>
      </c>
      <c r="D11">
        <v>0.44861416666666698</v>
      </c>
      <c r="E11" s="1" t="s">
        <v>54</v>
      </c>
      <c r="F11" s="1">
        <f>'Calibration Data'!$B$28*'Count-&gt;Actual Activity'!C11+'Calibration Data'!$B$27</f>
        <v>6.5831547768742507</v>
      </c>
      <c r="G11" s="23">
        <f>'Calibration Data'!$L$20/'Calibration Data'!$L$31*SQRT(1/'Calibration Data'!$L$21+1+('Count-&gt;Actual Activity'!F11-AVERAGE('Calibration Data'!$F$3:$F$8))^2/('Calibration Data'!$L$31^2*'Calibration Data'!$J$9))</f>
        <v>0.23298170923149206</v>
      </c>
    </row>
    <row r="12" spans="1:7" x14ac:dyDescent="0.25">
      <c r="A12" t="s">
        <v>124</v>
      </c>
      <c r="B12" s="21" t="s">
        <v>105</v>
      </c>
      <c r="C12">
        <v>21.858333333333299</v>
      </c>
      <c r="D12">
        <v>0.38142791666666698</v>
      </c>
      <c r="E12" s="1" t="s">
        <v>54</v>
      </c>
      <c r="F12" s="1">
        <f>'Calibration Data'!$B$28*'Count-&gt;Actual Activity'!C12+'Calibration Data'!$B$27</f>
        <v>4.7769640615353985</v>
      </c>
      <c r="G12" s="23">
        <f>'Calibration Data'!$L$20/'Calibration Data'!$L$31*SQRT(1/'Calibration Data'!$L$21+1+('Count-&gt;Actual Activity'!F12-AVERAGE('Calibration Data'!$F$3:$F$8))^2/('Calibration Data'!$L$31^2*'Calibration Data'!$J$9))</f>
        <v>0.2329802303180758</v>
      </c>
    </row>
    <row r="13" spans="1:7" x14ac:dyDescent="0.25">
      <c r="A13" t="s">
        <v>125</v>
      </c>
      <c r="B13" s="21" t="s">
        <v>105</v>
      </c>
      <c r="C13">
        <v>22.336666666666702</v>
      </c>
      <c r="D13">
        <v>0.38530750000000002</v>
      </c>
      <c r="E13" s="1" t="s">
        <v>54</v>
      </c>
      <c r="F13" s="1">
        <f>'Calibration Data'!$B$28*'Count-&gt;Actual Activity'!C13+'Calibration Data'!$B$27</f>
        <v>4.8816866343237475</v>
      </c>
      <c r="G13" s="23">
        <f>'Calibration Data'!$L$20/'Calibration Data'!$L$31*SQRT(1/'Calibration Data'!$L$21+1+('Count-&gt;Actual Activity'!F13-AVERAGE('Calibration Data'!$F$3:$F$8))^2/('Calibration Data'!$L$31^2*'Calibration Data'!$J$9))</f>
        <v>0.232980303008161</v>
      </c>
    </row>
    <row r="14" spans="1:7" x14ac:dyDescent="0.25">
      <c r="A14" t="s">
        <v>126</v>
      </c>
      <c r="B14" s="21" t="s">
        <v>105</v>
      </c>
      <c r="C14">
        <v>30.64</v>
      </c>
      <c r="D14">
        <v>0.45194000000000001</v>
      </c>
      <c r="E14" s="1" t="s">
        <v>54</v>
      </c>
      <c r="F14" s="1">
        <f>'Calibration Data'!$B$28*'Count-&gt;Actual Activity'!C14+'Calibration Data'!$B$27</f>
        <v>6.6995537340849847</v>
      </c>
      <c r="G14" s="23">
        <f>'Calibration Data'!$L$20/'Calibration Data'!$L$31*SQRT(1/'Calibration Data'!$L$21+1+('Count-&gt;Actual Activity'!F14-AVERAGE('Calibration Data'!$F$3:$F$8))^2/('Calibration Data'!$L$31^2*'Calibration Data'!$J$9))</f>
        <v>0.23298182093806946</v>
      </c>
    </row>
    <row r="15" spans="1:7" x14ac:dyDescent="0.25">
      <c r="A15" t="s">
        <v>127</v>
      </c>
      <c r="B15" s="21" t="s">
        <v>105</v>
      </c>
      <c r="C15">
        <v>26.324166666666699</v>
      </c>
      <c r="D15">
        <v>0.41855425000000002</v>
      </c>
      <c r="E15" s="1" t="s">
        <v>54</v>
      </c>
      <c r="F15" s="1">
        <f>'Calibration Data'!$B$28*'Count-&gt;Actual Activity'!C15+'Calibration Data'!$B$27</f>
        <v>5.7546788134041922</v>
      </c>
      <c r="G15" s="23">
        <f>'Calibration Data'!$L$20/'Calibration Data'!$L$31*SQRT(1/'Calibration Data'!$L$21+1+('Count-&gt;Actual Activity'!F15-AVERAGE('Calibration Data'!$F$3:$F$8))^2/('Calibration Data'!$L$31^2*'Calibration Data'!$J$9))</f>
        <v>0.23298097151651162</v>
      </c>
    </row>
    <row r="16" spans="1:7" x14ac:dyDescent="0.25">
      <c r="A16" t="s">
        <v>128</v>
      </c>
      <c r="B16" s="21" t="s">
        <v>105</v>
      </c>
      <c r="C16">
        <v>30.654166666666701</v>
      </c>
      <c r="D16">
        <v>0.45214895833333302</v>
      </c>
      <c r="E16" s="1" t="s">
        <v>54</v>
      </c>
      <c r="F16" s="1">
        <f>'Calibration Data'!$B$28*'Count-&gt;Actual Activity'!C16+'Calibration Data'!$B$27</f>
        <v>6.7026552736971903</v>
      </c>
      <c r="G16" s="23">
        <f>'Calibration Data'!$L$20/'Calibration Data'!$L$31*SQRT(1/'Calibration Data'!$L$21+1+('Count-&gt;Actual Activity'!F16-AVERAGE('Calibration Data'!$F$3:$F$8))^2/('Calibration Data'!$L$31^2*'Calibration Data'!$J$9))</f>
        <v>0.23298182394173644</v>
      </c>
    </row>
    <row r="17" spans="1:7" x14ac:dyDescent="0.25">
      <c r="A17" t="s">
        <v>129</v>
      </c>
      <c r="B17" s="21" t="s">
        <v>105</v>
      </c>
      <c r="C17">
        <v>95.3808333333333</v>
      </c>
      <c r="D17">
        <v>0.80119899999999999</v>
      </c>
      <c r="E17" s="1" t="s">
        <v>54</v>
      </c>
      <c r="F17" s="1">
        <f>'Calibration Data'!$B$28*'Count-&gt;Actual Activity'!C17+'Calibration Data'!$B$27</f>
        <v>20.87340731832337</v>
      </c>
      <c r="G17" s="23">
        <f>'Calibration Data'!$L$20/'Calibration Data'!$L$31*SQRT(1/'Calibration Data'!$L$21+1+('Count-&gt;Actual Activity'!F17-AVERAGE('Calibration Data'!$F$3:$F$8))^2/('Calibration Data'!$L$31^2*'Calibration Data'!$J$9))</f>
        <v>0.23301026437851405</v>
      </c>
    </row>
    <row r="18" spans="1:7" x14ac:dyDescent="0.25">
      <c r="A18" t="s">
        <v>130</v>
      </c>
      <c r="B18" s="21" t="s">
        <v>105</v>
      </c>
      <c r="C18">
        <v>106.710833333333</v>
      </c>
      <c r="D18">
        <v>0.84301558333333304</v>
      </c>
      <c r="E18" s="1" t="s">
        <v>54</v>
      </c>
      <c r="F18" s="1">
        <f>'Calibration Data'!$B$28*'Count-&gt;Actual Activity'!C18+'Calibration Data'!$B$27</f>
        <v>23.35390923405533</v>
      </c>
      <c r="G18" s="23">
        <f>'Calibration Data'!$L$20/'Calibration Data'!$L$31*SQRT(1/'Calibration Data'!$L$21+1+('Count-&gt;Actual Activity'!F18-AVERAGE('Calibration Data'!$F$3:$F$8))^2/('Calibration Data'!$L$31^2*'Calibration Data'!$J$9))</f>
        <v>0.23301826860762143</v>
      </c>
    </row>
    <row r="19" spans="1:7" x14ac:dyDescent="0.25">
      <c r="A19" t="s">
        <v>131</v>
      </c>
      <c r="B19" s="21" t="s">
        <v>105</v>
      </c>
      <c r="C19">
        <v>102.535</v>
      </c>
      <c r="D19">
        <v>0.82540674999999997</v>
      </c>
      <c r="E19" s="1" t="s">
        <v>54</v>
      </c>
      <c r="F19" s="1">
        <f>'Calibration Data'!$B$28*'Count-&gt;Actual Activity'!C19+'Calibration Data'!$B$27</f>
        <v>22.439684822483382</v>
      </c>
      <c r="G19" s="23">
        <f>'Calibration Data'!$L$20/'Calibration Data'!$L$31*SQRT(1/'Calibration Data'!$L$21+1+('Count-&gt;Actual Activity'!F19-AVERAGE('Calibration Data'!$F$3:$F$8))^2/('Calibration Data'!$L$31^2*'Calibration Data'!$J$9))</f>
        <v>0.23301521364992889</v>
      </c>
    </row>
    <row r="20" spans="1:7" x14ac:dyDescent="0.25">
      <c r="A20" s="21"/>
      <c r="B20" s="22"/>
    </row>
    <row r="21" spans="1:7" x14ac:dyDescent="0.25">
      <c r="A21" s="21"/>
      <c r="B21" s="22"/>
    </row>
    <row r="22" spans="1:7" x14ac:dyDescent="0.25">
      <c r="A22" s="21"/>
      <c r="B22" s="22"/>
    </row>
    <row r="23" spans="1:7" x14ac:dyDescent="0.25">
      <c r="A23" s="21"/>
      <c r="B23" s="22"/>
    </row>
    <row r="24" spans="1:7" x14ac:dyDescent="0.25">
      <c r="A24" s="21"/>
      <c r="B24" s="22"/>
    </row>
    <row r="25" spans="1:7" x14ac:dyDescent="0.25">
      <c r="A25" s="21"/>
      <c r="B25" s="22"/>
    </row>
    <row r="26" spans="1:7" x14ac:dyDescent="0.25">
      <c r="A26" s="21"/>
      <c r="B26" s="22"/>
    </row>
    <row r="27" spans="1:7" x14ac:dyDescent="0.25">
      <c r="A27" s="21"/>
      <c r="B27" s="22"/>
    </row>
    <row r="28" spans="1:7" x14ac:dyDescent="0.25">
      <c r="A28" s="21"/>
      <c r="B28" s="22"/>
    </row>
    <row r="29" spans="1:7" x14ac:dyDescent="0.25">
      <c r="A29" s="21"/>
      <c r="B29" s="22"/>
    </row>
    <row r="30" spans="1:7" x14ac:dyDescent="0.25">
      <c r="A30" s="21"/>
      <c r="B30" s="22"/>
    </row>
    <row r="31" spans="1:7" x14ac:dyDescent="0.25">
      <c r="A31" s="21"/>
      <c r="B31" s="22"/>
    </row>
    <row r="32" spans="1:7" x14ac:dyDescent="0.25">
      <c r="A32" s="21"/>
      <c r="B32" s="22"/>
    </row>
    <row r="33" spans="1:2" x14ac:dyDescent="0.25">
      <c r="A33" s="21"/>
      <c r="B33" s="22"/>
    </row>
    <row r="34" spans="1:2" x14ac:dyDescent="0.25">
      <c r="A34" s="21"/>
      <c r="B34" s="22"/>
    </row>
    <row r="35" spans="1:2" x14ac:dyDescent="0.25">
      <c r="A35" s="21"/>
      <c r="B35" s="22"/>
    </row>
    <row r="36" spans="1:2" x14ac:dyDescent="0.25">
      <c r="A36" s="21"/>
      <c r="B36" s="22"/>
    </row>
    <row r="37" spans="1:2" x14ac:dyDescent="0.25">
      <c r="A37" s="21"/>
      <c r="B37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Q13" sqref="Q13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5" width="14.85546875" bestFit="1" customWidth="1"/>
    <col min="26" max="26" width="23.42578125" bestFit="1" customWidth="1"/>
  </cols>
  <sheetData>
    <row r="1" spans="1:27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95</v>
      </c>
      <c r="H1" t="s">
        <v>96</v>
      </c>
      <c r="I1" t="s">
        <v>91</v>
      </c>
      <c r="J1" t="s">
        <v>92</v>
      </c>
      <c r="K1" t="s">
        <v>97</v>
      </c>
      <c r="L1" t="s">
        <v>98</v>
      </c>
      <c r="M1" t="s">
        <v>93</v>
      </c>
      <c r="N1" t="s">
        <v>94</v>
      </c>
      <c r="O1" t="s">
        <v>99</v>
      </c>
      <c r="P1" t="s">
        <v>100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110</v>
      </c>
      <c r="X1" t="s">
        <v>133</v>
      </c>
      <c r="Y1" t="s">
        <v>134</v>
      </c>
      <c r="Z1" t="s">
        <v>136</v>
      </c>
      <c r="AA1" t="s">
        <v>151</v>
      </c>
    </row>
    <row r="2" spans="1:27" x14ac:dyDescent="0.25">
      <c r="A2" t="s">
        <v>114</v>
      </c>
      <c r="B2">
        <v>0.34799999999999998</v>
      </c>
      <c r="C2">
        <v>2E-3</v>
      </c>
      <c r="D2" s="1">
        <v>7.08</v>
      </c>
      <c r="E2" s="1">
        <v>2.9600000000000001E-2</v>
      </c>
      <c r="F2" s="1">
        <v>1E-4</v>
      </c>
      <c r="G2" s="1">
        <v>100</v>
      </c>
      <c r="H2" s="1">
        <v>5</v>
      </c>
      <c r="I2" s="1">
        <f>'Count-&gt;Actual Activity'!F2</f>
        <v>4.9816656759404694</v>
      </c>
      <c r="J2" s="1">
        <f>'Count-&gt;Actual Activity'!G2</f>
        <v>0.23298037390539131</v>
      </c>
      <c r="K2" s="1">
        <v>10</v>
      </c>
      <c r="L2" s="1">
        <v>0.02</v>
      </c>
      <c r="M2" s="1"/>
      <c r="N2" s="1"/>
      <c r="O2" s="1"/>
      <c r="P2" s="1"/>
      <c r="Q2">
        <f>I2/K2</f>
        <v>0.49816656759404693</v>
      </c>
      <c r="R2">
        <f>SQRT((L2/K2)^2+(J2/I2)^2)*Q2</f>
        <v>2.331933159349198E-2</v>
      </c>
      <c r="S2">
        <f>B2*Parameters!$B$6</f>
        <v>206.34929577464791</v>
      </c>
      <c r="T2">
        <f>SQRT((C2/B2)^2+(Parameters!$C$6/Parameters!$B$6)^2)*'Bottle Results'!S2</f>
        <v>10.361050850528468</v>
      </c>
      <c r="U2">
        <f t="shared" ref="U2:U19" si="0">(S2-Q2*G2)/E2</f>
        <v>5288.2648315960541</v>
      </c>
      <c r="W2">
        <f t="shared" ref="W2:W19" si="1">(S2-Q2*G2)/S2</f>
        <v>0.75858092186653736</v>
      </c>
      <c r="X2" s="24">
        <v>42504.5625</v>
      </c>
      <c r="Y2" s="24">
        <v>42504.68472222222</v>
      </c>
      <c r="Z2" s="26">
        <f>Y2-X2</f>
        <v>0.12222222222044365</v>
      </c>
    </row>
    <row r="3" spans="1:27" x14ac:dyDescent="0.25">
      <c r="A3" t="s">
        <v>115</v>
      </c>
      <c r="B3">
        <v>0.34799999999999998</v>
      </c>
      <c r="C3">
        <v>2E-3</v>
      </c>
      <c r="D3" s="1">
        <v>7.03</v>
      </c>
      <c r="E3" s="1">
        <v>2.98E-2</v>
      </c>
      <c r="F3" s="1">
        <v>1E-4</v>
      </c>
      <c r="G3" s="1">
        <v>100</v>
      </c>
      <c r="H3" s="1">
        <v>5</v>
      </c>
      <c r="I3" s="1">
        <f>'Count-&gt;Actual Activity'!F3</f>
        <v>4.9572182460560992</v>
      </c>
      <c r="J3" s="1">
        <f>'Count-&gt;Actual Activity'!G3</f>
        <v>0.23298035643389295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0.49572182460560993</v>
      </c>
      <c r="R3">
        <f t="shared" ref="R3:R19" si="3">SQRT((L3/K3)^2+(J3/I3)^2)*Q3</f>
        <v>2.3319121453223735E-2</v>
      </c>
      <c r="S3">
        <f>B3*Parameters!$B$6</f>
        <v>206.34929577464791</v>
      </c>
      <c r="T3">
        <f>SQRT((C3/B3)^2+(Parameters!$C$6/Parameters!$B$6)^2)*'Bottle Results'!S3</f>
        <v>10.361050850528468</v>
      </c>
      <c r="U3">
        <f t="shared" si="0"/>
        <v>5260.9769568485544</v>
      </c>
      <c r="W3">
        <f t="shared" si="1"/>
        <v>0.75976568141672607</v>
      </c>
      <c r="X3" s="24">
        <v>42504.569444444445</v>
      </c>
      <c r="Y3" s="24">
        <v>42504.69027777778</v>
      </c>
      <c r="Z3" s="26">
        <f t="shared" ref="Z3:Z19" si="4">Y3-X3</f>
        <v>0.12083333333430346</v>
      </c>
    </row>
    <row r="4" spans="1:27" x14ac:dyDescent="0.25">
      <c r="A4" t="s">
        <v>116</v>
      </c>
      <c r="B4">
        <v>0.34799999999999998</v>
      </c>
      <c r="C4">
        <v>2E-3</v>
      </c>
      <c r="D4" s="1">
        <v>7.05</v>
      </c>
      <c r="E4" s="1">
        <v>2.9600000000000001E-2</v>
      </c>
      <c r="F4" s="1">
        <v>1E-4</v>
      </c>
      <c r="G4" s="1">
        <v>100</v>
      </c>
      <c r="H4" s="1">
        <v>5</v>
      </c>
      <c r="I4" s="1">
        <f>'Count-&gt;Actual Activity'!F4</f>
        <v>4.8451979330037638</v>
      </c>
      <c r="J4" s="1">
        <f>'Count-&gt;Actual Activity'!G4</f>
        <v>0.2329802774981565</v>
      </c>
      <c r="K4" s="1">
        <v>10</v>
      </c>
      <c r="L4" s="1">
        <v>0.02</v>
      </c>
      <c r="M4" s="1"/>
      <c r="N4" s="1"/>
      <c r="O4" s="1"/>
      <c r="P4" s="1"/>
      <c r="Q4">
        <f t="shared" si="2"/>
        <v>0.48451979330037637</v>
      </c>
      <c r="R4">
        <f t="shared" si="3"/>
        <v>2.3318171771208384E-2</v>
      </c>
      <c r="S4">
        <f>B4*Parameters!$B$6</f>
        <v>206.34929577464791</v>
      </c>
      <c r="T4">
        <f>SQRT((C4/B4)^2+(Parameters!$C$6/Parameters!$B$6)^2)*'Bottle Results'!S4</f>
        <v>10.361050850528468</v>
      </c>
      <c r="U4">
        <f t="shared" si="0"/>
        <v>5334.3687988044012</v>
      </c>
      <c r="W4">
        <f t="shared" si="1"/>
        <v>0.76519435577356376</v>
      </c>
      <c r="X4" s="24">
        <v>42504.572916666664</v>
      </c>
      <c r="Y4" s="24">
        <v>42504.695138888892</v>
      </c>
      <c r="Z4" s="26">
        <f t="shared" si="4"/>
        <v>0.12222222222771961</v>
      </c>
    </row>
    <row r="5" spans="1:27" x14ac:dyDescent="0.25">
      <c r="A5" t="s">
        <v>117</v>
      </c>
      <c r="B5">
        <v>0.34799999999999998</v>
      </c>
      <c r="C5">
        <v>2E-3</v>
      </c>
      <c r="D5" s="1">
        <v>7.01</v>
      </c>
      <c r="E5" s="1">
        <v>3.0499999999999999E-2</v>
      </c>
      <c r="F5" s="1">
        <v>1E-4</v>
      </c>
      <c r="G5" s="1">
        <v>100</v>
      </c>
      <c r="H5" s="1">
        <v>5</v>
      </c>
      <c r="I5" s="1">
        <f>'Count-&gt;Actual Activity'!F5</f>
        <v>4.6069267133843219</v>
      </c>
      <c r="J5" s="1">
        <f>'Count-&gt;Actual Activity'!G5</f>
        <v>0.23298011571524416</v>
      </c>
      <c r="K5" s="1">
        <v>10</v>
      </c>
      <c r="L5" s="1">
        <v>0.02</v>
      </c>
      <c r="M5" s="1"/>
      <c r="N5" s="1"/>
      <c r="O5" s="1"/>
      <c r="P5" s="1"/>
      <c r="Q5">
        <f t="shared" si="2"/>
        <v>0.46069267133843217</v>
      </c>
      <c r="R5">
        <f t="shared" si="3"/>
        <v>2.3316223839562555E-2</v>
      </c>
      <c r="S5">
        <f>B5*Parameters!$B$6</f>
        <v>206.34929577464791</v>
      </c>
      <c r="T5">
        <f>SQRT((C5/B5)^2+(Parameters!$C$6/Parameters!$B$6)^2)*'Bottle Results'!S5</f>
        <v>10.361050850528468</v>
      </c>
      <c r="U5">
        <f t="shared" si="0"/>
        <v>5255.0829062558914</v>
      </c>
      <c r="W5">
        <f t="shared" si="1"/>
        <v>0.77674134064331857</v>
      </c>
      <c r="X5" s="24">
        <v>42504.579861111109</v>
      </c>
      <c r="Y5" s="24">
        <v>42504.838194444441</v>
      </c>
      <c r="Z5" s="26">
        <f t="shared" si="4"/>
        <v>0.25833333333139308</v>
      </c>
    </row>
    <row r="6" spans="1:27" x14ac:dyDescent="0.25">
      <c r="A6" t="s">
        <v>118</v>
      </c>
      <c r="B6">
        <v>0.34799999999999998</v>
      </c>
      <c r="C6">
        <v>2E-3</v>
      </c>
      <c r="D6" s="1">
        <v>6.97</v>
      </c>
      <c r="E6" s="1">
        <v>3.0800000000000001E-2</v>
      </c>
      <c r="F6" s="1">
        <v>1E-4</v>
      </c>
      <c r="G6" s="1">
        <v>100</v>
      </c>
      <c r="H6" s="1">
        <v>5</v>
      </c>
      <c r="I6" s="1">
        <f>'Count-&gt;Actual Activity'!F6</f>
        <v>31.178911232124424</v>
      </c>
      <c r="J6" s="1">
        <f>'Count-&gt;Actual Activity'!G6</f>
        <v>0.23304942468540124</v>
      </c>
      <c r="K6" s="1">
        <v>10</v>
      </c>
      <c r="L6" s="1">
        <v>0.02</v>
      </c>
      <c r="M6" s="1"/>
      <c r="N6" s="1"/>
      <c r="O6" s="1"/>
      <c r="P6" s="1"/>
      <c r="Q6">
        <f t="shared" si="2"/>
        <v>3.1178911232124422</v>
      </c>
      <c r="R6">
        <f t="shared" si="3"/>
        <v>2.4124786500335976E-2</v>
      </c>
      <c r="S6">
        <f>B6*Parameters!$B$6</f>
        <v>206.34929577464791</v>
      </c>
      <c r="T6">
        <f>SQRT((C6/B6)^2+(Parameters!$C$6/Parameters!$B$6)^2)*'Bottle Results'!S6</f>
        <v>10.361050850528468</v>
      </c>
      <c r="U6">
        <f t="shared" si="0"/>
        <v>-3423.370667097282</v>
      </c>
      <c r="W6">
        <f t="shared" si="1"/>
        <v>-0.51097735105307118</v>
      </c>
      <c r="X6" s="24">
        <v>42504.584722222222</v>
      </c>
      <c r="Y6" s="24">
        <v>42504.84375</v>
      </c>
      <c r="Z6" s="26">
        <f t="shared" si="4"/>
        <v>0.25902777777810115</v>
      </c>
    </row>
    <row r="7" spans="1:27" x14ac:dyDescent="0.25">
      <c r="A7" t="s">
        <v>120</v>
      </c>
      <c r="B7">
        <v>0.34799999999999998</v>
      </c>
      <c r="C7">
        <v>2E-3</v>
      </c>
      <c r="D7" s="1">
        <v>6.99</v>
      </c>
      <c r="E7" s="1">
        <v>0.03</v>
      </c>
      <c r="F7" s="1">
        <v>1E-4</v>
      </c>
      <c r="G7" s="1">
        <v>100</v>
      </c>
      <c r="H7" s="1">
        <v>5</v>
      </c>
      <c r="I7" s="1">
        <f>'Count-&gt;Actual Activity'!F7</f>
        <v>4.8712873544475537</v>
      </c>
      <c r="J7" s="1">
        <f>'Count-&gt;Actual Activity'!G7</f>
        <v>0.23298029571792817</v>
      </c>
      <c r="K7" s="1">
        <v>10</v>
      </c>
      <c r="L7" s="1">
        <v>0.02</v>
      </c>
      <c r="M7" s="1"/>
      <c r="N7" s="1"/>
      <c r="O7" s="1"/>
      <c r="P7" s="1"/>
      <c r="Q7">
        <f t="shared" si="2"/>
        <v>0.48712873544475538</v>
      </c>
      <c r="R7">
        <f t="shared" si="3"/>
        <v>2.3318391015413491E-2</v>
      </c>
      <c r="S7">
        <f>B7*Parameters!$B$6</f>
        <v>206.34929577464791</v>
      </c>
      <c r="T7">
        <f>SQRT((C7/B7)^2+(Parameters!$C$6/Parameters!$B$6)^2)*'Bottle Results'!S7</f>
        <v>10.361050850528468</v>
      </c>
      <c r="U7">
        <f t="shared" si="0"/>
        <v>5254.5474076724122</v>
      </c>
      <c r="W7">
        <f t="shared" si="1"/>
        <v>0.76393002282074951</v>
      </c>
      <c r="X7" s="24">
        <v>42504.588194444441</v>
      </c>
      <c r="Y7" s="24">
        <v>42504.850694444445</v>
      </c>
      <c r="Z7" s="26">
        <f t="shared" si="4"/>
        <v>0.26250000000436557</v>
      </c>
    </row>
    <row r="8" spans="1:27" ht="15.75" customHeight="1" x14ac:dyDescent="0.25">
      <c r="A8" t="s">
        <v>121</v>
      </c>
      <c r="B8">
        <v>0.34799999999999998</v>
      </c>
      <c r="C8">
        <v>2E-3</v>
      </c>
      <c r="D8" s="1">
        <v>7.01</v>
      </c>
      <c r="E8" s="1">
        <v>3.04E-2</v>
      </c>
      <c r="F8" s="1">
        <v>1E-4</v>
      </c>
      <c r="G8" s="1">
        <v>100</v>
      </c>
      <c r="H8" s="1">
        <v>5</v>
      </c>
      <c r="I8" s="1">
        <f>'Count-&gt;Actual Activity'!F8</f>
        <v>4.5718975601171437</v>
      </c>
      <c r="J8" s="1">
        <f>'Count-&gt;Actual Activity'!G8</f>
        <v>0.23298009263246677</v>
      </c>
      <c r="K8" s="1">
        <v>10</v>
      </c>
      <c r="L8" s="1">
        <v>0.02</v>
      </c>
      <c r="M8" s="1"/>
      <c r="N8" s="1"/>
      <c r="O8" s="1"/>
      <c r="P8" s="1"/>
      <c r="Q8">
        <f t="shared" si="2"/>
        <v>0.45718975601171435</v>
      </c>
      <c r="R8">
        <f t="shared" si="3"/>
        <v>2.3315945735104465E-2</v>
      </c>
      <c r="S8">
        <f>B8*Parameters!$B$6</f>
        <v>206.34929577464791</v>
      </c>
      <c r="T8">
        <f>SQRT((C8/B8)^2+(Parameters!$C$6/Parameters!$B$6)^2)*'Bottle Results'!S8</f>
        <v>10.361050850528468</v>
      </c>
      <c r="U8">
        <f t="shared" si="0"/>
        <v>5283.8921109696212</v>
      </c>
      <c r="W8">
        <f t="shared" si="1"/>
        <v>0.77843890656597792</v>
      </c>
      <c r="X8" s="24">
        <v>42504.59375</v>
      </c>
      <c r="Y8" s="24">
        <v>42505.59652777778</v>
      </c>
      <c r="Z8" s="26">
        <f t="shared" si="4"/>
        <v>1.0027777777795563</v>
      </c>
    </row>
    <row r="9" spans="1:27" x14ac:dyDescent="0.25">
      <c r="A9" t="s">
        <v>122</v>
      </c>
      <c r="B9">
        <v>0.34799999999999998</v>
      </c>
      <c r="C9">
        <v>2E-3</v>
      </c>
      <c r="D9" s="1">
        <v>7.01</v>
      </c>
      <c r="E9" s="1">
        <v>2.93E-2</v>
      </c>
      <c r="F9" s="1">
        <v>1E-4</v>
      </c>
      <c r="G9" s="1">
        <v>100</v>
      </c>
      <c r="H9" s="1">
        <v>5</v>
      </c>
      <c r="I9" s="1">
        <f>'Count-&gt;Actual Activity'!F9</f>
        <v>5.1363777695371784</v>
      </c>
      <c r="J9" s="1">
        <f>'Count-&gt;Actual Activity'!G9</f>
        <v>0.23298048650245881</v>
      </c>
      <c r="K9" s="1">
        <v>10</v>
      </c>
      <c r="L9" s="1">
        <v>0.02</v>
      </c>
      <c r="M9" s="1"/>
      <c r="N9" s="1"/>
      <c r="O9" s="1"/>
      <c r="P9" s="1"/>
      <c r="Q9">
        <f t="shared" si="2"/>
        <v>0.51363777695371782</v>
      </c>
      <c r="R9">
        <f t="shared" si="3"/>
        <v>2.3320685366705667E-2</v>
      </c>
      <c r="S9">
        <f>B9*Parameters!$B$6</f>
        <v>206.34929577464791</v>
      </c>
      <c r="T9">
        <f>SQRT((C9/B9)^2+(Parameters!$C$6/Parameters!$B$6)^2)*'Bottle Results'!S9</f>
        <v>10.361050850528468</v>
      </c>
      <c r="U9">
        <f t="shared" si="0"/>
        <v>5289.6081255725639</v>
      </c>
      <c r="W9">
        <f t="shared" si="1"/>
        <v>0.75108333904145874</v>
      </c>
      <c r="X9" s="24">
        <v>42504.6</v>
      </c>
      <c r="Y9" s="24">
        <v>42505.600694444445</v>
      </c>
      <c r="Z9" s="26">
        <f t="shared" si="4"/>
        <v>1.0006944444467081</v>
      </c>
    </row>
    <row r="10" spans="1:27" x14ac:dyDescent="0.25">
      <c r="A10" t="s">
        <v>119</v>
      </c>
      <c r="B10">
        <v>0.34799999999999998</v>
      </c>
      <c r="C10">
        <v>2E-3</v>
      </c>
      <c r="D10" s="1">
        <v>7.05</v>
      </c>
      <c r="E10" s="1">
        <v>2.9899999999999999E-2</v>
      </c>
      <c r="F10" s="1">
        <v>1E-4</v>
      </c>
      <c r="G10" s="1">
        <v>100</v>
      </c>
      <c r="H10" s="1">
        <v>5</v>
      </c>
      <c r="I10" s="1">
        <f>'Count-&gt;Actual Activity'!F10</f>
        <v>4.9130669174589201</v>
      </c>
      <c r="J10" s="1">
        <f>'Count-&gt;Actual Activity'!G10</f>
        <v>0.23298032510283156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0.49130669174589203</v>
      </c>
      <c r="R10">
        <f t="shared" si="3"/>
        <v>2.3318744561224302E-2</v>
      </c>
      <c r="S10">
        <f>B10*Parameters!$B$6</f>
        <v>206.34929577464791</v>
      </c>
      <c r="T10">
        <f>SQRT((C10/B10)^2+(Parameters!$C$6/Parameters!$B$6)^2)*'Bottle Results'!S10</f>
        <v>10.361050850528468</v>
      </c>
      <c r="U10">
        <f t="shared" si="0"/>
        <v>5258.1480468247064</v>
      </c>
      <c r="W10">
        <f t="shared" si="1"/>
        <v>0.76190532179841153</v>
      </c>
      <c r="X10" s="24">
        <v>42504.606249999997</v>
      </c>
      <c r="Y10" s="24">
        <v>42505.604166666664</v>
      </c>
      <c r="Z10" s="26">
        <f t="shared" si="4"/>
        <v>0.99791666666715173</v>
      </c>
    </row>
    <row r="11" spans="1:27" x14ac:dyDescent="0.25">
      <c r="A11" t="s">
        <v>123</v>
      </c>
      <c r="B11">
        <v>0.34799999999999998</v>
      </c>
      <c r="C11">
        <v>2E-3</v>
      </c>
      <c r="D11" s="1">
        <v>7.02</v>
      </c>
      <c r="E11" s="1">
        <v>2.9100000000000001E-2</v>
      </c>
      <c r="F11" s="1">
        <v>1E-4</v>
      </c>
      <c r="G11" s="1">
        <v>100</v>
      </c>
      <c r="H11" s="1">
        <v>5</v>
      </c>
      <c r="I11" s="1">
        <f>'Count-&gt;Actual Activity'!F11</f>
        <v>6.5831547768742507</v>
      </c>
      <c r="J11" s="1">
        <f>'Count-&gt;Actual Activity'!G11</f>
        <v>0.23298170923149206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0.65831547768742504</v>
      </c>
      <c r="R11">
        <f t="shared" si="3"/>
        <v>2.3335344125101871E-2</v>
      </c>
      <c r="S11">
        <f>B11*Parameters!$B$6</f>
        <v>206.34929577464791</v>
      </c>
      <c r="T11">
        <f>SQRT((C11/B11)^2+(Parameters!$C$6/Parameters!$B$6)^2)*'Bottle Results'!S11</f>
        <v>10.361050850528468</v>
      </c>
      <c r="U11">
        <f t="shared" si="0"/>
        <v>4828.7885912682259</v>
      </c>
      <c r="W11">
        <f t="shared" si="1"/>
        <v>0.68097032983995964</v>
      </c>
      <c r="X11" s="24">
        <v>42504.611111111109</v>
      </c>
      <c r="Y11" s="24">
        <v>42515.411111111112</v>
      </c>
      <c r="Z11" s="26">
        <f t="shared" si="4"/>
        <v>10.80000000000291</v>
      </c>
    </row>
    <row r="12" spans="1:27" x14ac:dyDescent="0.25">
      <c r="A12" t="s">
        <v>124</v>
      </c>
      <c r="B12">
        <v>0.34799999999999998</v>
      </c>
      <c r="C12">
        <v>2E-3</v>
      </c>
      <c r="D12" s="1">
        <v>6.99</v>
      </c>
      <c r="E12" s="1">
        <v>3.0599999999999999E-2</v>
      </c>
      <c r="F12" s="1">
        <v>1E-4</v>
      </c>
      <c r="G12" s="1">
        <v>100</v>
      </c>
      <c r="H12" s="1">
        <v>5</v>
      </c>
      <c r="I12" s="1">
        <f>'Count-&gt;Actual Activity'!F12</f>
        <v>4.7769640615353985</v>
      </c>
      <c r="J12" s="1">
        <f>'Count-&gt;Actual Activity'!G12</f>
        <v>0.2329802303180758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0.47769640615353987</v>
      </c>
      <c r="R12">
        <f t="shared" si="3"/>
        <v>2.3317603920995925E-2</v>
      </c>
      <c r="S12">
        <f>B12*Parameters!$B$6</f>
        <v>206.34929577464791</v>
      </c>
      <c r="T12">
        <f>SQRT((C12/B12)^2+(Parameters!$C$6/Parameters!$B$6)^2)*'Bottle Results'!S12</f>
        <v>10.361050850528468</v>
      </c>
      <c r="U12">
        <f t="shared" si="0"/>
        <v>5182.3416718723511</v>
      </c>
      <c r="W12">
        <f t="shared" si="1"/>
        <v>0.76850107272707757</v>
      </c>
      <c r="X12" s="24">
        <v>42504.615972222222</v>
      </c>
      <c r="Y12" s="24">
        <v>42515.412499999999</v>
      </c>
      <c r="Z12" s="26">
        <f t="shared" si="4"/>
        <v>10.796527777776646</v>
      </c>
    </row>
    <row r="13" spans="1:27" x14ac:dyDescent="0.25">
      <c r="A13" t="s">
        <v>125</v>
      </c>
      <c r="B13">
        <v>0.34799999999999998</v>
      </c>
      <c r="C13">
        <v>2E-3</v>
      </c>
      <c r="D13" s="1">
        <v>6.98</v>
      </c>
      <c r="E13" s="1">
        <v>2.9399999999999999E-2</v>
      </c>
      <c r="F13" s="1">
        <v>1E-4</v>
      </c>
      <c r="G13" s="1">
        <v>100</v>
      </c>
      <c r="H13" s="1">
        <v>5</v>
      </c>
      <c r="I13" s="1">
        <f>'Count-&gt;Actual Activity'!F13</f>
        <v>4.8816866343237475</v>
      </c>
      <c r="J13" s="1">
        <f>'Count-&gt;Actual Activity'!G13</f>
        <v>0.232980303008161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0.48816866343237475</v>
      </c>
      <c r="R13">
        <f t="shared" si="3"/>
        <v>2.3318478734119311E-2</v>
      </c>
      <c r="S13">
        <f>B13*Parameters!$B$6</f>
        <v>206.34929577464791</v>
      </c>
      <c r="T13">
        <f>SQRT((C13/B13)^2+(Parameters!$C$6/Parameters!$B$6)^2)*'Bottle Results'!S13</f>
        <v>10.361050850528468</v>
      </c>
      <c r="U13">
        <f t="shared" si="0"/>
        <v>5358.2458990275663</v>
      </c>
      <c r="W13">
        <f t="shared" si="1"/>
        <v>0.76342605793745999</v>
      </c>
      <c r="X13" s="24">
        <v>42504.619444444441</v>
      </c>
      <c r="Y13" s="24">
        <v>42515.413888888892</v>
      </c>
      <c r="Z13" s="26">
        <f t="shared" si="4"/>
        <v>10.794444444451074</v>
      </c>
    </row>
    <row r="14" spans="1:27" x14ac:dyDescent="0.25">
      <c r="A14" t="s">
        <v>126</v>
      </c>
      <c r="B14">
        <v>0.34799999999999998</v>
      </c>
      <c r="C14">
        <v>2E-3</v>
      </c>
      <c r="D14" s="1">
        <v>6.98</v>
      </c>
      <c r="E14" s="1">
        <v>2.92E-2</v>
      </c>
      <c r="F14" s="1">
        <v>1E-4</v>
      </c>
      <c r="G14" s="1">
        <v>100</v>
      </c>
      <c r="H14" s="1">
        <v>5</v>
      </c>
      <c r="I14" s="1">
        <f>'Count-&gt;Actual Activity'!F14</f>
        <v>6.6995537340849847</v>
      </c>
      <c r="J14" s="1">
        <f>'Count-&gt;Actual Activity'!G14</f>
        <v>0.23298182093806946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0.66995537340849842</v>
      </c>
      <c r="R14">
        <f t="shared" si="3"/>
        <v>2.3336680348447641E-2</v>
      </c>
      <c r="S14">
        <f>B14*Parameters!$B$6</f>
        <v>206.34929577464791</v>
      </c>
      <c r="T14">
        <f>SQRT((C14/B14)^2+(Parameters!$C$6/Parameters!$B$6)^2)*'Bottle Results'!S14</f>
        <v>10.361050850528468</v>
      </c>
      <c r="U14">
        <f t="shared" si="0"/>
        <v>4772.3889874588385</v>
      </c>
      <c r="W14">
        <f t="shared" si="1"/>
        <v>0.67532945974278957</v>
      </c>
      <c r="X14" s="24">
        <v>42504.622916666667</v>
      </c>
      <c r="Y14" s="24">
        <v>42515.436111111114</v>
      </c>
      <c r="Z14" s="26">
        <f t="shared" si="4"/>
        <v>10.813194444446708</v>
      </c>
    </row>
    <row r="15" spans="1:27" x14ac:dyDescent="0.25">
      <c r="A15" t="s">
        <v>127</v>
      </c>
      <c r="B15">
        <v>0.34799999999999998</v>
      </c>
      <c r="C15">
        <v>2E-3</v>
      </c>
      <c r="D15" s="1">
        <v>6.96</v>
      </c>
      <c r="E15" s="1">
        <v>0.03</v>
      </c>
      <c r="F15" s="1">
        <v>1E-4</v>
      </c>
      <c r="G15" s="1">
        <v>100</v>
      </c>
      <c r="H15" s="1">
        <v>5</v>
      </c>
      <c r="I15" s="1">
        <f>'Count-&gt;Actual Activity'!F15</f>
        <v>5.7546788134041922</v>
      </c>
      <c r="J15" s="1">
        <f>'Count-&gt;Actual Activity'!G15</f>
        <v>0.23298097151651162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0.57546788134041926</v>
      </c>
      <c r="R15">
        <f t="shared" si="3"/>
        <v>2.3326508183129206E-2</v>
      </c>
      <c r="S15">
        <f>B15*Parameters!$B$6</f>
        <v>206.34929577464791</v>
      </c>
      <c r="T15">
        <f>SQRT((C15/B15)^2+(Parameters!$C$6/Parameters!$B$6)^2)*'Bottle Results'!S15</f>
        <v>10.361050850528468</v>
      </c>
      <c r="U15">
        <f t="shared" si="0"/>
        <v>4960.0835880202003</v>
      </c>
      <c r="W15">
        <f t="shared" si="1"/>
        <v>0.72111953220868652</v>
      </c>
      <c r="X15" s="24">
        <v>42504.666666666664</v>
      </c>
      <c r="Y15" s="24">
        <v>42515.4375</v>
      </c>
      <c r="Z15" s="26">
        <f t="shared" si="4"/>
        <v>10.770833333335759</v>
      </c>
    </row>
    <row r="16" spans="1:27" x14ac:dyDescent="0.25">
      <c r="A16" t="s">
        <v>128</v>
      </c>
      <c r="B16">
        <v>0.34799999999999998</v>
      </c>
      <c r="C16">
        <v>2E-3</v>
      </c>
      <c r="D16" s="1">
        <v>7.03</v>
      </c>
      <c r="E16" s="1">
        <v>2.93E-2</v>
      </c>
      <c r="F16" s="1">
        <v>1E-4</v>
      </c>
      <c r="G16" s="1">
        <v>100</v>
      </c>
      <c r="H16" s="1">
        <v>5</v>
      </c>
      <c r="I16" s="1">
        <f>'Count-&gt;Actual Activity'!F16</f>
        <v>6.7026552736971903</v>
      </c>
      <c r="J16" s="1">
        <f>'Count-&gt;Actual Activity'!G16</f>
        <v>0.23298182394173644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0.67026552736971901</v>
      </c>
      <c r="R16">
        <f t="shared" si="3"/>
        <v>2.333671627245152E-2</v>
      </c>
      <c r="S16">
        <f>B16*Parameters!$B$6</f>
        <v>206.34929577464791</v>
      </c>
      <c r="T16">
        <f>SQRT((C16/B16)^2+(Parameters!$C$6/Parameters!$B$6)^2)*'Bottle Results'!S16</f>
        <v>10.361050850528468</v>
      </c>
      <c r="U16">
        <f t="shared" si="0"/>
        <v>4755.0424244940623</v>
      </c>
      <c r="W16">
        <f t="shared" si="1"/>
        <v>0.6751791544267205</v>
      </c>
      <c r="X16" s="24">
        <v>42504.669444444444</v>
      </c>
      <c r="Y16" s="24">
        <v>42515.44027777778</v>
      </c>
      <c r="Z16" s="26">
        <f t="shared" si="4"/>
        <v>10.770833333335759</v>
      </c>
    </row>
    <row r="17" spans="1:26" x14ac:dyDescent="0.25">
      <c r="A17" t="s">
        <v>129</v>
      </c>
      <c r="C17">
        <v>2E-3</v>
      </c>
      <c r="D17" s="1">
        <v>7</v>
      </c>
      <c r="E17" s="1">
        <v>2.92E-2</v>
      </c>
      <c r="F17" s="1">
        <v>5.0000000000000001E-4</v>
      </c>
      <c r="G17" s="1">
        <v>100</v>
      </c>
      <c r="H17" s="1">
        <v>5</v>
      </c>
      <c r="I17" s="1">
        <f>'Count-&gt;Actual Activity'!F17</f>
        <v>20.87340731832337</v>
      </c>
      <c r="J17" s="1">
        <f>'Count-&gt;Actual Activity'!G17</f>
        <v>0.23301026437851405</v>
      </c>
      <c r="K17" s="1">
        <v>10</v>
      </c>
      <c r="L17" s="1">
        <v>0.02</v>
      </c>
      <c r="Q17">
        <f t="shared" si="2"/>
        <v>2.0873407318323371</v>
      </c>
      <c r="R17">
        <f t="shared" si="3"/>
        <v>2.3672046772100538E-2</v>
      </c>
      <c r="S17">
        <f>U14*E14</f>
        <v>139.35375843379808</v>
      </c>
      <c r="T17" t="e">
        <f>SQRT((C17/B17)^2+(Parameters!$C$6/Parameters!$B$6)^2)*'Bottle Results'!S17</f>
        <v>#DIV/0!</v>
      </c>
      <c r="U17">
        <f t="shared" si="0"/>
        <v>-2376.0381763505352</v>
      </c>
      <c r="W17">
        <f t="shared" si="1"/>
        <v>-0.49787185885191393</v>
      </c>
      <c r="X17" s="24">
        <v>42515.473611111112</v>
      </c>
      <c r="Y17" s="24">
        <v>42516.461111111108</v>
      </c>
      <c r="Z17" s="26">
        <f t="shared" si="4"/>
        <v>0.98749999999563443</v>
      </c>
    </row>
    <row r="18" spans="1:26" x14ac:dyDescent="0.25">
      <c r="A18" t="s">
        <v>130</v>
      </c>
      <c r="C18">
        <v>2E-3</v>
      </c>
      <c r="D18" s="1">
        <v>7</v>
      </c>
      <c r="E18" s="1">
        <v>0.03</v>
      </c>
      <c r="F18" s="1">
        <v>5.0000000000000001E-4</v>
      </c>
      <c r="G18" s="1">
        <v>100</v>
      </c>
      <c r="H18" s="1">
        <v>5</v>
      </c>
      <c r="I18" s="1">
        <f>'Count-&gt;Actual Activity'!F18</f>
        <v>23.35390923405533</v>
      </c>
      <c r="J18" s="1">
        <f>'Count-&gt;Actual Activity'!G18</f>
        <v>0.23301826860762143</v>
      </c>
      <c r="K18" s="1">
        <v>10</v>
      </c>
      <c r="L18" s="1">
        <v>0.02</v>
      </c>
      <c r="Q18">
        <f t="shared" si="2"/>
        <v>2.3353909234055328</v>
      </c>
      <c r="R18">
        <f t="shared" si="3"/>
        <v>2.3765339006827479E-2</v>
      </c>
      <c r="S18">
        <f>U15*E15</f>
        <v>148.802507640606</v>
      </c>
      <c r="T18" t="e">
        <f>SQRT((C18/B18)^2+(Parameters!$C$6/Parameters!$B$6)^2)*'Bottle Results'!S18</f>
        <v>#DIV/0!</v>
      </c>
      <c r="U18">
        <f t="shared" si="0"/>
        <v>-2824.5528233315763</v>
      </c>
      <c r="W18">
        <f t="shared" si="1"/>
        <v>-0.56945669830112411</v>
      </c>
      <c r="X18" s="24">
        <v>42515.479166666664</v>
      </c>
      <c r="Y18" s="24">
        <v>42516.475694444445</v>
      </c>
      <c r="Z18" s="26">
        <f t="shared" si="4"/>
        <v>0.99652777778101154</v>
      </c>
    </row>
    <row r="19" spans="1:26" x14ac:dyDescent="0.25">
      <c r="A19" t="s">
        <v>131</v>
      </c>
      <c r="C19">
        <v>2E-3</v>
      </c>
      <c r="D19" s="1">
        <v>7</v>
      </c>
      <c r="E19" s="1">
        <v>2.93E-2</v>
      </c>
      <c r="F19" s="1">
        <v>5.0000000000000001E-4</v>
      </c>
      <c r="G19" s="1">
        <v>100</v>
      </c>
      <c r="H19" s="1">
        <v>5</v>
      </c>
      <c r="I19" s="1">
        <f>'Count-&gt;Actual Activity'!F19</f>
        <v>22.439684822483382</v>
      </c>
      <c r="J19" s="1">
        <f>'Count-&gt;Actual Activity'!G19</f>
        <v>0.23301521364992889</v>
      </c>
      <c r="K19" s="1">
        <v>10</v>
      </c>
      <c r="L19" s="1">
        <v>0.02</v>
      </c>
      <c r="Q19">
        <f t="shared" si="2"/>
        <v>2.2439684822483383</v>
      </c>
      <c r="R19">
        <f t="shared" si="3"/>
        <v>2.372978036393333E-2</v>
      </c>
      <c r="S19">
        <f>U16*E16</f>
        <v>139.32274303767602</v>
      </c>
      <c r="T19" t="e">
        <f>SQRT((C19/B19)^2+(Parameters!$C$6/Parameters!$B$6)^2)*'Bottle Results'!S19</f>
        <v>#DIV/0!</v>
      </c>
      <c r="U19">
        <f t="shared" si="0"/>
        <v>-2903.5530780599938</v>
      </c>
      <c r="W19">
        <f t="shared" si="1"/>
        <v>-0.61062611410221701</v>
      </c>
      <c r="X19" s="24">
        <v>42515.486111111109</v>
      </c>
      <c r="Y19" s="24">
        <v>42516.472916666666</v>
      </c>
      <c r="Z19" s="26">
        <f t="shared" si="4"/>
        <v>0.98680555555620231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J2" sqref="J2"/>
    </sheetView>
  </sheetViews>
  <sheetFormatPr defaultRowHeight="15" x14ac:dyDescent="0.25"/>
  <cols>
    <col min="2" max="2" width="9.7109375" bestFit="1" customWidth="1"/>
    <col min="4" max="4" width="14.42578125" bestFit="1" customWidth="1"/>
    <col min="5" max="5" width="15.5703125" bestFit="1" customWidth="1"/>
    <col min="6" max="6" width="15.85546875" bestFit="1" customWidth="1"/>
    <col min="7" max="7" width="16.42578125" bestFit="1" customWidth="1"/>
    <col min="8" max="8" width="26.42578125" bestFit="1" customWidth="1"/>
  </cols>
  <sheetData>
    <row r="1" spans="1:11" x14ac:dyDescent="0.25">
      <c r="A1" t="s">
        <v>152</v>
      </c>
      <c r="B1" t="s">
        <v>160</v>
      </c>
      <c r="C1" t="s">
        <v>143</v>
      </c>
      <c r="D1" t="s">
        <v>158</v>
      </c>
      <c r="E1" t="s">
        <v>156</v>
      </c>
      <c r="F1" t="s">
        <v>157</v>
      </c>
      <c r="G1" t="s">
        <v>159</v>
      </c>
      <c r="H1" t="s">
        <v>161</v>
      </c>
      <c r="I1" t="s">
        <v>162</v>
      </c>
      <c r="J1" t="s">
        <v>163</v>
      </c>
      <c r="K1" t="s">
        <v>164</v>
      </c>
    </row>
    <row r="2" spans="1:11" x14ac:dyDescent="0.25">
      <c r="A2" t="s">
        <v>153</v>
      </c>
      <c r="B2">
        <f>'Bottle Results'!U14</f>
        <v>4772.3889874588385</v>
      </c>
      <c r="C2">
        <f>'Bottle Results'!E14</f>
        <v>2.92E-2</v>
      </c>
      <c r="D2">
        <f>'Bottle Results'!Q14</f>
        <v>0.66995537340849842</v>
      </c>
      <c r="E2">
        <v>10</v>
      </c>
      <c r="F2">
        <f>'Bottle Results'!Q17</f>
        <v>2.0873407318323371</v>
      </c>
      <c r="G2">
        <v>100</v>
      </c>
      <c r="H2">
        <f>'Bottle Results'!U17</f>
        <v>-2376.0381763505352</v>
      </c>
      <c r="I2">
        <f>(B2*C2+D2*E2-D2*G2)/F2*C2</f>
        <v>1.1059464273103623</v>
      </c>
      <c r="J2">
        <f>B2/D2</f>
        <v>7123.4431081261337</v>
      </c>
      <c r="K2">
        <f>H2/F2</f>
        <v>-1138.3087294352608</v>
      </c>
    </row>
    <row r="3" spans="1:11" x14ac:dyDescent="0.25">
      <c r="A3" t="s">
        <v>155</v>
      </c>
      <c r="B3">
        <f>'Bottle Results'!U15</f>
        <v>4960.0835880202003</v>
      </c>
      <c r="C3">
        <f>'Bottle Results'!E15</f>
        <v>0.03</v>
      </c>
      <c r="D3">
        <f>'Bottle Results'!Q15</f>
        <v>0.57546788134041926</v>
      </c>
      <c r="E3">
        <v>10</v>
      </c>
      <c r="F3">
        <f>'Bottle Results'!Q18</f>
        <v>2.3353909234055328</v>
      </c>
      <c r="G3">
        <v>100</v>
      </c>
      <c r="H3">
        <f>'Bottle Results'!U18</f>
        <v>-2824.5528233315763</v>
      </c>
      <c r="I3">
        <f>(B3*C3+D3*E3-D3*G3)/F3*C3</f>
        <v>1.2461776400822646</v>
      </c>
      <c r="J3">
        <f>B3/D3</f>
        <v>8619.2188110774023</v>
      </c>
      <c r="K3">
        <f>H3/F3</f>
        <v>-1209.456110762276</v>
      </c>
    </row>
    <row r="4" spans="1:11" x14ac:dyDescent="0.25">
      <c r="A4" t="s">
        <v>154</v>
      </c>
      <c r="B4">
        <f>'Bottle Results'!U16</f>
        <v>4755.0424244940623</v>
      </c>
      <c r="C4">
        <f>'Bottle Results'!E16</f>
        <v>2.93E-2</v>
      </c>
      <c r="D4">
        <f>'Bottle Results'!Q16</f>
        <v>0.67026552736971901</v>
      </c>
      <c r="E4">
        <v>10</v>
      </c>
      <c r="F4">
        <f>'Bottle Results'!Q19</f>
        <v>2.2439684822483383</v>
      </c>
      <c r="G4">
        <v>100</v>
      </c>
      <c r="H4">
        <f>'Bottle Results'!U19</f>
        <v>-2903.5530780599938</v>
      </c>
      <c r="I4">
        <f>(B4*C4+D4*E4-D4*G4)/F4*C4</f>
        <v>1.0315056533284215</v>
      </c>
      <c r="J4">
        <f>B4/D4</f>
        <v>7094.2667201668228</v>
      </c>
      <c r="K4">
        <f>H4/F4</f>
        <v>-1293.9366577692688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O7" sqref="O7"/>
    </sheetView>
  </sheetViews>
  <sheetFormatPr defaultRowHeight="15" x14ac:dyDescent="0.25"/>
  <cols>
    <col min="11" max="11" width="18" bestFit="1" customWidth="1"/>
    <col min="15" max="15" width="23.5703125" bestFit="1" customWidth="1"/>
  </cols>
  <sheetData>
    <row r="1" spans="1:17" x14ac:dyDescent="0.25">
      <c r="A1" t="s">
        <v>15</v>
      </c>
      <c r="B1" t="s">
        <v>29</v>
      </c>
      <c r="C1" t="s">
        <v>107</v>
      </c>
      <c r="D1" t="s">
        <v>31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135</v>
      </c>
      <c r="L1" t="s">
        <v>143</v>
      </c>
      <c r="M1" t="s">
        <v>144</v>
      </c>
      <c r="O1" t="s">
        <v>145</v>
      </c>
      <c r="P1">
        <v>90</v>
      </c>
      <c r="Q1" t="s">
        <v>148</v>
      </c>
    </row>
    <row r="2" spans="1:17" x14ac:dyDescent="0.25">
      <c r="A2" t="s">
        <v>137</v>
      </c>
      <c r="B2">
        <f>AVERAGE('Bottle Results'!Q2:Q4)</f>
        <v>0.49280272850001111</v>
      </c>
      <c r="C2">
        <f>_xlfn.STDEV.S('Bottle Results'!Q2:Q4)</f>
        <v>7.2766375277932257E-3</v>
      </c>
      <c r="D2">
        <f>AVERAGE('Bottle Results'!U2:U4)</f>
        <v>5294.5368624163357</v>
      </c>
      <c r="E2">
        <f>_xlfn.STDEV.S('Bottle Results'!U2:U4)</f>
        <v>37.09574631107894</v>
      </c>
      <c r="F2">
        <f>AVERAGE('Bottle Results'!S2:S4)</f>
        <v>206.34929577464791</v>
      </c>
      <c r="G2">
        <f>AVERAGE('Bottle Results'!W2:W4)</f>
        <v>0.76118031968560906</v>
      </c>
      <c r="H2">
        <f>_xlfn.STDEV.S('Bottle Results'!W2:W4)</f>
        <v>3.5263689660177118E-3</v>
      </c>
      <c r="I2">
        <f>AVERAGE('Bottle Results'!D2:D4)</f>
        <v>7.0533333333333337</v>
      </c>
      <c r="J2">
        <f>_xlfn.STDEV.S('Bottle Results'!D2:D4)</f>
        <v>2.5166114784235766E-2</v>
      </c>
      <c r="K2" s="26">
        <f>AVERAGE('Bottle Results'!Z2:Z4)</f>
        <v>0.12175925926082225</v>
      </c>
      <c r="L2" s="1">
        <f>AVERAGE('Bottle Results'!E2:E4)</f>
        <v>2.9666666666666664E-2</v>
      </c>
      <c r="O2" t="s">
        <v>146</v>
      </c>
      <c r="P2">
        <f>B6*(100-P1)+D6*L6</f>
        <v>148.84619344013095</v>
      </c>
      <c r="Q2" t="s">
        <v>147</v>
      </c>
    </row>
    <row r="3" spans="1:17" x14ac:dyDescent="0.25">
      <c r="A3" t="s">
        <v>138</v>
      </c>
      <c r="B3">
        <f>AVERAGE('Bottle Results'!Q5,'Bottle Results'!Q7)</f>
        <v>0.4739107033915938</v>
      </c>
      <c r="C3">
        <f>_xlfn.STDEV.S('Bottle Results'!Q5,'Bottle Results'!Q7)</f>
        <v>1.8693120197463428E-2</v>
      </c>
      <c r="D3">
        <f>AVERAGE('Bottle Results'!U5,'Bottle Results'!U7)</f>
        <v>5254.8151569641523</v>
      </c>
      <c r="E3">
        <f>_xlfn.STDEV.S('Bottle Results'!U5,'Bottle Results'!U7)</f>
        <v>0.37865467969396022</v>
      </c>
      <c r="F3">
        <f>AVERAGE('Bottle Results'!S5,'Bottle Results'!S7)</f>
        <v>206.34929577464791</v>
      </c>
      <c r="G3">
        <f>AVERAGE('Bottle Results'!W5,'Bottle Results'!W7)</f>
        <v>0.77033568173203404</v>
      </c>
      <c r="H3">
        <f>_xlfn.STDEV.S('Bottle Results'!W5,'Bottle Results'!W7)</f>
        <v>9.0589697082746543E-3</v>
      </c>
      <c r="I3">
        <f>AVERAGE('Bottle Results'!D5:D7)</f>
        <v>6.9899999999999993</v>
      </c>
      <c r="J3">
        <f>_xlfn.STDEV.S('Bottle Results'!D5:D7)</f>
        <v>2.0000000000000018E-2</v>
      </c>
      <c r="K3" s="26">
        <f>AVERAGE('Bottle Results'!Z5:Z7)</f>
        <v>0.25995370370461995</v>
      </c>
      <c r="L3" s="1">
        <f>AVERAGE('Bottle Results'!E5:E7)</f>
        <v>3.043333333333333E-2</v>
      </c>
      <c r="O3" t="s">
        <v>149</v>
      </c>
      <c r="P3">
        <f>100</f>
        <v>100</v>
      </c>
    </row>
    <row r="4" spans="1:17" x14ac:dyDescent="0.25">
      <c r="A4" t="s">
        <v>139</v>
      </c>
      <c r="B4">
        <f>AVERAGE('Bottle Results'!Q8:Q10)</f>
        <v>0.48737807490377466</v>
      </c>
      <c r="C4">
        <f>_xlfn.STDEV.S('Bottle Results'!Q8:Q10)</f>
        <v>2.8428336036186521E-2</v>
      </c>
      <c r="D4">
        <f>AVERAGE('Bottle Results'!U8:U10)</f>
        <v>5277.2160944556308</v>
      </c>
      <c r="E4">
        <f>_xlfn.STDEV.S('Bottle Results'!U8:U10)</f>
        <v>16.75890915533158</v>
      </c>
      <c r="F4">
        <f>AVERAGE('Bottle Results'!S8:S10)</f>
        <v>206.34929577464791</v>
      </c>
      <c r="G4">
        <f>AVERAGE('Bottle Results'!W8:W10)</f>
        <v>0.76380918913528273</v>
      </c>
      <c r="H4">
        <f>_xlfn.STDEV.S('Bottle Results'!W8:W10)</f>
        <v>1.3776803031706442E-2</v>
      </c>
      <c r="I4">
        <f>AVERAGE('Bottle Results'!D8:D10)</f>
        <v>7.0233333333333334</v>
      </c>
      <c r="J4">
        <f>_xlfn.STDEV.S('Bottle Results'!D8:D10)</f>
        <v>2.3094010767585053E-2</v>
      </c>
      <c r="K4" s="26">
        <f>AVERAGE('Bottle Results'!Z8:Z10)</f>
        <v>1.0004629629644721</v>
      </c>
      <c r="L4" s="1">
        <f>AVERAGE('Bottle Results'!E8:E10)</f>
        <v>2.9866666666666666E-2</v>
      </c>
      <c r="O4" t="s">
        <v>150</v>
      </c>
      <c r="P4">
        <f>P3*B7</f>
        <v>222.22333791620693</v>
      </c>
    </row>
    <row r="5" spans="1:17" x14ac:dyDescent="0.25">
      <c r="A5" t="s">
        <v>140</v>
      </c>
      <c r="B5">
        <f>AVERAGE('Bottle Results'!Q11:Q13)</f>
        <v>0.54139351575777994</v>
      </c>
      <c r="C5">
        <f>_xlfn.STDEV.S('Bottle Results'!Q11:Q13)</f>
        <v>0.10139268183274636</v>
      </c>
      <c r="D5">
        <f>AVERAGE('Bottle Results'!U11:U13)</f>
        <v>5123.1253873893811</v>
      </c>
      <c r="E5">
        <f>_xlfn.STDEV.S('Bottle Results'!U11:U13)</f>
        <v>269.65011857204559</v>
      </c>
      <c r="F5">
        <f>AVERAGE('Bottle Results'!S11:S13)</f>
        <v>206.34929577464791</v>
      </c>
      <c r="G5">
        <f>AVERAGE('Bottle Results'!W11:W13)</f>
        <v>0.7376324868348324</v>
      </c>
      <c r="H5">
        <f>_xlfn.STDEV.S('Bottle Results'!W11:W13)</f>
        <v>4.9136432209333385E-2</v>
      </c>
      <c r="I5">
        <f>AVERAGE('Bottle Results'!D11:D13)</f>
        <v>6.996666666666667</v>
      </c>
      <c r="J5">
        <f>_xlfn.STDEV.S('Bottle Results'!D11:D13)</f>
        <v>2.0816659994660883E-2</v>
      </c>
      <c r="K5" s="26">
        <f>AVERAGE('Bottle Results'!Z11:Z13)</f>
        <v>10.796990740743544</v>
      </c>
      <c r="L5" s="1">
        <f>AVERAGE('Bottle Results'!E11:E13)</f>
        <v>2.9700000000000001E-2</v>
      </c>
    </row>
    <row r="6" spans="1:17" x14ac:dyDescent="0.25">
      <c r="A6" t="s">
        <v>141</v>
      </c>
      <c r="B6">
        <f>AVERAGE('Bottle Results'!Q14:Q16)</f>
        <v>0.6385629273728789</v>
      </c>
      <c r="C6">
        <f>_xlfn.STDEV.S('Bottle Results'!Q14:Q16)</f>
        <v>5.4642132775437717E-2</v>
      </c>
      <c r="D6">
        <f>AVERAGE('Bottle Results'!U14:U16)</f>
        <v>4829.1716666577004</v>
      </c>
      <c r="E6">
        <f>_xlfn.STDEV.S('Bottle Results'!U14:U16)</f>
        <v>113.70432787624559</v>
      </c>
      <c r="F6">
        <f>AVERAGE('Bottle Results'!S14:S16)</f>
        <v>206.34929577464791</v>
      </c>
      <c r="G6">
        <f>AVERAGE('Bottle Results'!W14:W16)</f>
        <v>0.69054271545939871</v>
      </c>
      <c r="H6">
        <f>_xlfn.STDEV.S('Bottle Results'!W14:W16)</f>
        <v>2.6480406715374452E-2</v>
      </c>
      <c r="I6">
        <f>AVERAGE('Bottle Results'!D14:D16)</f>
        <v>6.9900000000000011</v>
      </c>
      <c r="J6">
        <f>_xlfn.STDEV.S('Bottle Results'!D14:D16)</f>
        <v>3.6055512754639987E-2</v>
      </c>
      <c r="K6" s="26">
        <f>AVERAGE('Bottle Results'!Z14:Z16)</f>
        <v>10.784953703706075</v>
      </c>
      <c r="L6" s="1">
        <f>AVERAGE('Bottle Results'!E14:E16)</f>
        <v>2.9499999999999998E-2</v>
      </c>
    </row>
    <row r="7" spans="1:17" x14ac:dyDescent="0.25">
      <c r="A7" t="s">
        <v>142</v>
      </c>
      <c r="B7">
        <f>AVERAGE('Bottle Results'!Q17:Q19)</f>
        <v>2.2222333791620694</v>
      </c>
      <c r="C7">
        <f>_xlfn.STDEV.S('Bottle Results'!Q17:Q19)</f>
        <v>0.12544534831751561</v>
      </c>
      <c r="D7">
        <f>AVERAGE('Bottle Results'!U17:U19)</f>
        <v>-2701.3813592473684</v>
      </c>
      <c r="E7">
        <f>_xlfn.STDEV.S('Bottle Results'!U17:U19)</f>
        <v>284.51080832697806</v>
      </c>
      <c r="F7">
        <f>AVERAGE('Bottle Results'!S17:S19)</f>
        <v>142.49300303736004</v>
      </c>
      <c r="G7">
        <f>AVERAGE('Bottle Results'!W17:W19)</f>
        <v>-0.55931822375175166</v>
      </c>
      <c r="H7">
        <f>_xlfn.STDEV.S('Bottle Results'!W17:W19)</f>
        <v>5.7056743851220865E-2</v>
      </c>
      <c r="I7">
        <f>AVERAGE('Bottle Results'!D17:D19)</f>
        <v>7</v>
      </c>
      <c r="J7">
        <f>_xlfn.STDEV.S('Bottle Results'!D17:D19)</f>
        <v>0</v>
      </c>
      <c r="K7" s="26">
        <f>AVERAGE('Bottle Results'!Z17:Z19)</f>
        <v>0.99027777777761605</v>
      </c>
      <c r="L7" s="1">
        <f>AVERAGE('Bottle Results'!E17:E19)</f>
        <v>2.9499999999999998E-2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</vt:lpstr>
      <vt:lpstr>Calibration Data</vt:lpstr>
      <vt:lpstr>Scintillation Counter Results</vt:lpstr>
      <vt:lpstr>Count-&gt;Actual Activity</vt:lpstr>
      <vt:lpstr>Bottle Results</vt:lpstr>
      <vt:lpstr>Rd Calculations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2017-06-27T21:26:12Z</dcterms:modified>
</cp:coreProperties>
</file>