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F3" i="2" l="1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G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/>
  <c r="F18" i="2"/>
  <c r="G18" i="2"/>
  <c r="F19" i="2"/>
  <c r="G19" i="2" s="1"/>
  <c r="F2" i="2"/>
  <c r="G2" i="2" s="1"/>
  <c r="L10" i="7" l="1"/>
  <c r="K9" i="7"/>
  <c r="G9" i="7"/>
  <c r="D9" i="7"/>
  <c r="L9" i="7" s="1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6" i="7" l="1"/>
  <c r="J8" i="7"/>
  <c r="J7" i="7"/>
  <c r="J3" i="7"/>
  <c r="J5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8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<sst xmlns="http://schemas.openxmlformats.org/spreadsheetml/2006/main" count="374" uniqueCount="147">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</sst>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3808"/>
        <c:axId val="200586944"/>
      </c:scatterChart>
      <c:valAx>
        <c:axId val="2005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86944"/>
        <c:crosses val="autoZero"/>
        <c:crossBetween val="midCat"/>
      </c:valAx>
      <c:valAx>
        <c:axId val="20058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058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Gamma Counter Geometry"/>
      <sheetName val="Gamma Counter Multinuclide Stan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42464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C14" sqref="C14:C1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A92" sqref="A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8">
        <v>42502.436805555553</v>
      </c>
      <c r="B3" t="s">
        <v>117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8">
        <v>42502.436805497688</v>
      </c>
      <c r="B4" t="s">
        <v>118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8">
        <v>42502.436805497688</v>
      </c>
      <c r="B5" t="s">
        <v>119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8">
        <v>42502.436805497688</v>
      </c>
      <c r="B6" t="s">
        <v>120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8">
        <v>42502.436805497688</v>
      </c>
      <c r="B7" t="s">
        <v>121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8">
        <v>42502.436805497688</v>
      </c>
      <c r="B8" t="s">
        <v>122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8">
        <v>42502.436805497688</v>
      </c>
      <c r="B9" t="s">
        <v>123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8">
        <v>42502.436805497688</v>
      </c>
      <c r="B10" t="s">
        <v>124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8">
        <v>42502.436805497688</v>
      </c>
      <c r="B11" t="s">
        <v>125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8">
        <v>42502.436805497688</v>
      </c>
      <c r="B12" t="s">
        <v>126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8">
        <v>42502.436805497688</v>
      </c>
      <c r="B13" t="s">
        <v>127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8">
        <v>42502.436805497688</v>
      </c>
      <c r="B14" t="s">
        <v>128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8">
        <v>42502.436805497688</v>
      </c>
      <c r="B15" t="s">
        <v>129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8">
        <v>42502.436805497688</v>
      </c>
      <c r="B16" t="s">
        <v>130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8">
        <v>42502.436805497688</v>
      </c>
      <c r="B17" t="s">
        <v>131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8">
        <v>42502.436805497688</v>
      </c>
      <c r="B18" t="s">
        <v>132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8">
        <v>42502.436805497688</v>
      </c>
      <c r="B19" t="s">
        <v>133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8">
        <v>42505.584722222222</v>
      </c>
      <c r="B20" t="s">
        <v>116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8">
        <v>42505.584722222222</v>
      </c>
      <c r="B21" t="s">
        <v>117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8">
        <v>42505.584722164349</v>
      </c>
      <c r="B22" t="s">
        <v>118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8">
        <v>42505.584722164349</v>
      </c>
      <c r="B23" t="s">
        <v>119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8">
        <v>42505.584722164349</v>
      </c>
      <c r="B24" t="s">
        <v>120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8">
        <v>42505.584722164349</v>
      </c>
      <c r="B25" t="s">
        <v>121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8">
        <v>42505.584722164349</v>
      </c>
      <c r="B26" t="s">
        <v>122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8">
        <v>42505.584722164349</v>
      </c>
      <c r="B27" t="s">
        <v>123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8">
        <v>42505.584722164349</v>
      </c>
      <c r="B28" t="s">
        <v>124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8">
        <v>42505.584722164349</v>
      </c>
      <c r="B29" t="s">
        <v>125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8">
        <v>42505.584722164349</v>
      </c>
      <c r="B30" t="s">
        <v>126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8">
        <v>42505.584722164349</v>
      </c>
      <c r="B31" t="s">
        <v>127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8">
        <v>42505.584722164349</v>
      </c>
      <c r="B32" t="s">
        <v>128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8">
        <v>42505.584722164349</v>
      </c>
      <c r="B33" t="s">
        <v>129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8">
        <v>42505.584722164349</v>
      </c>
      <c r="B34" t="s">
        <v>130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8">
        <v>42505.584722164349</v>
      </c>
      <c r="B35" t="s">
        <v>131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8">
        <v>42505.584722164349</v>
      </c>
      <c r="B36" t="s">
        <v>132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8">
        <v>42505.584722164349</v>
      </c>
      <c r="B37" t="s">
        <v>133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8">
        <v>42506.541666666664</v>
      </c>
      <c r="B38" t="s">
        <v>116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8">
        <v>42506.541666666664</v>
      </c>
      <c r="B39" t="s">
        <v>117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8">
        <v>42506.541666666664</v>
      </c>
      <c r="B40" t="s">
        <v>118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8">
        <v>42506.541666666664</v>
      </c>
      <c r="B41" t="s">
        <v>119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8">
        <v>42506.541666666664</v>
      </c>
      <c r="B42" t="s">
        <v>120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8">
        <v>42506.541666666664</v>
      </c>
      <c r="B43" t="s">
        <v>121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8">
        <v>42506.541666666664</v>
      </c>
      <c r="B44" t="s">
        <v>122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8">
        <v>42506.541666666664</v>
      </c>
      <c r="B45" t="s">
        <v>123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8">
        <v>42506.541666666664</v>
      </c>
      <c r="B46" t="s">
        <v>124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8">
        <v>42506.541666666664</v>
      </c>
      <c r="B47" t="s">
        <v>125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8">
        <v>42506.541666666664</v>
      </c>
      <c r="B48" t="s">
        <v>126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8">
        <v>42506.541666666664</v>
      </c>
      <c r="B49" t="s">
        <v>127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8">
        <v>42506.541666666664</v>
      </c>
      <c r="B50" t="s">
        <v>128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8">
        <v>42506.541666666664</v>
      </c>
      <c r="B51" t="s">
        <v>129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8">
        <v>42506.541666666664</v>
      </c>
      <c r="B52" t="s">
        <v>130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8">
        <v>42506.541666666664</v>
      </c>
      <c r="B53" t="s">
        <v>131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8">
        <v>42506.541666666664</v>
      </c>
      <c r="B54" t="s">
        <v>132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8">
        <v>42506.541666666664</v>
      </c>
      <c r="B55" t="s">
        <v>133</v>
      </c>
      <c r="C55">
        <v>11255.1</v>
      </c>
      <c r="D55">
        <v>0.6</v>
      </c>
      <c r="E55">
        <v>0</v>
      </c>
      <c r="F55">
        <v>191.45</v>
      </c>
    </row>
    <row r="56" spans="1:6" x14ac:dyDescent="0.25">
      <c r="A56" s="18">
        <v>42530.357638888891</v>
      </c>
      <c r="B56" t="s">
        <v>116</v>
      </c>
      <c r="C56">
        <v>72.2</v>
      </c>
      <c r="D56">
        <v>7.44</v>
      </c>
      <c r="E56">
        <v>0.09</v>
      </c>
      <c r="F56">
        <v>10.6</v>
      </c>
    </row>
    <row r="57" spans="1:6" x14ac:dyDescent="0.25">
      <c r="A57" s="18">
        <v>42530.357638888891</v>
      </c>
      <c r="B57" t="s">
        <v>117</v>
      </c>
      <c r="C57">
        <v>102.4</v>
      </c>
      <c r="D57">
        <v>6.25</v>
      </c>
      <c r="E57">
        <v>0.06</v>
      </c>
      <c r="F57">
        <v>21.2</v>
      </c>
    </row>
    <row r="58" spans="1:6" x14ac:dyDescent="0.25">
      <c r="A58" s="18">
        <v>42530.357638888891</v>
      </c>
      <c r="B58" t="s">
        <v>118</v>
      </c>
      <c r="C58">
        <v>74.3</v>
      </c>
      <c r="D58">
        <v>7.34</v>
      </c>
      <c r="E58">
        <v>0.09</v>
      </c>
      <c r="F58">
        <v>31.82</v>
      </c>
    </row>
    <row r="59" spans="1:6" x14ac:dyDescent="0.25">
      <c r="A59" s="18">
        <v>42530.357638888891</v>
      </c>
      <c r="B59" t="s">
        <v>119</v>
      </c>
      <c r="C59">
        <v>329.9</v>
      </c>
      <c r="D59">
        <v>3.48</v>
      </c>
      <c r="E59">
        <v>0.02</v>
      </c>
      <c r="F59">
        <v>42.44</v>
      </c>
    </row>
    <row r="60" spans="1:6" x14ac:dyDescent="0.25">
      <c r="A60" s="18">
        <v>42530.357638888891</v>
      </c>
      <c r="B60" t="s">
        <v>120</v>
      </c>
      <c r="C60">
        <v>292.3</v>
      </c>
      <c r="D60">
        <v>3.7</v>
      </c>
      <c r="E60">
        <v>0.02</v>
      </c>
      <c r="F60">
        <v>53.06</v>
      </c>
    </row>
    <row r="61" spans="1:6" x14ac:dyDescent="0.25">
      <c r="A61" s="18">
        <v>42530.357638888891</v>
      </c>
      <c r="B61" t="s">
        <v>121</v>
      </c>
      <c r="C61">
        <v>304</v>
      </c>
      <c r="D61">
        <v>3.63</v>
      </c>
      <c r="E61">
        <v>0.02</v>
      </c>
      <c r="F61">
        <v>63.67</v>
      </c>
    </row>
    <row r="62" spans="1:6" x14ac:dyDescent="0.25">
      <c r="A62" s="18">
        <v>42530.357638888891</v>
      </c>
      <c r="B62" t="s">
        <v>122</v>
      </c>
      <c r="C62">
        <v>1100.7</v>
      </c>
      <c r="D62">
        <v>1.91</v>
      </c>
      <c r="E62">
        <v>0.01</v>
      </c>
      <c r="F62">
        <v>74.290000000000006</v>
      </c>
    </row>
    <row r="63" spans="1:6" x14ac:dyDescent="0.25">
      <c r="A63" s="18">
        <v>42530.357638888891</v>
      </c>
      <c r="B63" t="s">
        <v>123</v>
      </c>
      <c r="C63">
        <v>1172.5999999999999</v>
      </c>
      <c r="D63">
        <v>1.85</v>
      </c>
      <c r="E63">
        <v>0.01</v>
      </c>
      <c r="F63">
        <v>84.93</v>
      </c>
    </row>
    <row r="64" spans="1:6" x14ac:dyDescent="0.25">
      <c r="A64" s="18">
        <v>42530.357638888891</v>
      </c>
      <c r="B64" t="s">
        <v>124</v>
      </c>
      <c r="C64">
        <v>1090.4000000000001</v>
      </c>
      <c r="D64">
        <v>1.92</v>
      </c>
      <c r="E64">
        <v>0.01</v>
      </c>
      <c r="F64">
        <v>95.54</v>
      </c>
    </row>
    <row r="65" spans="1:6" x14ac:dyDescent="0.25">
      <c r="A65" s="18">
        <v>42530.357638888891</v>
      </c>
      <c r="B65" t="s">
        <v>125</v>
      </c>
      <c r="C65">
        <v>2226.5</v>
      </c>
      <c r="D65">
        <v>1.34</v>
      </c>
      <c r="E65">
        <v>0</v>
      </c>
      <c r="F65">
        <v>106.18</v>
      </c>
    </row>
    <row r="66" spans="1:6" x14ac:dyDescent="0.25">
      <c r="A66" s="18">
        <v>42530.357638888891</v>
      </c>
      <c r="B66" t="s">
        <v>126</v>
      </c>
      <c r="C66">
        <v>2258.1</v>
      </c>
      <c r="D66">
        <v>1.33</v>
      </c>
      <c r="E66">
        <v>0</v>
      </c>
      <c r="F66">
        <v>116.8</v>
      </c>
    </row>
    <row r="67" spans="1:6" x14ac:dyDescent="0.25">
      <c r="A67" s="18">
        <v>42530.357638888891</v>
      </c>
      <c r="B67" t="s">
        <v>127</v>
      </c>
      <c r="C67">
        <v>2278.3000000000002</v>
      </c>
      <c r="D67">
        <v>1.33</v>
      </c>
      <c r="E67">
        <v>0</v>
      </c>
      <c r="F67">
        <v>127.43</v>
      </c>
    </row>
    <row r="68" spans="1:6" x14ac:dyDescent="0.25">
      <c r="A68" s="18">
        <v>42530.357638888891</v>
      </c>
      <c r="B68" t="s">
        <v>128</v>
      </c>
      <c r="C68">
        <v>5343.9</v>
      </c>
      <c r="D68">
        <v>0.87</v>
      </c>
      <c r="E68">
        <v>0</v>
      </c>
      <c r="F68">
        <v>138.16999999999999</v>
      </c>
    </row>
    <row r="69" spans="1:6" x14ac:dyDescent="0.25">
      <c r="A69" s="18">
        <v>42530.357638888891</v>
      </c>
      <c r="B69" t="s">
        <v>129</v>
      </c>
      <c r="C69">
        <v>5628.5</v>
      </c>
      <c r="D69">
        <v>0.84</v>
      </c>
      <c r="E69">
        <v>0</v>
      </c>
      <c r="F69">
        <v>148.82</v>
      </c>
    </row>
    <row r="70" spans="1:6" x14ac:dyDescent="0.25">
      <c r="A70" s="18">
        <v>42530.357638888891</v>
      </c>
      <c r="B70" t="s">
        <v>130</v>
      </c>
      <c r="C70">
        <v>6006.4</v>
      </c>
      <c r="D70">
        <v>0.82</v>
      </c>
      <c r="E70">
        <v>0</v>
      </c>
      <c r="F70">
        <v>159.47999999999999</v>
      </c>
    </row>
    <row r="71" spans="1:6" x14ac:dyDescent="0.25">
      <c r="A71" s="18">
        <v>42530.357638888891</v>
      </c>
      <c r="B71" t="s">
        <v>131</v>
      </c>
      <c r="C71">
        <v>11509.6</v>
      </c>
      <c r="D71">
        <v>0.59</v>
      </c>
      <c r="E71">
        <v>0</v>
      </c>
      <c r="F71">
        <v>170.15</v>
      </c>
    </row>
    <row r="72" spans="1:6" x14ac:dyDescent="0.25">
      <c r="A72" s="18">
        <v>42530.357638888891</v>
      </c>
      <c r="B72" t="s">
        <v>132</v>
      </c>
      <c r="C72">
        <v>11259.9</v>
      </c>
      <c r="D72">
        <v>0.6</v>
      </c>
      <c r="E72">
        <v>0</v>
      </c>
      <c r="F72">
        <v>180.82</v>
      </c>
    </row>
    <row r="73" spans="1:6" x14ac:dyDescent="0.25">
      <c r="A73" s="18">
        <v>42530.357638888891</v>
      </c>
      <c r="B73" t="s">
        <v>133</v>
      </c>
      <c r="C73">
        <v>11580</v>
      </c>
      <c r="D73">
        <v>0.59</v>
      </c>
      <c r="E73">
        <v>0</v>
      </c>
      <c r="F73">
        <v>191.5</v>
      </c>
    </row>
    <row r="74" spans="1:6" x14ac:dyDescent="0.25">
      <c r="A74" s="18">
        <v>42531.56527777778</v>
      </c>
      <c r="B74" t="s">
        <v>116</v>
      </c>
      <c r="C74">
        <v>75</v>
      </c>
      <c r="D74">
        <v>7.3</v>
      </c>
      <c r="E74">
        <v>0.08</v>
      </c>
      <c r="F74">
        <v>10.52</v>
      </c>
    </row>
    <row r="75" spans="1:6" x14ac:dyDescent="0.25">
      <c r="A75" s="18">
        <v>42531.56527777778</v>
      </c>
      <c r="B75" t="s">
        <v>117</v>
      </c>
      <c r="C75">
        <v>104.3</v>
      </c>
      <c r="D75">
        <v>6.19</v>
      </c>
      <c r="E75">
        <v>0.06</v>
      </c>
      <c r="F75">
        <v>21.12</v>
      </c>
    </row>
    <row r="76" spans="1:6" x14ac:dyDescent="0.25">
      <c r="A76" s="18">
        <v>42531.56527777778</v>
      </c>
      <c r="B76" t="s">
        <v>118</v>
      </c>
      <c r="C76">
        <v>75.3</v>
      </c>
      <c r="D76">
        <v>7.29</v>
      </c>
      <c r="E76">
        <v>0.08</v>
      </c>
      <c r="F76">
        <v>31.73</v>
      </c>
    </row>
    <row r="77" spans="1:6" x14ac:dyDescent="0.25">
      <c r="A77" s="18">
        <v>42531.56527777778</v>
      </c>
      <c r="B77" t="s">
        <v>119</v>
      </c>
      <c r="C77">
        <v>330.8</v>
      </c>
      <c r="D77">
        <v>3.48</v>
      </c>
      <c r="E77">
        <v>0.02</v>
      </c>
      <c r="F77">
        <v>42.36</v>
      </c>
    </row>
    <row r="78" spans="1:6" x14ac:dyDescent="0.25">
      <c r="A78" s="18">
        <v>42531.56527777778</v>
      </c>
      <c r="B78" t="s">
        <v>120</v>
      </c>
      <c r="C78">
        <v>288.5</v>
      </c>
      <c r="D78">
        <v>3.72</v>
      </c>
      <c r="E78">
        <v>0.02</v>
      </c>
      <c r="F78">
        <v>52.99</v>
      </c>
    </row>
    <row r="79" spans="1:6" x14ac:dyDescent="0.25">
      <c r="A79" s="18">
        <v>42531.56527777778</v>
      </c>
      <c r="B79" t="s">
        <v>121</v>
      </c>
      <c r="C79">
        <v>293.2</v>
      </c>
      <c r="D79">
        <v>3.69</v>
      </c>
      <c r="E79">
        <v>0.02</v>
      </c>
      <c r="F79">
        <v>63.6</v>
      </c>
    </row>
    <row r="80" spans="1:6" x14ac:dyDescent="0.25">
      <c r="A80" s="18">
        <v>42531.56527777778</v>
      </c>
      <c r="B80" t="s">
        <v>122</v>
      </c>
      <c r="C80">
        <v>1115.2</v>
      </c>
      <c r="D80">
        <v>1.89</v>
      </c>
      <c r="E80">
        <v>0.01</v>
      </c>
      <c r="F80">
        <v>74.22</v>
      </c>
    </row>
    <row r="81" spans="1:6" x14ac:dyDescent="0.25">
      <c r="A81" s="18">
        <v>42531.56527777778</v>
      </c>
      <c r="B81" t="s">
        <v>123</v>
      </c>
      <c r="C81">
        <v>1153.5</v>
      </c>
      <c r="D81">
        <v>1.86</v>
      </c>
      <c r="E81">
        <v>0.01</v>
      </c>
      <c r="F81">
        <v>84.86</v>
      </c>
    </row>
    <row r="82" spans="1:6" x14ac:dyDescent="0.25">
      <c r="A82" s="18">
        <v>42531.56527777778</v>
      </c>
      <c r="B82" t="s">
        <v>124</v>
      </c>
      <c r="C82">
        <v>1123</v>
      </c>
      <c r="D82">
        <v>1.89</v>
      </c>
      <c r="E82">
        <v>0.01</v>
      </c>
      <c r="F82">
        <v>95.48</v>
      </c>
    </row>
    <row r="83" spans="1:6" x14ac:dyDescent="0.25">
      <c r="A83" s="18">
        <v>42531.56527777778</v>
      </c>
      <c r="B83" t="s">
        <v>125</v>
      </c>
      <c r="C83">
        <v>2260.6999999999998</v>
      </c>
      <c r="D83">
        <v>1.33</v>
      </c>
      <c r="E83">
        <v>0</v>
      </c>
      <c r="F83">
        <v>106.09</v>
      </c>
    </row>
    <row r="84" spans="1:6" x14ac:dyDescent="0.25">
      <c r="A84" s="18">
        <v>42531.56527777778</v>
      </c>
      <c r="B84" t="s">
        <v>126</v>
      </c>
      <c r="C84">
        <v>2245.3000000000002</v>
      </c>
      <c r="D84">
        <v>1.33</v>
      </c>
      <c r="E84">
        <v>0</v>
      </c>
      <c r="F84">
        <v>116.73</v>
      </c>
    </row>
    <row r="85" spans="1:6" x14ac:dyDescent="0.25">
      <c r="A85" s="18">
        <v>42531.56527777778</v>
      </c>
      <c r="B85" t="s">
        <v>127</v>
      </c>
      <c r="C85">
        <v>2285.1</v>
      </c>
      <c r="D85">
        <v>1.32</v>
      </c>
      <c r="E85">
        <v>0</v>
      </c>
      <c r="F85">
        <v>127.36</v>
      </c>
    </row>
    <row r="86" spans="1:6" x14ac:dyDescent="0.25">
      <c r="A86" s="18">
        <v>42531.56527777778</v>
      </c>
      <c r="B86" t="s">
        <v>128</v>
      </c>
      <c r="C86">
        <v>5389.6</v>
      </c>
      <c r="D86">
        <v>0.86</v>
      </c>
      <c r="E86">
        <v>0</v>
      </c>
      <c r="F86">
        <v>138.1</v>
      </c>
    </row>
    <row r="87" spans="1:6" x14ac:dyDescent="0.25">
      <c r="A87" s="18">
        <v>42531.56527777778</v>
      </c>
      <c r="B87" t="s">
        <v>129</v>
      </c>
      <c r="C87">
        <v>5542.1</v>
      </c>
      <c r="D87">
        <v>0.85</v>
      </c>
      <c r="E87">
        <v>0</v>
      </c>
      <c r="F87">
        <v>148.74</v>
      </c>
    </row>
    <row r="88" spans="1:6" x14ac:dyDescent="0.25">
      <c r="A88" s="18">
        <v>42531.56527777778</v>
      </c>
      <c r="B88" t="s">
        <v>130</v>
      </c>
      <c r="C88">
        <v>6099.7</v>
      </c>
      <c r="D88">
        <v>0.81</v>
      </c>
      <c r="E88">
        <v>0</v>
      </c>
      <c r="F88">
        <v>159.38999999999999</v>
      </c>
    </row>
    <row r="89" spans="1:6" x14ac:dyDescent="0.25">
      <c r="A89" s="18">
        <v>42531.56527777778</v>
      </c>
      <c r="B89" t="s">
        <v>131</v>
      </c>
      <c r="C89">
        <v>11481.9</v>
      </c>
      <c r="D89">
        <v>0.59</v>
      </c>
      <c r="E89">
        <v>0</v>
      </c>
      <c r="F89">
        <v>170.06</v>
      </c>
    </row>
    <row r="90" spans="1:6" x14ac:dyDescent="0.25">
      <c r="A90" s="18">
        <v>42531.56527777778</v>
      </c>
      <c r="B90" t="s">
        <v>132</v>
      </c>
      <c r="C90">
        <v>11292.2</v>
      </c>
      <c r="D90">
        <v>0.6</v>
      </c>
      <c r="E90">
        <v>0</v>
      </c>
      <c r="F90">
        <v>180.73</v>
      </c>
    </row>
    <row r="91" spans="1:6" x14ac:dyDescent="0.25">
      <c r="A91" s="18">
        <v>42531.56527777778</v>
      </c>
      <c r="B91" t="s">
        <v>133</v>
      </c>
      <c r="C91">
        <v>11480.9</v>
      </c>
      <c r="D91">
        <v>0.59</v>
      </c>
      <c r="E91">
        <v>0</v>
      </c>
      <c r="F91">
        <v>191.39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1.2736666666666701</v>
      </c>
      <c r="D2">
        <v>9.2162519999999998E-2</v>
      </c>
      <c r="E2" s="1" t="s">
        <v>51</v>
      </c>
      <c r="F2" s="1">
        <f>(C2-'Calibration Data'!$L$29)/'Calibration Data'!$L$30</f>
        <v>0.14610925653083262</v>
      </c>
      <c r="G2" s="17">
        <f>'Calibration Data'!$L$19/ABS('Calibration Data'!$L$30)*SQRT(1/'Calibration Data'!$L$20+1+(F2-AVERAGE('Calibration Data'!$L$3:$L$9))^2/('Calibration Data'!$L$30^2*SUM('Calibration Data'!$J$3:$J$8)))</f>
        <v>0.12664749755571292</v>
      </c>
    </row>
    <row r="3" spans="1:7" x14ac:dyDescent="0.25">
      <c r="A3" t="s">
        <v>117</v>
      </c>
      <c r="B3" s="15" t="s">
        <v>114</v>
      </c>
      <c r="C3">
        <v>1.7413333333333301</v>
      </c>
      <c r="D3">
        <v>0.107753706666667</v>
      </c>
      <c r="E3" s="1" t="s">
        <v>51</v>
      </c>
      <c r="F3" s="1">
        <f>(C3-'Calibration Data'!$L$29)/'Calibration Data'!$L$30</f>
        <v>0.20148870646079881</v>
      </c>
      <c r="G3" s="17">
        <f>'Calibration Data'!$L$19/ABS('Calibration Data'!$L$30)*SQRT(1/'Calibration Data'!$L$20+1+(F3-AVERAGE('Calibration Data'!$L$3:$L$9))^2/('Calibration Data'!$L$30^2*SUM('Calibration Data'!$J$3:$J$8)))</f>
        <v>0.12664694457672235</v>
      </c>
    </row>
    <row r="4" spans="1:7" x14ac:dyDescent="0.25">
      <c r="A4" t="s">
        <v>118</v>
      </c>
      <c r="B4" s="15" t="s">
        <v>114</v>
      </c>
      <c r="C4">
        <v>1.2509999999999999</v>
      </c>
      <c r="D4">
        <v>9.1398060000000003E-2</v>
      </c>
      <c r="E4" s="1" t="s">
        <v>51</v>
      </c>
      <c r="F4" s="1">
        <f>(C4-'Calibration Data'!$L$29)/'Calibration Data'!$L$30</f>
        <v>0.14342514919281527</v>
      </c>
      <c r="G4" s="17">
        <f>'Calibration Data'!$L$19/ABS('Calibration Data'!$L$30)*SQRT(1/'Calibration Data'!$L$20+1+(F4-AVERAGE('Calibration Data'!$L$3:$L$9))^2/('Calibration Data'!$L$30^2*SUM('Calibration Data'!$J$3:$J$8)))</f>
        <v>0.12664752436334556</v>
      </c>
    </row>
    <row r="5" spans="1:7" x14ac:dyDescent="0.25">
      <c r="A5" t="s">
        <v>119</v>
      </c>
      <c r="B5" s="15" t="s">
        <v>114</v>
      </c>
      <c r="C5">
        <v>5.5203333333333298</v>
      </c>
      <c r="D5">
        <v>0.191886786666667</v>
      </c>
      <c r="E5" s="1" t="s">
        <v>51</v>
      </c>
      <c r="F5" s="1">
        <f>(C5-'Calibration Data'!$L$29)/'Calibration Data'!$L$30</f>
        <v>0.64898466074165106</v>
      </c>
      <c r="G5" s="17">
        <f>'Calibration Data'!$L$19/ABS('Calibration Data'!$L$30)*SQRT(1/'Calibration Data'!$L$20+1+(F5-AVERAGE('Calibration Data'!$L$3:$L$9))^2/('Calibration Data'!$L$30^2*SUM('Calibration Data'!$J$3:$J$8)))</f>
        <v>0.12664248499359132</v>
      </c>
    </row>
    <row r="6" spans="1:7" x14ac:dyDescent="0.25">
      <c r="A6" t="s">
        <v>120</v>
      </c>
      <c r="B6" s="15" t="s">
        <v>114</v>
      </c>
      <c r="C6">
        <v>4.8336666666666703</v>
      </c>
      <c r="D6">
        <v>0.17952238000000001</v>
      </c>
      <c r="E6" s="1" t="s">
        <v>51</v>
      </c>
      <c r="F6" s="1">
        <f>(C6-'Calibration Data'!$L$29)/'Calibration Data'!$L$30</f>
        <v>0.56767199726643314</v>
      </c>
      <c r="G6" s="17">
        <f>'Calibration Data'!$L$19/ABS('Calibration Data'!$L$30)*SQRT(1/'Calibration Data'!$L$20+1+(F6-AVERAGE('Calibration Data'!$L$3:$L$9))^2/('Calibration Data'!$L$30^2*SUM('Calibration Data'!$J$3:$J$8)))</f>
        <v>0.12664329416360071</v>
      </c>
    </row>
    <row r="7" spans="1:7" x14ac:dyDescent="0.25">
      <c r="A7" t="s">
        <v>121</v>
      </c>
      <c r="B7" s="15" t="s">
        <v>114</v>
      </c>
      <c r="C7">
        <v>5.0880000000000001</v>
      </c>
      <c r="D7">
        <v>0.1841856</v>
      </c>
      <c r="E7" s="1" t="s">
        <v>51</v>
      </c>
      <c r="F7" s="1">
        <f>(C7-'Calibration Data'!$L$29)/'Calibration Data'!$L$30</f>
        <v>0.59778926048565206</v>
      </c>
      <c r="G7" s="17">
        <f>'Calibration Data'!$L$19/ABS('Calibration Data'!$L$30)*SQRT(1/'Calibration Data'!$L$20+1+(F7-AVERAGE('Calibration Data'!$L$3:$L$9))^2/('Calibration Data'!$L$30^2*SUM('Calibration Data'!$J$3:$J$8)))</f>
        <v>0.12664299439624921</v>
      </c>
    </row>
    <row r="8" spans="1:7" ht="15.75" customHeight="1" x14ac:dyDescent="0.25">
      <c r="A8" t="s">
        <v>122</v>
      </c>
      <c r="B8" s="15" t="s">
        <v>114</v>
      </c>
      <c r="C8">
        <v>18.895666666666699</v>
      </c>
      <c r="D8">
        <v>0.35486062000000002</v>
      </c>
      <c r="E8" s="1" t="s">
        <v>51</v>
      </c>
      <c r="F8" s="1">
        <f>(C8-'Calibration Data'!$L$29)/'Calibration Data'!$L$30</f>
        <v>2.2328448231720581</v>
      </c>
      <c r="G8" s="17">
        <f>'Calibration Data'!$L$19/ABS('Calibration Data'!$L$30)*SQRT(1/'Calibration Data'!$L$20+1+(F8-AVERAGE('Calibration Data'!$L$3:$L$9))^2/('Calibration Data'!$L$30^2*SUM('Calibration Data'!$J$3:$J$8)))</f>
        <v>0.12662682646088458</v>
      </c>
    </row>
    <row r="9" spans="1:7" x14ac:dyDescent="0.25">
      <c r="A9" t="s">
        <v>123</v>
      </c>
      <c r="B9" s="15" t="s">
        <v>114</v>
      </c>
      <c r="C9">
        <v>19.546333333333301</v>
      </c>
      <c r="D9">
        <v>0.36082531333333301</v>
      </c>
      <c r="E9" s="1" t="s">
        <v>51</v>
      </c>
      <c r="F9" s="1">
        <f>(C9-'Calibration Data'!$L$29)/'Calibration Data'!$L$30</f>
        <v>2.3098944926398306</v>
      </c>
      <c r="G9" s="17">
        <f>'Calibration Data'!$L$19/ABS('Calibration Data'!$L$30)*SQRT(1/'Calibration Data'!$L$20+1+(F9-AVERAGE('Calibration Data'!$L$3:$L$9))^2/('Calibration Data'!$L$30^2*SUM('Calibration Data'!$J$3:$J$8)))</f>
        <v>0.12662606972239132</v>
      </c>
    </row>
    <row r="10" spans="1:7" x14ac:dyDescent="0.25">
      <c r="A10" t="s">
        <v>124</v>
      </c>
      <c r="B10" s="15" t="s">
        <v>114</v>
      </c>
      <c r="C10">
        <v>18.639333333333301</v>
      </c>
      <c r="D10">
        <v>0.35265618666666698</v>
      </c>
      <c r="E10" s="1" t="s">
        <v>51</v>
      </c>
      <c r="F10" s="1">
        <f>(C10-'Calibration Data'!$L$29)/'Calibration Data'!$L$30</f>
        <v>2.2024907269524179</v>
      </c>
      <c r="G10" s="17">
        <f>'Calibration Data'!$L$19/ABS('Calibration Data'!$L$30)*SQRT(1/'Calibration Data'!$L$20+1+(F10-AVERAGE('Calibration Data'!$L$3:$L$9))^2/('Calibration Data'!$L$30^2*SUM('Calibration Data'!$J$3:$J$8)))</f>
        <v>0.1266271247090878</v>
      </c>
    </row>
    <row r="11" spans="1:7" x14ac:dyDescent="0.25">
      <c r="A11" t="s">
        <v>125</v>
      </c>
      <c r="B11" s="15" t="s">
        <v>114</v>
      </c>
      <c r="C11">
        <v>37.508000000000003</v>
      </c>
      <c r="D11">
        <v>0.49960655999999998</v>
      </c>
      <c r="E11" s="1" t="s">
        <v>51</v>
      </c>
      <c r="F11" s="1">
        <f>(C11-'Calibration Data'!$L$29)/'Calibration Data'!$L$30</f>
        <v>4.4368521971845754</v>
      </c>
      <c r="G11" s="17">
        <f>'Calibration Data'!$L$19/ABS('Calibration Data'!$L$30)*SQRT(1/'Calibration Data'!$L$20+1+(F11-AVERAGE('Calibration Data'!$L$3:$L$9))^2/('Calibration Data'!$L$30^2*SUM('Calibration Data'!$J$3:$J$8)))</f>
        <v>0.12660536309471926</v>
      </c>
    </row>
    <row r="12" spans="1:7" x14ac:dyDescent="0.25">
      <c r="A12" t="s">
        <v>126</v>
      </c>
      <c r="B12" s="15" t="s">
        <v>114</v>
      </c>
      <c r="C12">
        <v>38.085999999999999</v>
      </c>
      <c r="D12">
        <v>0.50349692000000001</v>
      </c>
      <c r="E12" s="1" t="s">
        <v>51</v>
      </c>
      <c r="F12" s="1">
        <f>(C12-'Calibration Data'!$L$29)/'Calibration Data'!$L$30</f>
        <v>4.505296934304007</v>
      </c>
      <c r="G12" s="17">
        <f>'Calibration Data'!$L$19/ABS('Calibration Data'!$L$30)*SQRT(1/'Calibration Data'!$L$20+1+(F12-AVERAGE('Calibration Data'!$L$3:$L$9))^2/('Calibration Data'!$L$30^2*SUM('Calibration Data'!$J$3:$J$8)))</f>
        <v>0.12660470263470056</v>
      </c>
    </row>
    <row r="13" spans="1:7" x14ac:dyDescent="0.25">
      <c r="A13" t="s">
        <v>127</v>
      </c>
      <c r="B13" s="15" t="s">
        <v>114</v>
      </c>
      <c r="C13">
        <v>38.200333333333298</v>
      </c>
      <c r="D13">
        <v>0.50500840666666702</v>
      </c>
      <c r="E13" s="1" t="s">
        <v>51</v>
      </c>
      <c r="F13" s="1">
        <f>(C13-'Calibration Data'!$L$29)/'Calibration Data'!$L$30</f>
        <v>4.5188358874942942</v>
      </c>
      <c r="G13" s="17">
        <f>'Calibration Data'!$L$19/ABS('Calibration Data'!$L$30)*SQRT(1/'Calibration Data'!$L$20+1+(F13-AVERAGE('Calibration Data'!$L$3:$L$9))^2/('Calibration Data'!$L$30^2*SUM('Calibration Data'!$J$3:$J$8)))</f>
        <v>0.12660457203345341</v>
      </c>
    </row>
    <row r="14" spans="1:7" x14ac:dyDescent="0.25">
      <c r="A14" t="s">
        <v>128</v>
      </c>
      <c r="B14" s="15" t="s">
        <v>114</v>
      </c>
      <c r="C14">
        <v>90.183333333333294</v>
      </c>
      <c r="D14">
        <v>0.77738033333333301</v>
      </c>
      <c r="E14" s="1" t="s">
        <v>51</v>
      </c>
      <c r="F14" s="1">
        <f>(C14-'Calibration Data'!$L$29)/'Calibration Data'!$L$30</f>
        <v>10.674480817735507</v>
      </c>
      <c r="G14" s="17">
        <f>'Calibration Data'!$L$19/ABS('Calibration Data'!$L$30)*SQRT(1/'Calibration Data'!$L$20+1+(F14-AVERAGE('Calibration Data'!$L$3:$L$9))^2/('Calibration Data'!$L$30^2*SUM('Calibration Data'!$J$3:$J$8)))</f>
        <v>0.1265466775399873</v>
      </c>
    </row>
    <row r="15" spans="1:7" x14ac:dyDescent="0.25">
      <c r="A15" t="s">
        <v>129</v>
      </c>
      <c r="B15" s="15" t="s">
        <v>114</v>
      </c>
      <c r="C15">
        <v>93.476666666666702</v>
      </c>
      <c r="D15">
        <v>0.78894306666666703</v>
      </c>
      <c r="E15" s="1" t="s">
        <v>51</v>
      </c>
      <c r="F15" s="1">
        <f>(C15-'Calibration Data'!$L$29)/'Calibration Data'!$L$30</f>
        <v>11.064465825082682</v>
      </c>
      <c r="G15" s="17">
        <f>'Calibration Data'!$L$19/ABS('Calibration Data'!$L$30)*SQRT(1/'Calibration Data'!$L$20+1+(F15-AVERAGE('Calibration Data'!$L$3:$L$9))^2/('Calibration Data'!$L$30^2*SUM('Calibration Data'!$J$3:$J$8)))</f>
        <v>0.12654310955351133</v>
      </c>
    </row>
    <row r="16" spans="1:7" x14ac:dyDescent="0.25">
      <c r="A16" t="s">
        <v>130</v>
      </c>
      <c r="B16" s="15" t="s">
        <v>114</v>
      </c>
      <c r="C16">
        <v>98.642333333333298</v>
      </c>
      <c r="D16">
        <v>0.81083998000000002</v>
      </c>
      <c r="E16" s="1" t="s">
        <v>51</v>
      </c>
      <c r="F16" s="1">
        <f>(C16-'Calibration Data'!$L$29)/'Calibration Data'!$L$30</f>
        <v>11.676165992983385</v>
      </c>
      <c r="G16" s="17">
        <f>'Calibration Data'!$L$19/ABS('Calibration Data'!$L$30)*SQRT(1/'Calibration Data'!$L$20+1+(F16-AVERAGE('Calibration Data'!$L$3:$L$9))^2/('Calibration Data'!$L$30^2*SUM('Calibration Data'!$J$3:$J$8)))</f>
        <v>0.12653753707042772</v>
      </c>
    </row>
    <row r="17" spans="1:7" x14ac:dyDescent="0.25">
      <c r="A17" t="s">
        <v>131</v>
      </c>
      <c r="B17" s="15" t="s">
        <v>114</v>
      </c>
      <c r="C17">
        <v>191.358</v>
      </c>
      <c r="D17">
        <v>1.1290122</v>
      </c>
      <c r="E17" s="1" t="s">
        <v>51</v>
      </c>
      <c r="F17" s="1">
        <f>(C17-'Calibration Data'!$L$29)/'Calibration Data'!$L$30</f>
        <v>22.6552307539745</v>
      </c>
      <c r="G17" s="17">
        <f>'Calibration Data'!$L$19/ABS('Calibration Data'!$L$30)*SQRT(1/'Calibration Data'!$L$20+1+(F17-AVERAGE('Calibration Data'!$L$3:$L$9))^2/('Calibration Data'!$L$30^2*SUM('Calibration Data'!$J$3:$J$8)))</f>
        <v>0.12644250485416486</v>
      </c>
    </row>
    <row r="18" spans="1:7" x14ac:dyDescent="0.25">
      <c r="A18" t="s">
        <v>132</v>
      </c>
      <c r="B18" s="15" t="s">
        <v>114</v>
      </c>
      <c r="C18">
        <v>189.92766666666699</v>
      </c>
      <c r="D18">
        <v>1.12817034</v>
      </c>
      <c r="E18" s="1" t="s">
        <v>51</v>
      </c>
      <c r="F18" s="1">
        <f>(C18-'Calibration Data'!$L$29)/'Calibration Data'!$L$30</f>
        <v>22.485855686512323</v>
      </c>
      <c r="G18" s="17">
        <f>'Calibration Data'!$L$19/ABS('Calibration Data'!$L$30)*SQRT(1/'Calibration Data'!$L$20+1+(F18-AVERAGE('Calibration Data'!$L$3:$L$9))^2/('Calibration Data'!$L$30^2*SUM('Calibration Data'!$J$3:$J$8)))</f>
        <v>0.12644389914481288</v>
      </c>
    </row>
    <row r="19" spans="1:7" x14ac:dyDescent="0.25">
      <c r="A19" t="s">
        <v>133</v>
      </c>
      <c r="B19" s="15" t="s">
        <v>114</v>
      </c>
      <c r="C19">
        <v>190.76466666666701</v>
      </c>
      <c r="D19">
        <v>1.1293268266666701</v>
      </c>
      <c r="E19" s="1" t="s">
        <v>51</v>
      </c>
      <c r="F19" s="1">
        <f>(C19-'Calibration Data'!$L$29)/'Calibration Data'!$L$30</f>
        <v>22.584970297185272</v>
      </c>
      <c r="G19" s="17">
        <f>'Calibration Data'!$L$19/ABS('Calibration Data'!$L$30)*SQRT(1/'Calibration Data'!$L$20+1+(F19-AVERAGE('Calibration Data'!$L$3:$L$9))^2/('Calibration Data'!$L$30^2*SUM('Calibration Data'!$J$3:$J$8)))</f>
        <v>0.12644308296299253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0.14610925653083262</v>
      </c>
      <c r="J2" s="1">
        <f>'Count-&gt;Actual Activity'!G2</f>
        <v>0.12664749755571292</v>
      </c>
      <c r="K2" s="1">
        <v>10</v>
      </c>
      <c r="L2" s="1">
        <v>0.02</v>
      </c>
      <c r="M2" s="1"/>
      <c r="N2" s="1"/>
      <c r="O2" s="1"/>
      <c r="P2" s="1"/>
      <c r="Q2">
        <f>I2/K2</f>
        <v>1.4610925653083261E-2</v>
      </c>
      <c r="R2">
        <f>SQRT((L2/K2)^2+(J2/I2)^2)*Q2</f>
        <v>1.2664783467862244E-2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-36.527314132708156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0.20148870646079881</v>
      </c>
      <c r="J3" s="1">
        <f>'Count-&gt;Actual Activity'!G3</f>
        <v>0.12664694457672235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2.014887064607988E-2</v>
      </c>
      <c r="R3">
        <f t="shared" ref="R3:R19" si="3">SQRT((L3/K3)^2+(J3/I3)^2)*Q3</f>
        <v>1.2664758569121918E-2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-50.372176615199706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0.14342514919281527</v>
      </c>
      <c r="J4" s="1">
        <f>'Count-&gt;Actual Activity'!G4</f>
        <v>0.12664752436334556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1.4342514919281527E-2</v>
      </c>
      <c r="R4">
        <f t="shared" si="3"/>
        <v>1.2664784921370711E-2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-33.354685858794248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0.64898466074165106</v>
      </c>
      <c r="J5" s="1">
        <f>'Count-&gt;Actual Activity'!G5</f>
        <v>0.12664248499359132</v>
      </c>
      <c r="K5" s="1">
        <v>10</v>
      </c>
      <c r="L5" s="1">
        <v>0.02</v>
      </c>
      <c r="M5" s="1"/>
      <c r="N5" s="1"/>
      <c r="O5" s="1"/>
      <c r="P5" s="1"/>
      <c r="Q5">
        <f t="shared" si="2"/>
        <v>6.4898466074165106E-2</v>
      </c>
      <c r="R5">
        <f t="shared" si="3"/>
        <v>1.2664913631648468E-2</v>
      </c>
      <c r="S5">
        <f>B5*Parameters!$B$6</f>
        <v>4.1210563380281693</v>
      </c>
      <c r="T5">
        <f>SQRT((C5/B5)^2+(Parameters!$C$6/Parameters!$B$6)^2)*'Bottle Results'!S5</f>
        <v>0.20564888329807601</v>
      </c>
      <c r="U5">
        <f t="shared" si="0"/>
        <v>-65.799729705231712</v>
      </c>
      <c r="W5">
        <f t="shared" si="1"/>
        <v>-0.5748017195323647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0.56767199726643314</v>
      </c>
      <c r="J6" s="1">
        <f>'Count-&gt;Actual Activity'!G6</f>
        <v>0.12664329416360071</v>
      </c>
      <c r="K6" s="1">
        <v>10</v>
      </c>
      <c r="L6" s="1">
        <v>0.02</v>
      </c>
      <c r="M6" s="1"/>
      <c r="N6" s="1"/>
      <c r="O6" s="1"/>
      <c r="P6" s="1"/>
      <c r="Q6">
        <f t="shared" si="2"/>
        <v>5.6767199726643312E-2</v>
      </c>
      <c r="R6">
        <f t="shared" si="3"/>
        <v>1.2664838318191915E-2</v>
      </c>
      <c r="S6">
        <f>B6*Parameters!$B$6</f>
        <v>4.1210563380281693</v>
      </c>
      <c r="T6">
        <f>SQRT((C6/B6)^2+(Parameters!$C$6/Parameters!$B$6)^2)*'Bottle Results'!S6</f>
        <v>0.20564888329807601</v>
      </c>
      <c r="U6">
        <f t="shared" si="0"/>
        <v>-37.039610348480053</v>
      </c>
      <c r="W6">
        <f t="shared" si="1"/>
        <v>-0.37749147476603329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0.59778926048565206</v>
      </c>
      <c r="J7" s="1">
        <f>'Count-&gt;Actual Activity'!G7</f>
        <v>0.12664299439624921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5.9778926048565204E-2</v>
      </c>
      <c r="R7">
        <f t="shared" si="3"/>
        <v>1.2664863772519706E-2</v>
      </c>
      <c r="S7">
        <f>B7*Parameters!$B$6</f>
        <v>4.1210563380281693</v>
      </c>
      <c r="T7">
        <f>SQRT((C7/B7)^2+(Parameters!$C$6/Parameters!$B$6)^2)*'Bottle Results'!S7</f>
        <v>0.20564888329807601</v>
      </c>
      <c r="U7">
        <f t="shared" si="0"/>
        <v>-43.182238763450023</v>
      </c>
      <c r="W7">
        <f t="shared" si="1"/>
        <v>-0.45057289066734874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2.2328448231720581</v>
      </c>
      <c r="J8" s="1">
        <f>'Count-&gt;Actual Activity'!G8</f>
        <v>0.12662682646088458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0.22328448231720582</v>
      </c>
      <c r="R8">
        <f t="shared" si="3"/>
        <v>1.2670554669615867E-2</v>
      </c>
      <c r="S8">
        <f>B8*Parameters!$B$6</f>
        <v>20.634929577464792</v>
      </c>
      <c r="T8">
        <f>SQRT((C8/B8)^2+(Parameters!$C$6/Parameters!$B$6)^2)*'Bottle Results'!S8</f>
        <v>1.0310023184256607</v>
      </c>
      <c r="U8">
        <f t="shared" si="0"/>
        <v>-39.384154750134655</v>
      </c>
      <c r="W8">
        <f t="shared" si="1"/>
        <v>-8.2070483831709576E-2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2.3098944926398306</v>
      </c>
      <c r="J9" s="1">
        <f>'Count-&gt;Actual Activity'!G9</f>
        <v>0.12662606972239132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0.23098944926398307</v>
      </c>
      <c r="R9">
        <f t="shared" si="3"/>
        <v>1.2671031522180198E-2</v>
      </c>
      <c r="S9">
        <f>B9*Parameters!$B$6</f>
        <v>20.634929577464792</v>
      </c>
      <c r="T9">
        <f>SQRT((C9/B9)^2+(Parameters!$C$6/Parameters!$B$6)^2)*'Bottle Results'!S9</f>
        <v>1.0310023184256607</v>
      </c>
      <c r="U9">
        <f t="shared" si="0"/>
        <v>-63.179880741884993</v>
      </c>
      <c r="W9">
        <f t="shared" si="1"/>
        <v>-0.11940992285355033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2.2024907269524179</v>
      </c>
      <c r="J10" s="1">
        <f>'Count-&gt;Actual Activity'!G10</f>
        <v>0.1266271247090878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0.2202490726952418</v>
      </c>
      <c r="R10">
        <f t="shared" si="3"/>
        <v>1.2670371965218748E-2</v>
      </c>
      <c r="S10">
        <f>B10*Parameters!$B$6</f>
        <v>20.634929577464792</v>
      </c>
      <c r="T10">
        <f>SQRT((C10/B10)^2+(Parameters!$C$6/Parameters!$B$6)^2)*'Bottle Results'!S10</f>
        <v>1.0310023184256607</v>
      </c>
      <c r="U10">
        <f t="shared" si="0"/>
        <v>-30.88839315687532</v>
      </c>
      <c r="W10">
        <f t="shared" si="1"/>
        <v>-6.7360428192465002E-2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4.4368521971845754</v>
      </c>
      <c r="J11" s="1">
        <f>'Count-&gt;Actual Activity'!G11</f>
        <v>0.12660536309471926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0.44368521971845754</v>
      </c>
      <c r="R11">
        <f t="shared" si="3"/>
        <v>1.2691595878385172E-2</v>
      </c>
      <c r="S11">
        <f>B11*Parameters!$B$6</f>
        <v>41.210563380281698</v>
      </c>
      <c r="T11">
        <f>SQRT((C11/B11)^2+(Parameters!$C$6/Parameters!$B$6)^2)*'Bottle Results'!S11</f>
        <v>2.0564888329807602</v>
      </c>
      <c r="U11">
        <f t="shared" si="0"/>
        <v>-87.721071987890383</v>
      </c>
      <c r="W11">
        <f t="shared" si="1"/>
        <v>-7.6629833046035559E-2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4.505296934304007</v>
      </c>
      <c r="J12" s="1">
        <f>'Count-&gt;Actual Activity'!G12</f>
        <v>0.12660470263470056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0.45052969343040072</v>
      </c>
      <c r="R12">
        <f t="shared" si="3"/>
        <v>1.269249444793495E-2</v>
      </c>
      <c r="S12">
        <f>B12*Parameters!$B$6</f>
        <v>41.210563380281698</v>
      </c>
      <c r="T12">
        <f>SQRT((C12/B12)^2+(Parameters!$C$6/Parameters!$B$6)^2)*'Bottle Results'!S12</f>
        <v>2.0564888329807602</v>
      </c>
      <c r="U12">
        <f t="shared" si="0"/>
        <v>-80.050124224132858</v>
      </c>
      <c r="W12">
        <f t="shared" si="1"/>
        <v>-9.3238375008405733E-2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4.5188358874942942</v>
      </c>
      <c r="J13" s="1">
        <f>'Count-&gt;Actual Activity'!G13</f>
        <v>0.12660457203345341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0.45188358874942941</v>
      </c>
      <c r="R13">
        <f t="shared" si="3"/>
        <v>1.2692673938491572E-2</v>
      </c>
      <c r="S13">
        <f>B13*Parameters!$B$6</f>
        <v>41.210563380281698</v>
      </c>
      <c r="T13">
        <f>SQRT((C13/B13)^2+(Parameters!$C$6/Parameters!$B$6)^2)*'Bottle Results'!S13</f>
        <v>2.0564888329807602</v>
      </c>
      <c r="U13">
        <f t="shared" si="0"/>
        <v>-107.50798634219579</v>
      </c>
      <c r="W13">
        <f t="shared" si="1"/>
        <v>-9.6523686365436276E-2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10.674480817735507</v>
      </c>
      <c r="J14" s="1">
        <f>'Count-&gt;Actual Activity'!G14</f>
        <v>0.1265466775399873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1.0674480817735508</v>
      </c>
      <c r="R14">
        <f t="shared" si="3"/>
        <v>1.2833487351192717E-2</v>
      </c>
      <c r="S14">
        <f>B14*Parameters!$B$6</f>
        <v>103.17464788732396</v>
      </c>
      <c r="T14">
        <f>SQRT((C14/B14)^2+(Parameters!$C$6/Parameters!$B$6)^2)*'Bottle Results'!S14</f>
        <v>5.1805254252642339</v>
      </c>
      <c r="U14">
        <f t="shared" si="0"/>
        <v>-102.00457971517501</v>
      </c>
      <c r="W14">
        <f t="shared" si="1"/>
        <v>-3.4603077045923761E-2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11.064465825082682</v>
      </c>
      <c r="J15" s="1">
        <f>'Count-&gt;Actual Activity'!G15</f>
        <v>0.12654310955351133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1.1064465825082681</v>
      </c>
      <c r="R15">
        <f t="shared" si="3"/>
        <v>1.2846341187843977E-2</v>
      </c>
      <c r="S15">
        <f>B15*Parameters!$B$6</f>
        <v>103.17464788732396</v>
      </c>
      <c r="T15">
        <f>SQRT((C15/B15)^2+(Parameters!$C$6/Parameters!$B$6)^2)*'Bottle Results'!S15</f>
        <v>5.1805254252642339</v>
      </c>
      <c r="U15">
        <f t="shared" si="0"/>
        <v>-162.39152964136633</v>
      </c>
      <c r="W15">
        <f t="shared" si="1"/>
        <v>-7.2401607531152212E-2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11.676165992983385</v>
      </c>
      <c r="J16" s="1">
        <f>'Count-&gt;Actual Activity'!G16</f>
        <v>0.12653753707042772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1.1676165992983385</v>
      </c>
      <c r="R16">
        <f t="shared" si="3"/>
        <v>1.2867431638455546E-2</v>
      </c>
      <c r="S16">
        <f>B16*Parameters!$B$6</f>
        <v>103.17464788732396</v>
      </c>
      <c r="T16">
        <f>SQRT((C16/B16)^2+(Parameters!$C$6/Parameters!$B$6)^2)*'Bottle Results'!S16</f>
        <v>5.1805254252642339</v>
      </c>
      <c r="U16">
        <f t="shared" si="0"/>
        <v>-315.97702424441627</v>
      </c>
      <c r="W16">
        <f t="shared" si="1"/>
        <v>-0.13168944426491422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22.6552307539745</v>
      </c>
      <c r="J17" s="1">
        <f>'Count-&gt;Actual Activity'!G17</f>
        <v>0.12644250485416486</v>
      </c>
      <c r="K17" s="1">
        <v>10</v>
      </c>
      <c r="L17" s="1">
        <v>0.02</v>
      </c>
      <c r="Q17">
        <f t="shared" si="2"/>
        <v>2.26552307539745</v>
      </c>
      <c r="R17">
        <f t="shared" si="3"/>
        <v>1.3431584030135401E-2</v>
      </c>
      <c r="S17">
        <f>B17*Parameters!$B$6</f>
        <v>206.34929577464791</v>
      </c>
      <c r="T17">
        <f>SQRT((C17/B17)^2+(Parameters!$C$6/Parameters!$B$6)^2)*'Bottle Results'!S17</f>
        <v>10.310023184256607</v>
      </c>
      <c r="U17">
        <f t="shared" si="0"/>
        <v>-561.19477125269736</v>
      </c>
      <c r="W17">
        <f t="shared" si="1"/>
        <v>-9.7906860739474577E-2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22.485855686512323</v>
      </c>
      <c r="J18" s="1">
        <f>'Count-&gt;Actual Activity'!G18</f>
        <v>0.12644389914481288</v>
      </c>
      <c r="K18" s="1">
        <v>10</v>
      </c>
      <c r="L18" s="1">
        <v>0.02</v>
      </c>
      <c r="Q18">
        <f t="shared" si="2"/>
        <v>2.2485855686512322</v>
      </c>
      <c r="R18">
        <f t="shared" si="3"/>
        <v>1.3420325798862799E-2</v>
      </c>
      <c r="S18">
        <f>B18*Parameters!$B$6</f>
        <v>206.34929577464791</v>
      </c>
      <c r="T18">
        <f>SQRT((C18/B18)^2+(Parameters!$C$6/Parameters!$B$6)^2)*'Bottle Results'!S18</f>
        <v>10.310023184256607</v>
      </c>
      <c r="U18">
        <f t="shared" si="0"/>
        <v>-514.14614140209153</v>
      </c>
      <c r="W18">
        <f t="shared" si="1"/>
        <v>-8.9698687950401715E-2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22.584970297185272</v>
      </c>
      <c r="J19" s="1">
        <f>'Count-&gt;Actual Activity'!G19</f>
        <v>0.12644308296299253</v>
      </c>
      <c r="K19" s="1">
        <v>10</v>
      </c>
      <c r="L19" s="1">
        <v>0.02</v>
      </c>
      <c r="Q19">
        <f t="shared" si="2"/>
        <v>2.2584970297185274</v>
      </c>
      <c r="R19">
        <f t="shared" si="3"/>
        <v>1.3426904618148288E-2</v>
      </c>
      <c r="S19">
        <f>B19*Parameters!$B$6</f>
        <v>206.34929577464791</v>
      </c>
      <c r="T19">
        <f>SQRT((C19/B19)^2+(Parameters!$C$6/Parameters!$B$6)^2)*'Bottle Results'!S19</f>
        <v>10.310023184256607</v>
      </c>
      <c r="U19">
        <f t="shared" si="0"/>
        <v>-390.00814394409645</v>
      </c>
      <c r="W19">
        <f t="shared" si="1"/>
        <v>-9.4501932386050064E-2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1.6367437072814888E-2</v>
      </c>
      <c r="C2">
        <f>_xlfn.STDEV.S('Bottle Results'!Q2:Q4)</f>
        <v>3.2775663200409421E-3</v>
      </c>
      <c r="D2">
        <f>AVERAGE('Bottle Results'!U2:U4)</f>
        <v>-40.084725535567372</v>
      </c>
      <c r="E2">
        <f>_xlfn.STDEV.S('Bottle Results'!U2:U4)</f>
        <v>9.0493165392741499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2.9933333333333336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6.0481530616457869E-2</v>
      </c>
      <c r="C3">
        <f>_xlfn.STDEV.S('Bottle Results'!Q5:Q7)</f>
        <v>4.110913887167042E-3</v>
      </c>
      <c r="D3">
        <f>AVERAGE('Bottle Results'!U5:U7)</f>
        <v>-48.673859605720594</v>
      </c>
      <c r="E3">
        <f>_xlfn.STDEV.S('Bottle Results'!U5:U7)</f>
        <v>15.14610646206134</v>
      </c>
      <c r="F3">
        <f>AVERAGE('Bottle Results'!S5:S7)</f>
        <v>4.1210563380281693</v>
      </c>
      <c r="G3">
        <f>AVERAGE('Bottle Results'!W5:W7)</f>
        <v>-0.46762202832191563</v>
      </c>
      <c r="H3">
        <f>_xlfn.STDEV.S('Bottle Results'!W5:W7)</f>
        <v>9.9753887109779601E-2</v>
      </c>
      <c r="I3">
        <f>AVERAGE('Bottle Results'!D5:D7)</f>
        <v>2.9933333333333336</v>
      </c>
      <c r="J3">
        <f>_xlfn.STDEV.S('Bottle Results'!D5:D7)</f>
        <v>1.1547005383792526E-2</v>
      </c>
    </row>
    <row r="4" spans="1:10" x14ac:dyDescent="0.25">
      <c r="A4">
        <v>50</v>
      </c>
      <c r="B4">
        <f>AVERAGE('Bottle Results'!Q8:Q10)</f>
        <v>0.22484100142547692</v>
      </c>
      <c r="C4">
        <f>_xlfn.STDEV.S('Bottle Results'!Q8:Q10)</f>
        <v>5.5367848080272513E-3</v>
      </c>
      <c r="D4">
        <f>AVERAGE('Bottle Results'!U8:U10)</f>
        <v>-44.484142882964989</v>
      </c>
      <c r="E4">
        <f>_xlfn.STDEV.S('Bottle Results'!U8:U10)</f>
        <v>16.738950141196622</v>
      </c>
      <c r="F4">
        <f>AVERAGE('Bottle Results'!S8:S10)</f>
        <v>20.634929577464792</v>
      </c>
      <c r="G4">
        <f>AVERAGE('Bottle Results'!W8:W10)</f>
        <v>-8.9613611625908307E-2</v>
      </c>
      <c r="H4">
        <f>_xlfn.STDEV.S('Bottle Results'!W8:W10)</f>
        <v>2.6832099364535279E-2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0.44869950063276254</v>
      </c>
      <c r="C5">
        <f>_xlfn.STDEV.S('Bottle Results'!Q11:Q13)</f>
        <v>4.3949423146833954E-3</v>
      </c>
      <c r="D5">
        <f>AVERAGE('Bottle Results'!U11:U13)</f>
        <v>-91.759727518073021</v>
      </c>
      <c r="E5">
        <f>_xlfn.STDEV.S('Bottle Results'!U11:U13)</f>
        <v>14.167448672652514</v>
      </c>
      <c r="F5">
        <f>AVERAGE('Bottle Results'!S11:S13)</f>
        <v>41.210563380281698</v>
      </c>
      <c r="G5">
        <f>AVERAGE('Bottle Results'!W11:W13)</f>
        <v>-8.8797298139959194E-2</v>
      </c>
      <c r="H5">
        <f>_xlfn.STDEV.S('Bottle Results'!W11:W13)</f>
        <v>1.0664601389036814E-2</v>
      </c>
      <c r="I5">
        <f>AVERAGE('Bottle Results'!D11:D13)</f>
        <v>3.0033333333333334</v>
      </c>
      <c r="J5">
        <f>_xlfn.STDEV.S('Bottle Results'!D3:D11)</f>
        <v>8.3333333333332742E-3</v>
      </c>
    </row>
    <row r="6" spans="1:10" x14ac:dyDescent="0.25">
      <c r="A6">
        <v>250</v>
      </c>
      <c r="B6">
        <f>AVERAGE('Bottle Results'!Q14:Q16)</f>
        <v>1.1138370878600525</v>
      </c>
      <c r="C6">
        <f>_xlfn.STDEV.S('Bottle Results'!Q14:Q16)</f>
        <v>5.0491560213509853E-2</v>
      </c>
      <c r="D6">
        <f>AVERAGE('Bottle Results'!U14:U16)</f>
        <v>-193.45771120031918</v>
      </c>
      <c r="E6">
        <f>_xlfn.STDEV.S('Bottle Results'!U14:U16)</f>
        <v>110.31719032836716</v>
      </c>
      <c r="F6">
        <f>AVERAGE('Bottle Results'!S14:S16)</f>
        <v>103.17464788732396</v>
      </c>
      <c r="G6">
        <f>AVERAGE('Bottle Results'!W14:W16)</f>
        <v>-7.956470961399674E-2</v>
      </c>
      <c r="H6">
        <f>_xlfn.STDEV.S('Bottle Results'!W14:W16)</f>
        <v>4.8937952537188377E-2</v>
      </c>
      <c r="I6">
        <f>AVERAGE('Bottle Results'!D14:D16)</f>
        <v>2.9933333333333336</v>
      </c>
      <c r="J6">
        <f>_xlfn.STDEV.S('Bottle Results'!D14:D16)</f>
        <v>1.1547005383792526E-2</v>
      </c>
    </row>
    <row r="7" spans="1:10" x14ac:dyDescent="0.25">
      <c r="A7">
        <v>500</v>
      </c>
      <c r="B7">
        <f>AVERAGE('Bottle Results'!Q17:Q19)</f>
        <v>2.2575352245890699</v>
      </c>
      <c r="C7">
        <f>_xlfn.STDEV.S('Bottle Results'!Q17:Q19)</f>
        <v>8.5096172372693679E-3</v>
      </c>
      <c r="D7">
        <f>AVERAGE('Bottle Results'!U17:U19)</f>
        <v>-488.44968553296184</v>
      </c>
      <c r="E7">
        <f>_xlfn.STDEV.S('Bottle Results'!U17:U19)</f>
        <v>88.438940662465171</v>
      </c>
      <c r="F7">
        <f>AVERAGE('Bottle Results'!S17:S19)</f>
        <v>206.34929577464791</v>
      </c>
      <c r="G7">
        <f>AVERAGE('Bottle Results'!W17:W19)</f>
        <v>-9.4035827025308771E-2</v>
      </c>
      <c r="H7">
        <f>_xlfn.STDEV.S('Bottle Results'!W17:W19)</f>
        <v>4.1238896432012903E-3</v>
      </c>
      <c r="I7">
        <f>AVERAGE('Bottle Results'!D17:D19)</f>
        <v>2.9933333333333336</v>
      </c>
      <c r="J7">
        <f>_xlfn.STDEV.S('Bottle Results'!D17:D19)</f>
        <v>1.1547005383792526E-2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2017-06-12T21:28:24Z</dcterms:modified>
</cp:coreProperties>
</file>