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Sorption_April30_2017\"/>
    </mc:Choice>
  </mc:AlternateContent>
  <bookViews>
    <workbookView xWindow="0" yWindow="0" windowWidth="7470" windowHeight="12285" firstSheet="3" activeTab="5"/>
    <workbookView visibility="hidden" xWindow="0" yWindow="0" windowWidth="28800" windowHeight="11835" firstSheet="3" activeTab="5"/>
    <workbookView visibility="hidden" xWindow="0" yWindow="0" windowWidth="28800" windowHeight="11835" firstSheet="3" activeTab="5"/>
    <workbookView xWindow="0" yWindow="0" windowWidth="28770" windowHeight="9405" firstSheet="3" activeTab="4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8" l="1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5" i="8"/>
  <c r="H2" i="8"/>
  <c r="B2" i="8"/>
  <c r="C6" i="1"/>
  <c r="B6" i="1"/>
  <c r="R3" i="5" l="1"/>
  <c r="S3" i="5" s="1"/>
  <c r="T3" i="5"/>
  <c r="U3" i="5" s="1"/>
  <c r="R4" i="5"/>
  <c r="S4" i="5"/>
  <c r="T4" i="5"/>
  <c r="U4" i="5" s="1"/>
  <c r="R5" i="5"/>
  <c r="S5" i="5" s="1"/>
  <c r="T5" i="5"/>
  <c r="V5" i="5" s="1"/>
  <c r="U5" i="5"/>
  <c r="R6" i="5"/>
  <c r="S6" i="5" s="1"/>
  <c r="T6" i="5"/>
  <c r="U6" i="5" s="1"/>
  <c r="X6" i="5"/>
  <c r="R7" i="5"/>
  <c r="S7" i="5"/>
  <c r="T7" i="5"/>
  <c r="U7" i="5" s="1"/>
  <c r="R8" i="5"/>
  <c r="S8" i="5"/>
  <c r="T8" i="5"/>
  <c r="V8" i="5" s="1"/>
  <c r="U8" i="5"/>
  <c r="R9" i="5"/>
  <c r="S9" i="5" s="1"/>
  <c r="T9" i="5"/>
  <c r="X9" i="5" s="1"/>
  <c r="U9" i="5"/>
  <c r="V9" i="5"/>
  <c r="R10" i="5"/>
  <c r="S10" i="5" s="1"/>
  <c r="T10" i="5"/>
  <c r="U10" i="5" s="1"/>
  <c r="X10" i="5"/>
  <c r="R11" i="5"/>
  <c r="S11" i="5"/>
  <c r="T11" i="5"/>
  <c r="V11" i="5" s="1"/>
  <c r="U11" i="5"/>
  <c r="R12" i="5"/>
  <c r="S12" i="5"/>
  <c r="T12" i="5"/>
  <c r="V12" i="5" s="1"/>
  <c r="U12" i="5"/>
  <c r="X12" i="5"/>
  <c r="R13" i="5"/>
  <c r="S13" i="5" s="1"/>
  <c r="T13" i="5"/>
  <c r="V13" i="5" s="1"/>
  <c r="U13" i="5"/>
  <c r="R14" i="5"/>
  <c r="S14" i="5"/>
  <c r="T14" i="5"/>
  <c r="U14" i="5" s="1"/>
  <c r="X14" i="5"/>
  <c r="R15" i="5"/>
  <c r="S15" i="5"/>
  <c r="T15" i="5"/>
  <c r="V15" i="5" s="1"/>
  <c r="U15" i="5"/>
  <c r="R16" i="5"/>
  <c r="S16" i="5"/>
  <c r="T16" i="5"/>
  <c r="V16" i="5" s="1"/>
  <c r="U16" i="5"/>
  <c r="X16" i="5"/>
  <c r="R17" i="5"/>
  <c r="S17" i="5" s="1"/>
  <c r="T17" i="5"/>
  <c r="U17" i="5" s="1"/>
  <c r="R18" i="5"/>
  <c r="S18" i="5"/>
  <c r="T18" i="5"/>
  <c r="U18" i="5" s="1"/>
  <c r="X18" i="5"/>
  <c r="R19" i="5"/>
  <c r="S19" i="5"/>
  <c r="T19" i="5"/>
  <c r="V19" i="5" s="1"/>
  <c r="U19" i="5"/>
  <c r="R20" i="5"/>
  <c r="S20" i="5"/>
  <c r="T20" i="5"/>
  <c r="V20" i="5" s="1"/>
  <c r="U20" i="5"/>
  <c r="R21" i="5"/>
  <c r="S21" i="5" s="1"/>
  <c r="T21" i="5"/>
  <c r="U21" i="5"/>
  <c r="V21" i="5"/>
  <c r="X21" i="5"/>
  <c r="R22" i="5"/>
  <c r="S22" i="5"/>
  <c r="T22" i="5"/>
  <c r="U22" i="5" s="1"/>
  <c r="R23" i="5"/>
  <c r="S23" i="5"/>
  <c r="T23" i="5"/>
  <c r="V23" i="5" s="1"/>
  <c r="U23" i="5"/>
  <c r="R24" i="5"/>
  <c r="S24" i="5"/>
  <c r="T24" i="5"/>
  <c r="V24" i="5" s="1"/>
  <c r="R25" i="5"/>
  <c r="S25" i="5" s="1"/>
  <c r="T25" i="5"/>
  <c r="U25" i="5"/>
  <c r="V25" i="5"/>
  <c r="X25" i="5"/>
  <c r="R26" i="5"/>
  <c r="S26" i="5"/>
  <c r="T26" i="5"/>
  <c r="U26" i="5" s="1"/>
  <c r="X26" i="5"/>
  <c r="R27" i="5"/>
  <c r="S27" i="5"/>
  <c r="T27" i="5"/>
  <c r="V27" i="5" s="1"/>
  <c r="U27" i="5"/>
  <c r="R28" i="5"/>
  <c r="S28" i="5"/>
  <c r="T28" i="5"/>
  <c r="V28" i="5" s="1"/>
  <c r="U28" i="5"/>
  <c r="X28" i="5"/>
  <c r="R29" i="5"/>
  <c r="S29" i="5" s="1"/>
  <c r="T29" i="5"/>
  <c r="V29" i="5" s="1"/>
  <c r="U29" i="5"/>
  <c r="G3" i="5"/>
  <c r="G4" i="5"/>
  <c r="G5" i="5"/>
  <c r="G6" i="5"/>
  <c r="G7" i="5"/>
  <c r="G8" i="5"/>
  <c r="G9" i="5"/>
  <c r="G10" i="5"/>
  <c r="G11" i="5"/>
  <c r="G12" i="5"/>
  <c r="G13" i="5"/>
  <c r="G2" i="5"/>
  <c r="F13" i="5"/>
  <c r="F12" i="5"/>
  <c r="F11" i="5"/>
  <c r="F10" i="5"/>
  <c r="F9" i="5"/>
  <c r="F8" i="5"/>
  <c r="F7" i="5"/>
  <c r="F6" i="5"/>
  <c r="F5" i="5"/>
  <c r="F4" i="5"/>
  <c r="F3" i="5"/>
  <c r="F2" i="5"/>
  <c r="C8" i="1"/>
  <c r="B8" i="1"/>
  <c r="X17" i="5" l="1"/>
  <c r="V17" i="5"/>
  <c r="X24" i="5"/>
  <c r="X29" i="5"/>
  <c r="U24" i="5"/>
  <c r="X22" i="5"/>
  <c r="X13" i="5"/>
  <c r="X5" i="5"/>
  <c r="X20" i="5"/>
  <c r="V26" i="5"/>
  <c r="V22" i="5"/>
  <c r="V18" i="5"/>
  <c r="V14" i="5"/>
  <c r="V10" i="5"/>
  <c r="V6" i="5"/>
  <c r="X27" i="5"/>
  <c r="X23" i="5"/>
  <c r="X19" i="5"/>
  <c r="X15" i="5"/>
  <c r="X11" i="5"/>
  <c r="X7" i="5"/>
  <c r="X3" i="5"/>
  <c r="V7" i="5"/>
  <c r="V3" i="5"/>
  <c r="X8" i="5"/>
  <c r="X4" i="5"/>
  <c r="V4" i="5"/>
  <c r="J3" i="5" l="1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F3" i="2"/>
  <c r="G3" i="2" s="1"/>
  <c r="F4" i="2"/>
  <c r="G4" i="2"/>
  <c r="F5" i="2"/>
  <c r="G5" i="2"/>
  <c r="F6" i="2"/>
  <c r="G6" i="2"/>
  <c r="F7" i="2"/>
  <c r="G7" i="2" s="1"/>
  <c r="F8" i="2"/>
  <c r="G8" i="2"/>
  <c r="F9" i="2"/>
  <c r="G9" i="2"/>
  <c r="F10" i="2"/>
  <c r="G10" i="2"/>
  <c r="F11" i="2"/>
  <c r="G11" i="2" s="1"/>
  <c r="F12" i="2"/>
  <c r="G12" i="2"/>
  <c r="F13" i="2"/>
  <c r="G13" i="2"/>
  <c r="F14" i="2"/>
  <c r="G14" i="2"/>
  <c r="F15" i="2"/>
  <c r="G15" i="2" s="1"/>
  <c r="F16" i="2"/>
  <c r="G16" i="2"/>
  <c r="F17" i="2"/>
  <c r="G17" i="2"/>
  <c r="F18" i="2"/>
  <c r="G18" i="2"/>
  <c r="F19" i="2"/>
  <c r="G19" i="2" s="1"/>
  <c r="F20" i="2"/>
  <c r="G20" i="2"/>
  <c r="F21" i="2"/>
  <c r="G21" i="2"/>
  <c r="F22" i="2"/>
  <c r="G22" i="2"/>
  <c r="F23" i="2"/>
  <c r="G23" i="2" s="1"/>
  <c r="F24" i="2"/>
  <c r="G24" i="2"/>
  <c r="F25" i="2"/>
  <c r="G25" i="2"/>
  <c r="F26" i="2"/>
  <c r="G26" i="2"/>
  <c r="F27" i="2"/>
  <c r="G27" i="2" s="1"/>
  <c r="F28" i="2"/>
  <c r="G28" i="2"/>
  <c r="F29" i="2"/>
  <c r="G29" i="2"/>
  <c r="G2" i="2"/>
  <c r="F2" i="2"/>
  <c r="L10" i="9"/>
  <c r="K9" i="9"/>
  <c r="G9" i="9"/>
  <c r="D9" i="9"/>
  <c r="L9" i="9" s="1"/>
  <c r="C9" i="9"/>
  <c r="E9" i="9" s="1"/>
  <c r="L8" i="9"/>
  <c r="K8" i="9"/>
  <c r="H8" i="9"/>
  <c r="I8" i="9" s="1"/>
  <c r="J8" i="9" s="1"/>
  <c r="E8" i="9"/>
  <c r="D8" i="9"/>
  <c r="L7" i="9"/>
  <c r="K7" i="9"/>
  <c r="I7" i="9"/>
  <c r="E7" i="9"/>
  <c r="D7" i="9"/>
  <c r="L6" i="9"/>
  <c r="K6" i="9"/>
  <c r="I6" i="9"/>
  <c r="H6" i="9"/>
  <c r="E6" i="9"/>
  <c r="D6" i="9"/>
  <c r="L5" i="9"/>
  <c r="K5" i="9"/>
  <c r="H5" i="9"/>
  <c r="I5" i="9" s="1"/>
  <c r="J5" i="9" s="1"/>
  <c r="E5" i="9"/>
  <c r="D5" i="9"/>
  <c r="K4" i="9"/>
  <c r="H4" i="9"/>
  <c r="I4" i="9" s="1"/>
  <c r="E4" i="9"/>
  <c r="D4" i="9"/>
  <c r="L4" i="9" s="1"/>
  <c r="K3" i="9"/>
  <c r="H3" i="9"/>
  <c r="I3" i="9" s="1"/>
  <c r="J3" i="9" s="1"/>
  <c r="E3" i="9"/>
  <c r="D3" i="9"/>
  <c r="L3" i="9" s="1"/>
  <c r="K2" i="9"/>
  <c r="E2" i="9"/>
  <c r="D2" i="9"/>
  <c r="L2" i="9" s="1"/>
  <c r="J7" i="9" l="1"/>
  <c r="J4" i="9"/>
  <c r="J6" i="9"/>
  <c r="J7" i="8" l="1"/>
  <c r="J6" i="8"/>
  <c r="J4" i="8"/>
  <c r="J3" i="8"/>
  <c r="I7" i="8"/>
  <c r="I6" i="8"/>
  <c r="I5" i="8"/>
  <c r="I4" i="8"/>
  <c r="I3" i="8"/>
  <c r="J2" i="8"/>
  <c r="I2" i="8"/>
  <c r="T2" i="5" l="1"/>
  <c r="U2" i="5" s="1"/>
  <c r="F4" i="8" l="1"/>
  <c r="F6" i="8"/>
  <c r="F3" i="8"/>
  <c r="F2" i="8"/>
  <c r="F5" i="8"/>
  <c r="F7" i="8"/>
  <c r="K2" i="5"/>
  <c r="G3" i="8" l="1"/>
  <c r="H5" i="8"/>
  <c r="B7" i="8"/>
  <c r="C7" i="8"/>
  <c r="B4" i="8"/>
  <c r="C4" i="8"/>
  <c r="G5" i="8"/>
  <c r="H3" i="8"/>
  <c r="B6" i="8"/>
  <c r="C6" i="8"/>
  <c r="C3" i="8"/>
  <c r="B3" i="8"/>
  <c r="C5" i="8"/>
  <c r="B5" i="8"/>
  <c r="J2" i="5"/>
  <c r="R2" i="5" s="1"/>
  <c r="S2" i="5" s="1"/>
  <c r="D3" i="8" l="1"/>
  <c r="G6" i="8"/>
  <c r="H6" i="8"/>
  <c r="G4" i="8"/>
  <c r="H4" i="8"/>
  <c r="G7" i="8"/>
  <c r="H7" i="8"/>
  <c r="E3" i="8"/>
  <c r="E7" i="8"/>
  <c r="D7" i="8"/>
  <c r="C2" i="8"/>
  <c r="V2" i="5"/>
  <c r="X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<sst xmlns="http://schemas.openxmlformats.org/spreadsheetml/2006/main" count="354" uniqueCount="149">
  <si>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</si>
  <si>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</si>
  <si>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</si>
  <si>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</si>
  <si>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</si>
  <si>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</si>
  <si>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</si>
  <si>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</si>
  <si>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</si>
  <si>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</si>
  <si>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</si>
  <si>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</si>
  <si>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</si>
  <si>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</si>
  <si>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</si>
  <si>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</si>
  <si>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</si>
  <si>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</si>
  <si>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</si>
  <si>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</si>
  <si>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</si>
  <si>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</si>
  <si>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</si>
  <si>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</si>
  <si>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</si>
  <si>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</si>
  <si>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</si>
  <si>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</si>
  <si>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</si>
  <si>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</si>
  <si>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</si>
  <si>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</si>
  <si>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</si>
  <si>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</si>
  <si>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</si>
  <si>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</si>
  <si>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</si>
  <si>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</si>
  <si>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</si>
  <si>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</si>
  <si>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</si>
  <si>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</si>
  <si>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</si>
  <si>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</si>
  <si>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</si>
  <si>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</si>
  <si>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</si>
  <si>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</si>
  <si>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</si>
  <si>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</si>
  <si>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</si>
  <si>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</si>
  <si>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</si>
  <si>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</si>
  <si>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</si>
  <si>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</si>
  <si>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</si>
  <si>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</si>
  <si>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</si>
  <si>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</si>
  <si>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</si>
  <si>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</si>
  <si>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</si>
  <si>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</si>
  <si>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</si>
  <si>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</si>
  <si>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</si>
  <si>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</si>
  <si>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</si>
  <si>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</si>
  <si>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</si>
  <si>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</si>
  <si>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</si>
  <si>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</si>
  <si>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</si>
  <si>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</si>
  <si>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</si>
  <si>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</si>
  <si>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</si>
  <si>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</si>
  <si>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</si>
  <si>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</si>
  <si>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</si>
  <si>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</si>
  <si>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</si>
  <si>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</si>
  <si>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</si>
  <si>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</si>
  <si>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</si>
  <si>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</si>
  <si>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</si>
  <si>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</si>
  <si>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Calibration Method</t>
  </si>
  <si>
    <t>Activity (Bq)</t>
  </si>
  <si>
    <t>Activity Error (Bq)</t>
  </si>
  <si>
    <t>Phase</t>
  </si>
  <si>
    <t>Water</t>
  </si>
  <si>
    <t>Solid</t>
  </si>
  <si>
    <t>sCw (Bq/mL)</t>
  </si>
  <si>
    <t>sCs (Bq/g)</t>
  </si>
  <si>
    <t>TotAct</t>
  </si>
  <si>
    <t>fSorb</t>
  </si>
  <si>
    <t>sfsorb</t>
  </si>
  <si>
    <t>pH</t>
  </si>
  <si>
    <t>spH</t>
  </si>
  <si>
    <t>RaFHYpH3_2BW</t>
  </si>
  <si>
    <t>RaFHYpH3_2AW</t>
  </si>
  <si>
    <t>RaFHYpH3_2CW</t>
  </si>
  <si>
    <t>RaFHYpH5_2AW</t>
  </si>
  <si>
    <t>RaFHYpH5_2BW</t>
  </si>
  <si>
    <t>RaFHYpH5_2CW</t>
  </si>
  <si>
    <t>RaFHYpH7_2AW</t>
  </si>
  <si>
    <t>RaFHYpH7_2BW</t>
  </si>
  <si>
    <t>RaFHYpH7_2CW</t>
  </si>
  <si>
    <t>RaFHYpH9_2AW</t>
  </si>
  <si>
    <t>RaFHYpH9_2BW</t>
  </si>
  <si>
    <t>RaFHYpH9_2CW</t>
  </si>
  <si>
    <t>RaMontpH3_2AW</t>
  </si>
  <si>
    <t>RaMontpH3_2BW</t>
  </si>
  <si>
    <t>RaMontpH3_2CW</t>
  </si>
  <si>
    <t>RaMontpH5_2AW</t>
  </si>
  <si>
    <t>RaMontpH5_2BW</t>
  </si>
  <si>
    <t>RaMontpH5_2CW</t>
  </si>
  <si>
    <t>RaMontpH7_2AW</t>
  </si>
  <si>
    <t>RaMontpH7_2BW</t>
  </si>
  <si>
    <t>RaMontpH7_2CW</t>
  </si>
  <si>
    <t>RaMontpH9_2AW</t>
  </si>
  <si>
    <t>RaMontpH9_2BW</t>
  </si>
  <si>
    <t>RaMontpH9_2CW</t>
  </si>
  <si>
    <t>RaGlasspH3_2AW</t>
  </si>
  <si>
    <t>RaGlasspH5_2AW</t>
  </si>
  <si>
    <t>RaGlasspH7_2AW</t>
  </si>
  <si>
    <t>RaGlasspH9_2AW</t>
  </si>
  <si>
    <t>(Known-Average)^2</t>
  </si>
  <si>
    <t>RaStock5</t>
  </si>
  <si>
    <t>RaStock4</t>
  </si>
  <si>
    <t>CPS-&gt;Bq No background</t>
  </si>
  <si>
    <t>Ra Stock 5</t>
  </si>
  <si>
    <t>MIXED, SEE SAMPLE</t>
  </si>
  <si>
    <t>Slurry Volume (mL)</t>
  </si>
  <si>
    <t>Slurry Concentration (mg/L)</t>
  </si>
  <si>
    <t>RaFHYpH3_2</t>
  </si>
  <si>
    <t>RaFHYpH5_2</t>
  </si>
  <si>
    <t>RaFHYpH7_2</t>
  </si>
  <si>
    <t>RaFHYpH9_2</t>
  </si>
  <si>
    <t>RaMontpH3_2</t>
  </si>
  <si>
    <t>RaMontpH5_2</t>
  </si>
  <si>
    <t>RaMontpH7_2</t>
  </si>
  <si>
    <t>RaMontpH9_2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</si>
</sst>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General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7608"/>
        <c:axId val="208418000"/>
      </c:scatterChart>
      <c:valAx>
        <c:axId val="20841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418000"/>
        <c:crosses val="autoZero"/>
        <c:crossBetween val="midCat"/>
      </c:valAx>
      <c:valAx>
        <c:axId val="20841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417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Gamma Counter Geometry"/>
      <sheetName val="Gamma Counter Multinuclide Stan"/>
      <sheetName val="Stock Lo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6" sqref="B6:C6"/>
    </sheetView>
    <sheetView workbookViewId="1"/>
    <sheetView workbookViewId="2"/>
    <sheetView workbookViewId="3"/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42853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138</v>
      </c>
    </row>
    <row r="5" spans="1:5" x14ac:dyDescent="0.25">
      <c r="A5" t="s">
        <v>22</v>
      </c>
      <c r="B5" t="s">
        <v>137</v>
      </c>
    </row>
    <row r="6" spans="1:5" x14ac:dyDescent="0.25">
      <c r="A6" t="s">
        <v>6</v>
      </c>
      <c r="B6">
        <f>42.1/0.071</f>
        <v>592.95774647887333</v>
      </c>
      <c r="C6">
        <f>2.1/0.071</f>
        <v>29.577464788732399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140</v>
      </c>
      <c r="B8">
        <f>36.6/1000</f>
        <v>3.6600000000000001E-2</v>
      </c>
      <c r="C8">
        <f>2.05/1000</f>
        <v>2.0499999999999997E-3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F37" sqref="F37"/>
    </sheetView>
    <sheetView workbookViewId="1"/>
    <sheetView workbookViewId="2"/>
    <sheetView workbookViewId="3"/>
  </sheetViews>
  <sheetFormatPr defaultRowHeight="15" x14ac:dyDescent="0.25"/>
  <cols>
    <col min="1" max="1" width="14.85546875" bestFit="1" customWidth="1"/>
    <col min="2" max="2" width="16.57031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42885.720833333333</v>
      </c>
      <c r="B2" t="s">
        <v>106</v>
      </c>
      <c r="C2">
        <v>10727.1</v>
      </c>
      <c r="D2">
        <v>0.61</v>
      </c>
      <c r="E2">
        <v>0</v>
      </c>
      <c r="F2">
        <v>22.52</v>
      </c>
    </row>
    <row r="3" spans="1:6" x14ac:dyDescent="0.25">
      <c r="A3" s="18">
        <v>42885.720833333333</v>
      </c>
      <c r="B3" t="s">
        <v>105</v>
      </c>
      <c r="C3">
        <v>10594.6</v>
      </c>
      <c r="D3">
        <v>0.61</v>
      </c>
      <c r="E3">
        <v>0</v>
      </c>
      <c r="F3">
        <v>33.17</v>
      </c>
    </row>
    <row r="4" spans="1:6" x14ac:dyDescent="0.25">
      <c r="A4" s="18">
        <v>42885.720833333333</v>
      </c>
      <c r="B4" t="s">
        <v>107</v>
      </c>
      <c r="C4">
        <v>11105.8</v>
      </c>
      <c r="D4">
        <v>0.6</v>
      </c>
      <c r="E4">
        <v>0</v>
      </c>
      <c r="F4">
        <v>43.82</v>
      </c>
    </row>
    <row r="5" spans="1:6" x14ac:dyDescent="0.25">
      <c r="A5" s="18">
        <v>42885.720833333333</v>
      </c>
      <c r="B5" t="s">
        <v>108</v>
      </c>
      <c r="C5">
        <v>10574.1</v>
      </c>
      <c r="D5">
        <v>0.62</v>
      </c>
      <c r="E5">
        <v>0</v>
      </c>
      <c r="F5">
        <v>54.48</v>
      </c>
    </row>
    <row r="6" spans="1:6" x14ac:dyDescent="0.25">
      <c r="A6" s="18">
        <v>42885.720833333333</v>
      </c>
      <c r="B6" t="s">
        <v>109</v>
      </c>
      <c r="C6">
        <v>10658.3</v>
      </c>
      <c r="D6">
        <v>0.61</v>
      </c>
      <c r="E6">
        <v>0</v>
      </c>
      <c r="F6">
        <v>65.12</v>
      </c>
    </row>
    <row r="7" spans="1:6" x14ac:dyDescent="0.25">
      <c r="A7" s="18">
        <v>42885.720833333333</v>
      </c>
      <c r="B7" t="s">
        <v>110</v>
      </c>
      <c r="C7">
        <v>10981.5</v>
      </c>
      <c r="D7">
        <v>0.6</v>
      </c>
      <c r="E7">
        <v>0</v>
      </c>
      <c r="F7">
        <v>75.790000000000006</v>
      </c>
    </row>
    <row r="8" spans="1:6" x14ac:dyDescent="0.25">
      <c r="A8" s="18">
        <v>42885.720833333333</v>
      </c>
      <c r="B8" t="s">
        <v>111</v>
      </c>
      <c r="C8">
        <v>6321.2</v>
      </c>
      <c r="D8">
        <v>0.8</v>
      </c>
      <c r="E8">
        <v>0</v>
      </c>
      <c r="F8">
        <v>86.43</v>
      </c>
    </row>
    <row r="9" spans="1:6" x14ac:dyDescent="0.25">
      <c r="A9" s="18">
        <v>42885.720833333333</v>
      </c>
      <c r="B9" t="s">
        <v>112</v>
      </c>
      <c r="C9">
        <v>7422.4</v>
      </c>
      <c r="D9">
        <v>0.73</v>
      </c>
      <c r="E9">
        <v>0</v>
      </c>
      <c r="F9">
        <v>97.08</v>
      </c>
    </row>
    <row r="10" spans="1:6" x14ac:dyDescent="0.25">
      <c r="A10" s="18">
        <v>42885.720833333333</v>
      </c>
      <c r="B10" t="s">
        <v>113</v>
      </c>
      <c r="C10">
        <v>8242.2999999999993</v>
      </c>
      <c r="D10">
        <v>0.7</v>
      </c>
      <c r="E10">
        <v>0</v>
      </c>
      <c r="F10">
        <v>107.72</v>
      </c>
    </row>
    <row r="11" spans="1:6" x14ac:dyDescent="0.25">
      <c r="A11" s="18">
        <v>42885.720833333333</v>
      </c>
      <c r="B11" t="s">
        <v>114</v>
      </c>
      <c r="C11">
        <v>143.80000000000001</v>
      </c>
      <c r="D11">
        <v>5.27</v>
      </c>
      <c r="E11">
        <v>0.23</v>
      </c>
      <c r="F11">
        <v>118.37</v>
      </c>
    </row>
    <row r="12" spans="1:6" x14ac:dyDescent="0.25">
      <c r="A12" s="18">
        <v>42885.720833333333</v>
      </c>
      <c r="B12" t="s">
        <v>115</v>
      </c>
      <c r="C12">
        <v>154.1</v>
      </c>
      <c r="D12">
        <v>5.09</v>
      </c>
      <c r="E12">
        <v>0.1</v>
      </c>
      <c r="F12">
        <v>128.99</v>
      </c>
    </row>
    <row r="13" spans="1:6" x14ac:dyDescent="0.25">
      <c r="A13" s="18">
        <v>42885.720833333333</v>
      </c>
      <c r="B13" t="s">
        <v>116</v>
      </c>
      <c r="C13">
        <v>329.8</v>
      </c>
      <c r="D13">
        <v>3.48</v>
      </c>
      <c r="E13">
        <v>0.04</v>
      </c>
      <c r="F13">
        <v>139.72999999999999</v>
      </c>
    </row>
    <row r="14" spans="1:6" x14ac:dyDescent="0.25">
      <c r="A14" s="18">
        <v>42885.720833333333</v>
      </c>
      <c r="B14" t="s">
        <v>117</v>
      </c>
      <c r="C14">
        <v>3197.5</v>
      </c>
      <c r="D14">
        <v>1.1200000000000001</v>
      </c>
      <c r="E14">
        <v>0</v>
      </c>
      <c r="F14">
        <v>150.37</v>
      </c>
    </row>
    <row r="15" spans="1:6" x14ac:dyDescent="0.25">
      <c r="A15" s="18">
        <v>42885.720833333333</v>
      </c>
      <c r="B15" t="s">
        <v>118</v>
      </c>
      <c r="C15">
        <v>3278.6</v>
      </c>
      <c r="D15">
        <v>1.1000000000000001</v>
      </c>
      <c r="E15">
        <v>0</v>
      </c>
      <c r="F15">
        <v>161.01</v>
      </c>
    </row>
    <row r="16" spans="1:6" x14ac:dyDescent="0.25">
      <c r="A16" s="18">
        <v>42885.720833333333</v>
      </c>
      <c r="B16" t="s">
        <v>119</v>
      </c>
      <c r="C16">
        <v>3151.4</v>
      </c>
      <c r="D16">
        <v>1.1299999999999999</v>
      </c>
      <c r="E16">
        <v>0</v>
      </c>
      <c r="F16">
        <v>171.65</v>
      </c>
    </row>
    <row r="17" spans="1:6" x14ac:dyDescent="0.25">
      <c r="A17" s="18">
        <v>42885.720833333333</v>
      </c>
      <c r="B17" t="s">
        <v>120</v>
      </c>
      <c r="C17">
        <v>1507.3</v>
      </c>
      <c r="D17">
        <v>1.63</v>
      </c>
      <c r="E17">
        <v>0.01</v>
      </c>
      <c r="F17">
        <v>182.28</v>
      </c>
    </row>
    <row r="18" spans="1:6" x14ac:dyDescent="0.25">
      <c r="A18" s="18">
        <v>42885.720833333333</v>
      </c>
      <c r="B18" t="s">
        <v>121</v>
      </c>
      <c r="C18">
        <v>1517.8</v>
      </c>
      <c r="D18">
        <v>1.62</v>
      </c>
      <c r="E18">
        <v>0.01</v>
      </c>
      <c r="F18">
        <v>192.91</v>
      </c>
    </row>
    <row r="19" spans="1:6" x14ac:dyDescent="0.25">
      <c r="A19" s="18">
        <v>42885.720833333333</v>
      </c>
      <c r="B19" t="s">
        <v>122</v>
      </c>
      <c r="C19">
        <v>1533.2</v>
      </c>
      <c r="D19">
        <v>1.62</v>
      </c>
      <c r="E19">
        <v>0.01</v>
      </c>
      <c r="F19">
        <v>203.54</v>
      </c>
    </row>
    <row r="20" spans="1:6" x14ac:dyDescent="0.25">
      <c r="A20" s="18">
        <v>42885.720833333333</v>
      </c>
      <c r="B20" t="s">
        <v>123</v>
      </c>
      <c r="C20">
        <v>1545.2</v>
      </c>
      <c r="D20">
        <v>1.61</v>
      </c>
      <c r="E20">
        <v>0.01</v>
      </c>
      <c r="F20">
        <v>214.18</v>
      </c>
    </row>
    <row r="21" spans="1:6" x14ac:dyDescent="0.25">
      <c r="A21" s="18">
        <v>42885.720833333333</v>
      </c>
      <c r="B21" t="s">
        <v>124</v>
      </c>
      <c r="C21">
        <v>1712.9</v>
      </c>
      <c r="D21">
        <v>1.53</v>
      </c>
      <c r="E21">
        <v>0.01</v>
      </c>
      <c r="F21">
        <v>224.81</v>
      </c>
    </row>
    <row r="22" spans="1:6" x14ac:dyDescent="0.25">
      <c r="A22" s="18">
        <v>42885.720833333333</v>
      </c>
      <c r="B22" t="s">
        <v>125</v>
      </c>
      <c r="C22">
        <v>1562.1</v>
      </c>
      <c r="D22">
        <v>1.6</v>
      </c>
      <c r="E22">
        <v>0.01</v>
      </c>
      <c r="F22">
        <v>235.45</v>
      </c>
    </row>
    <row r="23" spans="1:6" x14ac:dyDescent="0.25">
      <c r="A23" s="18">
        <v>42885.720833333333</v>
      </c>
      <c r="B23" t="s">
        <v>126</v>
      </c>
      <c r="C23">
        <v>1557</v>
      </c>
      <c r="D23">
        <v>1.6</v>
      </c>
      <c r="E23">
        <v>0.04</v>
      </c>
      <c r="F23">
        <v>246.11</v>
      </c>
    </row>
    <row r="24" spans="1:6" x14ac:dyDescent="0.25">
      <c r="A24" s="18">
        <v>42885.720833333333</v>
      </c>
      <c r="B24" t="s">
        <v>127</v>
      </c>
      <c r="C24">
        <v>1165.5</v>
      </c>
      <c r="D24">
        <v>1.85</v>
      </c>
      <c r="E24">
        <v>0.06</v>
      </c>
      <c r="F24">
        <v>256.77</v>
      </c>
    </row>
    <row r="25" spans="1:6" x14ac:dyDescent="0.25">
      <c r="A25" s="18">
        <v>42885.720833333333</v>
      </c>
      <c r="B25" t="s">
        <v>128</v>
      </c>
      <c r="C25">
        <v>1599.4</v>
      </c>
      <c r="D25">
        <v>1.58</v>
      </c>
      <c r="E25">
        <v>0.05</v>
      </c>
      <c r="F25">
        <v>267.52</v>
      </c>
    </row>
    <row r="26" spans="1:6" x14ac:dyDescent="0.25">
      <c r="A26" s="18">
        <v>42885.720833333333</v>
      </c>
      <c r="B26" t="s">
        <v>129</v>
      </c>
      <c r="C26">
        <v>11027.8</v>
      </c>
      <c r="D26">
        <v>0.6</v>
      </c>
      <c r="E26">
        <v>0</v>
      </c>
      <c r="F26">
        <v>278.20999999999998</v>
      </c>
    </row>
    <row r="27" spans="1:6" x14ac:dyDescent="0.25">
      <c r="A27" s="18">
        <v>42885.720833333333</v>
      </c>
      <c r="B27" t="s">
        <v>130</v>
      </c>
      <c r="C27">
        <v>10789</v>
      </c>
      <c r="D27">
        <v>0.61</v>
      </c>
      <c r="E27">
        <v>0</v>
      </c>
      <c r="F27">
        <v>288.89999999999998</v>
      </c>
    </row>
    <row r="28" spans="1:6" x14ac:dyDescent="0.25">
      <c r="A28" s="18">
        <v>42885.720833333333</v>
      </c>
      <c r="B28" t="s">
        <v>131</v>
      </c>
      <c r="C28">
        <v>9762</v>
      </c>
      <c r="D28">
        <v>0.64</v>
      </c>
      <c r="E28">
        <v>0</v>
      </c>
      <c r="F28">
        <v>299.56</v>
      </c>
    </row>
    <row r="29" spans="1:6" x14ac:dyDescent="0.25">
      <c r="A29" s="18">
        <v>42885.720833333333</v>
      </c>
      <c r="B29" t="s">
        <v>132</v>
      </c>
      <c r="C29">
        <v>10178.799999999999</v>
      </c>
      <c r="D29">
        <v>0.63</v>
      </c>
      <c r="E29">
        <v>0.01</v>
      </c>
      <c r="F29">
        <v>310.25</v>
      </c>
    </row>
    <row r="30" spans="1:6" x14ac:dyDescent="0.25">
      <c r="A30" s="18">
        <v>42887.399305555555</v>
      </c>
      <c r="B30" t="s">
        <v>106</v>
      </c>
      <c r="C30">
        <v>10507.9</v>
      </c>
      <c r="D30">
        <v>0.62</v>
      </c>
      <c r="E30">
        <v>0</v>
      </c>
      <c r="F30">
        <v>22.52</v>
      </c>
    </row>
    <row r="31" spans="1:6" x14ac:dyDescent="0.25">
      <c r="A31" s="18">
        <v>42887.399305555555</v>
      </c>
      <c r="B31" t="s">
        <v>105</v>
      </c>
      <c r="C31">
        <v>10467.799999999999</v>
      </c>
      <c r="D31">
        <v>0.62</v>
      </c>
      <c r="E31">
        <v>0</v>
      </c>
      <c r="F31">
        <v>33.159999999999997</v>
      </c>
    </row>
    <row r="32" spans="1:6" x14ac:dyDescent="0.25">
      <c r="A32" s="18">
        <v>42887.399305555555</v>
      </c>
      <c r="B32" t="s">
        <v>107</v>
      </c>
      <c r="C32">
        <v>10827.6</v>
      </c>
      <c r="D32">
        <v>0.61</v>
      </c>
      <c r="E32">
        <v>0</v>
      </c>
      <c r="F32">
        <v>43.83</v>
      </c>
    </row>
    <row r="33" spans="1:6" x14ac:dyDescent="0.25">
      <c r="A33" s="18">
        <v>42887.399305555555</v>
      </c>
      <c r="B33" t="s">
        <v>108</v>
      </c>
      <c r="C33">
        <v>10248.299999999999</v>
      </c>
      <c r="D33">
        <v>0.62</v>
      </c>
      <c r="E33">
        <v>0</v>
      </c>
      <c r="F33">
        <v>54.47</v>
      </c>
    </row>
    <row r="34" spans="1:6" x14ac:dyDescent="0.25">
      <c r="A34" s="18">
        <v>42887.399305555555</v>
      </c>
      <c r="B34" t="s">
        <v>109</v>
      </c>
      <c r="C34">
        <v>10464.6</v>
      </c>
      <c r="D34">
        <v>0.62</v>
      </c>
      <c r="E34">
        <v>0</v>
      </c>
      <c r="F34">
        <v>65.14</v>
      </c>
    </row>
    <row r="35" spans="1:6" x14ac:dyDescent="0.25">
      <c r="A35" s="18">
        <v>42887.399305555555</v>
      </c>
      <c r="B35" t="s">
        <v>110</v>
      </c>
      <c r="C35">
        <v>10641.8</v>
      </c>
      <c r="D35">
        <v>0.61</v>
      </c>
      <c r="E35">
        <v>0</v>
      </c>
      <c r="F35">
        <v>75.78</v>
      </c>
    </row>
    <row r="36" spans="1:6" x14ac:dyDescent="0.25">
      <c r="A36" s="18">
        <v>42887.399305555555</v>
      </c>
      <c r="B36" t="s">
        <v>111</v>
      </c>
      <c r="C36">
        <v>6242.2</v>
      </c>
      <c r="D36">
        <v>0.8</v>
      </c>
      <c r="E36">
        <v>0</v>
      </c>
      <c r="F36">
        <v>86.43</v>
      </c>
    </row>
    <row r="37" spans="1:6" x14ac:dyDescent="0.25">
      <c r="A37" s="18">
        <v>42887.399305555555</v>
      </c>
      <c r="B37" t="s">
        <v>112</v>
      </c>
      <c r="C37">
        <v>7270.9</v>
      </c>
      <c r="D37">
        <v>0.74</v>
      </c>
      <c r="E37">
        <v>0</v>
      </c>
      <c r="F37">
        <v>97.07</v>
      </c>
    </row>
    <row r="38" spans="1:6" x14ac:dyDescent="0.25">
      <c r="A38" s="18">
        <v>42887.399305555555</v>
      </c>
      <c r="B38" t="s">
        <v>113</v>
      </c>
      <c r="C38">
        <v>8055.7</v>
      </c>
      <c r="D38">
        <v>0.7</v>
      </c>
      <c r="E38">
        <v>0</v>
      </c>
      <c r="F38">
        <v>107.72</v>
      </c>
    </row>
    <row r="39" spans="1:6" x14ac:dyDescent="0.25">
      <c r="A39" s="18">
        <v>42887.399305555555</v>
      </c>
      <c r="B39" t="s">
        <v>114</v>
      </c>
      <c r="C39">
        <v>146.69999999999999</v>
      </c>
      <c r="D39">
        <v>5.22</v>
      </c>
      <c r="E39">
        <v>0.11</v>
      </c>
      <c r="F39">
        <v>118.34</v>
      </c>
    </row>
    <row r="40" spans="1:6" x14ac:dyDescent="0.25">
      <c r="A40" s="18">
        <v>42887.399305555555</v>
      </c>
      <c r="B40" t="s">
        <v>115</v>
      </c>
      <c r="C40">
        <v>144.69999999999999</v>
      </c>
      <c r="D40">
        <v>5.26</v>
      </c>
      <c r="E40">
        <v>0.08</v>
      </c>
      <c r="F40">
        <v>128.97</v>
      </c>
    </row>
    <row r="41" spans="1:6" x14ac:dyDescent="0.25">
      <c r="A41" s="18">
        <v>42887.399305555555</v>
      </c>
      <c r="B41" t="s">
        <v>116</v>
      </c>
      <c r="C41">
        <v>327.60000000000002</v>
      </c>
      <c r="D41">
        <v>3.49</v>
      </c>
      <c r="E41">
        <v>0.05</v>
      </c>
      <c r="F41">
        <v>139.71</v>
      </c>
    </row>
    <row r="42" spans="1:6" x14ac:dyDescent="0.25">
      <c r="A42" s="18">
        <v>42887.399305555555</v>
      </c>
      <c r="B42" t="s">
        <v>117</v>
      </c>
      <c r="C42">
        <v>3228.8</v>
      </c>
      <c r="D42">
        <v>1.1100000000000001</v>
      </c>
      <c r="E42">
        <v>0</v>
      </c>
      <c r="F42">
        <v>150.35</v>
      </c>
    </row>
    <row r="43" spans="1:6" x14ac:dyDescent="0.25">
      <c r="A43" s="18">
        <v>42887.399305555555</v>
      </c>
      <c r="B43" t="s">
        <v>118</v>
      </c>
      <c r="C43">
        <v>3194.8</v>
      </c>
      <c r="D43">
        <v>1.1200000000000001</v>
      </c>
      <c r="E43">
        <v>0</v>
      </c>
      <c r="F43">
        <v>161</v>
      </c>
    </row>
    <row r="44" spans="1:6" x14ac:dyDescent="0.25">
      <c r="A44" s="18">
        <v>42887.399305555555</v>
      </c>
      <c r="B44" t="s">
        <v>119</v>
      </c>
      <c r="C44">
        <v>3122.5</v>
      </c>
      <c r="D44">
        <v>1.1299999999999999</v>
      </c>
      <c r="E44">
        <v>0</v>
      </c>
      <c r="F44">
        <v>171.63</v>
      </c>
    </row>
    <row r="45" spans="1:6" x14ac:dyDescent="0.25">
      <c r="A45" s="18">
        <v>42887.399305555555</v>
      </c>
      <c r="B45" t="s">
        <v>120</v>
      </c>
      <c r="C45">
        <v>1465.5</v>
      </c>
      <c r="D45">
        <v>1.65</v>
      </c>
      <c r="E45">
        <v>0.01</v>
      </c>
      <c r="F45">
        <v>182.26</v>
      </c>
    </row>
    <row r="46" spans="1:6" x14ac:dyDescent="0.25">
      <c r="A46" s="18">
        <v>42887.399305555555</v>
      </c>
      <c r="B46" t="s">
        <v>121</v>
      </c>
      <c r="C46">
        <v>1528.9</v>
      </c>
      <c r="D46">
        <v>1.62</v>
      </c>
      <c r="E46">
        <v>0.01</v>
      </c>
      <c r="F46">
        <v>192.89</v>
      </c>
    </row>
    <row r="47" spans="1:6" x14ac:dyDescent="0.25">
      <c r="A47" s="18">
        <v>42887.399305555555</v>
      </c>
      <c r="B47" t="s">
        <v>122</v>
      </c>
      <c r="C47">
        <v>1516.5</v>
      </c>
      <c r="D47">
        <v>1.62</v>
      </c>
      <c r="E47">
        <v>0.01</v>
      </c>
      <c r="F47">
        <v>203.53</v>
      </c>
    </row>
    <row r="48" spans="1:6" x14ac:dyDescent="0.25">
      <c r="A48" s="18">
        <v>42887.399305555555</v>
      </c>
      <c r="B48" t="s">
        <v>123</v>
      </c>
      <c r="C48">
        <v>1546.1</v>
      </c>
      <c r="D48">
        <v>1.61</v>
      </c>
      <c r="E48">
        <v>0.01</v>
      </c>
      <c r="F48">
        <v>214.17</v>
      </c>
    </row>
    <row r="49" spans="1:6" x14ac:dyDescent="0.25">
      <c r="A49" s="18">
        <v>42887.399305555555</v>
      </c>
      <c r="B49" t="s">
        <v>124</v>
      </c>
      <c r="C49">
        <v>1708.3</v>
      </c>
      <c r="D49">
        <v>1.53</v>
      </c>
      <c r="E49">
        <v>0.01</v>
      </c>
      <c r="F49">
        <v>224.81</v>
      </c>
    </row>
    <row r="50" spans="1:6" x14ac:dyDescent="0.25">
      <c r="A50" s="18">
        <v>42887.399305555555</v>
      </c>
      <c r="B50" t="s">
        <v>125</v>
      </c>
      <c r="C50">
        <v>1545.5</v>
      </c>
      <c r="D50">
        <v>1.61</v>
      </c>
      <c r="E50">
        <v>0.01</v>
      </c>
      <c r="F50">
        <v>235.45</v>
      </c>
    </row>
    <row r="51" spans="1:6" x14ac:dyDescent="0.25">
      <c r="A51" s="18">
        <v>42887.399305555555</v>
      </c>
      <c r="B51" t="s">
        <v>126</v>
      </c>
      <c r="C51">
        <v>1507.3</v>
      </c>
      <c r="D51">
        <v>1.63</v>
      </c>
      <c r="E51">
        <v>0.02</v>
      </c>
      <c r="F51">
        <v>246.08</v>
      </c>
    </row>
    <row r="52" spans="1:6" x14ac:dyDescent="0.25">
      <c r="A52" s="18">
        <v>42887.399305555555</v>
      </c>
      <c r="B52" t="s">
        <v>127</v>
      </c>
      <c r="C52">
        <v>1158.7</v>
      </c>
      <c r="D52">
        <v>1.86</v>
      </c>
      <c r="E52">
        <v>0.03</v>
      </c>
      <c r="F52">
        <v>256.74</v>
      </c>
    </row>
    <row r="53" spans="1:6" x14ac:dyDescent="0.25">
      <c r="A53" s="18">
        <v>42887.399305555555</v>
      </c>
      <c r="B53" t="s">
        <v>128</v>
      </c>
      <c r="C53">
        <v>1607.2</v>
      </c>
      <c r="D53">
        <v>1.58</v>
      </c>
      <c r="E53">
        <v>0.02</v>
      </c>
      <c r="F53">
        <v>267.47000000000003</v>
      </c>
    </row>
    <row r="54" spans="1:6" x14ac:dyDescent="0.25">
      <c r="A54" s="18">
        <v>42887.399305555555</v>
      </c>
      <c r="B54" t="s">
        <v>129</v>
      </c>
      <c r="C54">
        <v>10960.6</v>
      </c>
      <c r="D54">
        <v>0.6</v>
      </c>
      <c r="E54">
        <v>0</v>
      </c>
      <c r="F54">
        <v>278.14999999999998</v>
      </c>
    </row>
    <row r="55" spans="1:6" x14ac:dyDescent="0.25">
      <c r="A55" s="18">
        <v>42887.399305555555</v>
      </c>
      <c r="B55" t="s">
        <v>130</v>
      </c>
      <c r="C55">
        <v>10654.8</v>
      </c>
      <c r="D55">
        <v>0.61</v>
      </c>
      <c r="E55">
        <v>0</v>
      </c>
      <c r="F55">
        <v>288.83</v>
      </c>
    </row>
    <row r="56" spans="1:6" x14ac:dyDescent="0.25">
      <c r="A56" s="18">
        <v>42887.399305555555</v>
      </c>
      <c r="B56" t="s">
        <v>131</v>
      </c>
      <c r="C56">
        <v>9846.4</v>
      </c>
      <c r="D56">
        <v>0.64</v>
      </c>
      <c r="E56">
        <v>0</v>
      </c>
      <c r="F56">
        <v>299.49</v>
      </c>
    </row>
    <row r="57" spans="1:6" x14ac:dyDescent="0.25">
      <c r="A57" s="18">
        <v>42887.399305555555</v>
      </c>
      <c r="B57" t="s">
        <v>132</v>
      </c>
      <c r="C57">
        <v>10007.6</v>
      </c>
      <c r="D57">
        <v>0.63</v>
      </c>
      <c r="E57">
        <v>0</v>
      </c>
      <c r="F57">
        <v>310.17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topLeftCell="E1" workbookViewId="0">
      <selection activeCell="L29" sqref="L29"/>
    </sheetView>
    <sheetView workbookViewId="1"/>
    <sheetView workbookViewId="2"/>
    <sheetView workbookViewId="3"/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133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134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135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136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>
      <selection activeCell="G2" sqref="G2"/>
    </sheetView>
    <sheetView workbookViewId="1"/>
    <sheetView workbookViewId="2"/>
    <sheetView workbookViewId="3"/>
  </sheetViews>
  <sheetFormatPr defaultRowHeight="15" x14ac:dyDescent="0.25"/>
  <cols>
    <col min="1" max="1" width="16.57031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95</v>
      </c>
      <c r="C1" t="s">
        <v>23</v>
      </c>
      <c r="D1" t="s">
        <v>21</v>
      </c>
      <c r="E1" t="s">
        <v>92</v>
      </c>
      <c r="F1" t="s">
        <v>93</v>
      </c>
      <c r="G1" t="s">
        <v>94</v>
      </c>
    </row>
    <row r="2" spans="1:7" x14ac:dyDescent="0.25">
      <c r="A2" t="s">
        <v>106</v>
      </c>
      <c r="B2" s="15" t="s">
        <v>96</v>
      </c>
      <c r="C2">
        <v>176.95833333333329</v>
      </c>
      <c r="D2">
        <v>1.0882937500000001</v>
      </c>
      <c r="E2" s="1" t="s">
        <v>51</v>
      </c>
      <c r="F2" s="1">
        <f>(C2-'Calibration Data'!$L$29)/'Calibration Data'!$L$30</f>
        <v>20.950072623165767</v>
      </c>
      <c r="G2" s="17">
        <f>'Calibration Data'!$L$19/ABS('Calibration Data'!$L$30)*SQRT(1/'Calibration Data'!$L$20+1+(F2-AVERAGE('Calibration Data'!$L$3:$L$9))^2/('Calibration Data'!$L$30^2*SUM('Calibration Data'!$J$3:$J$8)))</f>
        <v>0.12645664439881399</v>
      </c>
    </row>
    <row r="3" spans="1:7" x14ac:dyDescent="0.25">
      <c r="A3" t="s">
        <v>105</v>
      </c>
      <c r="B3" s="15" t="s">
        <v>96</v>
      </c>
      <c r="C3">
        <v>175.52</v>
      </c>
      <c r="D3">
        <v>1.079448</v>
      </c>
      <c r="E3" s="1" t="s">
        <v>51</v>
      </c>
      <c r="F3" s="1">
        <f>(C3-'Calibration Data'!$L$29)/'Calibration Data'!$L$30</f>
        <v>20.779750223701907</v>
      </c>
      <c r="G3" s="17">
        <f>'Calibration Data'!$L$19/ABS('Calibration Data'!$L$30)*SQRT(1/'Calibration Data'!$L$20+1+(F3-AVERAGE('Calibration Data'!$L$3:$L$9))^2/('Calibration Data'!$L$30^2*SUM('Calibration Data'!$J$3:$J$8)))</f>
        <v>0.12645806927936978</v>
      </c>
    </row>
    <row r="4" spans="1:7" x14ac:dyDescent="0.25">
      <c r="A4" t="s">
        <v>107</v>
      </c>
      <c r="B4" s="15" t="s">
        <v>96</v>
      </c>
      <c r="C4">
        <v>182.77833333333331</v>
      </c>
      <c r="D4">
        <v>1.1058089166666669</v>
      </c>
      <c r="E4" s="1" t="s">
        <v>51</v>
      </c>
      <c r="F4" s="1">
        <f>(C4-'Calibration Data'!$L$29)/'Calibration Data'!$L$30</f>
        <v>21.639256654368353</v>
      </c>
      <c r="G4" s="17">
        <f>'Calibration Data'!$L$19/ABS('Calibration Data'!$L$30)*SQRT(1/'Calibration Data'!$L$20+1+(F4-AVERAGE('Calibration Data'!$L$3:$L$9))^2/('Calibration Data'!$L$30^2*SUM('Calibration Data'!$J$3:$J$8)))</f>
        <v>0.12645090206720655</v>
      </c>
    </row>
    <row r="5" spans="1:7" x14ac:dyDescent="0.25">
      <c r="A5" t="s">
        <v>108</v>
      </c>
      <c r="B5" s="15" t="s">
        <v>96</v>
      </c>
      <c r="C5">
        <v>173.52</v>
      </c>
      <c r="D5">
        <v>1.0758239999999999</v>
      </c>
      <c r="E5" s="1" t="s">
        <v>51</v>
      </c>
      <c r="F5" s="1">
        <f>(C5-'Calibration Data'!$L$29)/'Calibration Data'!$L$30</f>
        <v>20.542917223288647</v>
      </c>
      <c r="G5" s="17">
        <f>'Calibration Data'!$L$19/ABS('Calibration Data'!$L$30)*SQRT(1/'Calibration Data'!$L$20+1+(F5-AVERAGE('Calibration Data'!$L$3:$L$9))^2/('Calibration Data'!$L$30^2*SUM('Calibration Data'!$J$3:$J$8)))</f>
        <v>0.12646005435516969</v>
      </c>
    </row>
    <row r="6" spans="1:7" x14ac:dyDescent="0.25">
      <c r="A6" t="s">
        <v>109</v>
      </c>
      <c r="B6" s="15" t="s">
        <v>96</v>
      </c>
      <c r="C6">
        <v>176.02416666666659</v>
      </c>
      <c r="D6">
        <v>1.082548625</v>
      </c>
      <c r="E6" s="1" t="s">
        <v>51</v>
      </c>
      <c r="F6" s="1">
        <f>(C6-'Calibration Data'!$L$29)/'Calibration Data'!$L$30</f>
        <v>20.839451875889402</v>
      </c>
      <c r="G6" s="17">
        <f>'Calibration Data'!$L$19/ABS('Calibration Data'!$L$30)*SQRT(1/'Calibration Data'!$L$20+1+(F6-AVERAGE('Calibration Data'!$L$3:$L$9))^2/('Calibration Data'!$L$30^2*SUM('Calibration Data'!$J$3:$J$8)))</f>
        <v>0.12645756956916906</v>
      </c>
    </row>
    <row r="7" spans="1:7" x14ac:dyDescent="0.25">
      <c r="A7" t="s">
        <v>110</v>
      </c>
      <c r="B7" s="15" t="s">
        <v>96</v>
      </c>
      <c r="C7">
        <v>180.19416666666669</v>
      </c>
      <c r="D7">
        <v>1.0901747083333331</v>
      </c>
      <c r="E7" s="1" t="s">
        <v>51</v>
      </c>
      <c r="F7" s="1">
        <f>(C7-'Calibration Data'!$L$29)/'Calibration Data'!$L$30</f>
        <v>21.333248681751058</v>
      </c>
      <c r="G7" s="17">
        <f>'Calibration Data'!$L$19/ABS('Calibration Data'!$L$30)*SQRT(1/'Calibration Data'!$L$20+1+(F7-AVERAGE('Calibration Data'!$L$3:$L$9))^2/('Calibration Data'!$L$30^2*SUM('Calibration Data'!$J$3:$J$8)))</f>
        <v>0.12645344714875473</v>
      </c>
    </row>
    <row r="8" spans="1:7" ht="15.75" customHeight="1" x14ac:dyDescent="0.25">
      <c r="A8" t="s">
        <v>111</v>
      </c>
      <c r="B8" s="15" t="s">
        <v>96</v>
      </c>
      <c r="C8">
        <v>104.69499999999999</v>
      </c>
      <c r="D8">
        <v>0.83755999999999997</v>
      </c>
      <c r="E8" s="1" t="s">
        <v>51</v>
      </c>
      <c r="F8" s="1">
        <f>(C8-'Calibration Data'!$L$29)/'Calibration Data'!$L$30</f>
        <v>12.392901596567381</v>
      </c>
      <c r="G8" s="17">
        <f>'Calibration Data'!$L$19/ABS('Calibration Data'!$L$30)*SQRT(1/'Calibration Data'!$L$20+1+(F8-AVERAGE('Calibration Data'!$L$3:$L$9))^2/('Calibration Data'!$L$30^2*SUM('Calibration Data'!$J$3:$J$8)))</f>
        <v>0.12653104500522913</v>
      </c>
    </row>
    <row r="9" spans="1:7" x14ac:dyDescent="0.25">
      <c r="A9" t="s">
        <v>112</v>
      </c>
      <c r="B9" s="15" t="s">
        <v>96</v>
      </c>
      <c r="C9">
        <v>122.4441666666667</v>
      </c>
      <c r="D9">
        <v>0.89996462500000007</v>
      </c>
      <c r="E9" s="1" t="s">
        <v>51</v>
      </c>
      <c r="F9" s="1">
        <f>(C9-'Calibration Data'!$L$29)/'Calibration Data'!$L$30</f>
        <v>14.494695794818217</v>
      </c>
      <c r="G9" s="17">
        <f>'Calibration Data'!$L$19/ABS('Calibration Data'!$L$30)*SQRT(1/'Calibration Data'!$L$20+1+(F9-AVERAGE('Calibration Data'!$L$3:$L$9))^2/('Calibration Data'!$L$30^2*SUM('Calibration Data'!$J$3:$J$8)))</f>
        <v>0.12651223928051544</v>
      </c>
    </row>
    <row r="10" spans="1:7" x14ac:dyDescent="0.25">
      <c r="A10" t="s">
        <v>113</v>
      </c>
      <c r="B10" s="15" t="s">
        <v>96</v>
      </c>
      <c r="C10">
        <v>135.81666666666669</v>
      </c>
      <c r="D10">
        <v>0.95071666666666654</v>
      </c>
      <c r="E10" s="1" t="s">
        <v>51</v>
      </c>
      <c r="F10" s="1">
        <f>(C10-'Calibration Data'!$L$29)/'Calibration Data'!$L$30</f>
        <v>16.078220443831366</v>
      </c>
      <c r="G10" s="17">
        <f>'Calibration Data'!$L$19/ABS('Calibration Data'!$L$30)*SQRT(1/'Calibration Data'!$L$20+1+(F10-AVERAGE('Calibration Data'!$L$3:$L$9))^2/('Calibration Data'!$L$30^2*SUM('Calibration Data'!$J$3:$J$8)))</f>
        <v>0.12649829932948176</v>
      </c>
    </row>
    <row r="11" spans="1:7" x14ac:dyDescent="0.25">
      <c r="A11" t="s">
        <v>114</v>
      </c>
      <c r="B11" s="15" t="s">
        <v>96</v>
      </c>
      <c r="C11">
        <v>2.4208333333333329</v>
      </c>
      <c r="D11">
        <v>0.1269727083333333</v>
      </c>
      <c r="E11" s="1" t="s">
        <v>51</v>
      </c>
      <c r="F11" s="1">
        <f>(C11-'Calibration Data'!$L$29)/'Calibration Data'!$L$30</f>
        <v>0.28195271835120378</v>
      </c>
      <c r="G11" s="17">
        <f>'Calibration Data'!$L$19/ABS('Calibration Data'!$L$30)*SQRT(1/'Calibration Data'!$L$20+1+(F11-AVERAGE('Calibration Data'!$L$3:$L$9))^2/('Calibration Data'!$L$30^2*SUM('Calibration Data'!$J$3:$J$8)))</f>
        <v>0.12664614154828155</v>
      </c>
    </row>
    <row r="12" spans="1:7" x14ac:dyDescent="0.25">
      <c r="A12" t="s">
        <v>115</v>
      </c>
      <c r="B12" s="15" t="s">
        <v>96</v>
      </c>
      <c r="C12">
        <v>2.4900000000000002</v>
      </c>
      <c r="D12">
        <v>0.12885750000000001</v>
      </c>
      <c r="E12" s="1" t="s">
        <v>51</v>
      </c>
      <c r="F12" s="1">
        <f>(C12-'Calibration Data'!$L$29)/'Calibration Data'!$L$30</f>
        <v>0.29014319294882907</v>
      </c>
      <c r="G12" s="17">
        <f>'Calibration Data'!$L$19/ABS('Calibration Data'!$L$30)*SQRT(1/'Calibration Data'!$L$20+1+(F12-AVERAGE('Calibration Data'!$L$3:$L$9))^2/('Calibration Data'!$L$30^2*SUM('Calibration Data'!$J$3:$J$8)))</f>
        <v>0.12664605983594066</v>
      </c>
    </row>
    <row r="13" spans="1:7" x14ac:dyDescent="0.25">
      <c r="A13" t="s">
        <v>116</v>
      </c>
      <c r="B13" s="15" t="s">
        <v>96</v>
      </c>
      <c r="C13">
        <v>5.4783333333333326</v>
      </c>
      <c r="D13">
        <v>0.19091991666666669</v>
      </c>
      <c r="E13" s="1" t="s">
        <v>51</v>
      </c>
      <c r="F13" s="1">
        <f>(C13-'Calibration Data'!$L$29)/'Calibration Data'!$L$30</f>
        <v>0.64401116773297296</v>
      </c>
      <c r="G13" s="17">
        <f>'Calibration Data'!$L$19/ABS('Calibration Data'!$L$30)*SQRT(1/'Calibration Data'!$L$20+1+(F13-AVERAGE('Calibration Data'!$L$3:$L$9))^2/('Calibration Data'!$L$30^2*SUM('Calibration Data'!$J$3:$J$8)))</f>
        <v>0.12664253447168861</v>
      </c>
    </row>
    <row r="14" spans="1:7" x14ac:dyDescent="0.25">
      <c r="A14" t="s">
        <v>117</v>
      </c>
      <c r="B14" s="15" t="s">
        <v>96</v>
      </c>
      <c r="C14">
        <v>53.552500000000002</v>
      </c>
      <c r="D14">
        <v>0.59711037500000008</v>
      </c>
      <c r="E14" s="1" t="s">
        <v>51</v>
      </c>
      <c r="F14" s="1">
        <f>(C14-'Calibration Data'!$L$29)/'Calibration Data'!$L$30</f>
        <v>6.3367857347498404</v>
      </c>
      <c r="G14" s="17">
        <f>'Calibration Data'!$L$19/ABS('Calibration Data'!$L$30)*SQRT(1/'Calibration Data'!$L$20+1+(F14-AVERAGE('Calibration Data'!$L$3:$L$9))^2/('Calibration Data'!$L$30^2*SUM('Calibration Data'!$J$3:$J$8)))</f>
        <v>0.12658716563385272</v>
      </c>
    </row>
    <row r="15" spans="1:7" x14ac:dyDescent="0.25">
      <c r="A15" t="s">
        <v>118</v>
      </c>
      <c r="B15" s="15" t="s">
        <v>96</v>
      </c>
      <c r="C15">
        <v>53.945</v>
      </c>
      <c r="D15">
        <v>0.59878950000000009</v>
      </c>
      <c r="E15" s="1" t="s">
        <v>51</v>
      </c>
      <c r="F15" s="1">
        <f>(C15-'Calibration Data'!$L$29)/'Calibration Data'!$L$30</f>
        <v>6.3832642110809417</v>
      </c>
      <c r="G15" s="17">
        <f>'Calibration Data'!$L$19/ABS('Calibration Data'!$L$30)*SQRT(1/'Calibration Data'!$L$20+1+(F15-AVERAGE('Calibration Data'!$L$3:$L$9))^2/('Calibration Data'!$L$30^2*SUM('Calibration Data'!$J$3:$J$8)))</f>
        <v>0.12658672400224585</v>
      </c>
    </row>
    <row r="16" spans="1:7" x14ac:dyDescent="0.25">
      <c r="A16" t="s">
        <v>119</v>
      </c>
      <c r="B16" s="15" t="s">
        <v>96</v>
      </c>
      <c r="C16">
        <v>52.282499999999999</v>
      </c>
      <c r="D16">
        <v>0.59079224999999991</v>
      </c>
      <c r="E16" s="1" t="s">
        <v>51</v>
      </c>
      <c r="F16" s="1">
        <f>(C16-'Calibration Data'!$L$29)/'Calibration Data'!$L$30</f>
        <v>6.1863967794874206</v>
      </c>
      <c r="G16" s="17">
        <f>'Calibration Data'!$L$19/ABS('Calibration Data'!$L$30)*SQRT(1/'Calibration Data'!$L$20+1+(F16-AVERAGE('Calibration Data'!$L$3:$L$9))^2/('Calibration Data'!$L$30^2*SUM('Calibration Data'!$J$3:$J$8)))</f>
        <v>0.12658859576507006</v>
      </c>
    </row>
    <row r="17" spans="1:7" x14ac:dyDescent="0.25">
      <c r="A17" t="s">
        <v>120</v>
      </c>
      <c r="B17" s="15" t="s">
        <v>96</v>
      </c>
      <c r="C17">
        <v>24.77333333333333</v>
      </c>
      <c r="D17">
        <v>0.40628266666666663</v>
      </c>
      <c r="E17" s="1" t="s">
        <v>51</v>
      </c>
      <c r="F17" s="1">
        <f>(C17-'Calibration Data'!$L$29)/'Calibration Data'!$L$30</f>
        <v>2.9288575392198859</v>
      </c>
      <c r="G17" s="17">
        <f>'Calibration Data'!$L$19/ABS('Calibration Data'!$L$30)*SQRT(1/'Calibration Data'!$L$20+1+(F17-AVERAGE('Calibration Data'!$L$3:$L$9))^2/('Calibration Data'!$L$30^2*SUM('Calibration Data'!$J$3:$J$8)))</f>
        <v>0.12662000744534962</v>
      </c>
    </row>
    <row r="18" spans="1:7" x14ac:dyDescent="0.25">
      <c r="A18" t="s">
        <v>121</v>
      </c>
      <c r="B18" s="15" t="s">
        <v>96</v>
      </c>
      <c r="C18">
        <v>25.389166666666672</v>
      </c>
      <c r="D18">
        <v>0.41130450000000007</v>
      </c>
      <c r="E18" s="1" t="s">
        <v>51</v>
      </c>
      <c r="F18" s="1">
        <f>(C18-'Calibration Data'!$L$29)/'Calibration Data'!$L$30</f>
        <v>3.0017823672638029</v>
      </c>
      <c r="G18" s="17">
        <f>'Calibration Data'!$L$19/ABS('Calibration Data'!$L$30)*SQRT(1/'Calibration Data'!$L$20+1+(F18-AVERAGE('Calibration Data'!$L$3:$L$9))^2/('Calibration Data'!$L$30^2*SUM('Calibration Data'!$J$3:$J$8)))</f>
        <v>0.12661929517276252</v>
      </c>
    </row>
    <row r="19" spans="1:7" x14ac:dyDescent="0.25">
      <c r="A19" t="s">
        <v>122</v>
      </c>
      <c r="B19" s="15" t="s">
        <v>96</v>
      </c>
      <c r="C19">
        <v>25.41416666666667</v>
      </c>
      <c r="D19">
        <v>0.41170950000000012</v>
      </c>
      <c r="E19" s="1" t="s">
        <v>51</v>
      </c>
      <c r="F19" s="1">
        <f>(C19-'Calibration Data'!$L$29)/'Calibration Data'!$L$30</f>
        <v>3.0047427797689683</v>
      </c>
      <c r="G19" s="17">
        <f>'Calibration Data'!$L$19/ABS('Calibration Data'!$L$30)*SQRT(1/'Calibration Data'!$L$20+1+(F19-AVERAGE('Calibration Data'!$L$3:$L$9))^2/('Calibration Data'!$L$30^2*SUM('Calibration Data'!$J$3:$J$8)))</f>
        <v>0.12661926626654962</v>
      </c>
    </row>
    <row r="20" spans="1:7" x14ac:dyDescent="0.25">
      <c r="A20" t="s">
        <v>123</v>
      </c>
      <c r="B20" s="16" t="s">
        <v>97</v>
      </c>
      <c r="C20">
        <v>25.760833333333331</v>
      </c>
      <c r="D20">
        <v>0.41474941666666659</v>
      </c>
      <c r="E20" s="1" t="s">
        <v>51</v>
      </c>
      <c r="F20" s="1">
        <f>(C20-'Calibration Data'!$L$29)/'Calibration Data'!$L$30</f>
        <v>3.0457938331739323</v>
      </c>
      <c r="G20" s="17">
        <f>'Calibration Data'!$L$19/ABS('Calibration Data'!$L$30)*SQRT(1/'Calibration Data'!$L$20+1+(F20-AVERAGE('Calibration Data'!$L$3:$L$9))^2/('Calibration Data'!$L$30^2*SUM('Calibration Data'!$J$3:$J$8)))</f>
        <v>0.12661886550432014</v>
      </c>
    </row>
    <row r="21" spans="1:7" x14ac:dyDescent="0.25">
      <c r="A21" t="s">
        <v>124</v>
      </c>
      <c r="B21" s="16" t="s">
        <v>97</v>
      </c>
      <c r="C21">
        <v>28.51</v>
      </c>
      <c r="D21">
        <v>0.43620300000000012</v>
      </c>
      <c r="E21" s="1" t="s">
        <v>51</v>
      </c>
      <c r="F21" s="1">
        <f>(C21-'Calibration Data'!$L$29)/'Calibration Data'!$L$30</f>
        <v>3.3713405283253248</v>
      </c>
      <c r="G21" s="17">
        <f>'Calibration Data'!$L$19/ABS('Calibration Data'!$L$30)*SQRT(1/'Calibration Data'!$L$20+1+(F21-AVERAGE('Calibration Data'!$L$3:$L$9))^2/('Calibration Data'!$L$30^2*SUM('Calibration Data'!$J$3:$J$8)))</f>
        <v>0.12661569200720274</v>
      </c>
    </row>
    <row r="22" spans="1:7" x14ac:dyDescent="0.25">
      <c r="A22" t="s">
        <v>125</v>
      </c>
      <c r="B22" s="16" t="s">
        <v>97</v>
      </c>
      <c r="C22">
        <v>25.896666666666668</v>
      </c>
      <c r="D22">
        <v>0.41564150000000011</v>
      </c>
      <c r="E22" s="1" t="s">
        <v>51</v>
      </c>
      <c r="F22" s="1">
        <f>(C22-'Calibration Data'!$L$29)/'Calibration Data'!$L$30</f>
        <v>3.0618787411186665</v>
      </c>
      <c r="G22" s="17">
        <f>'Calibration Data'!$L$19/ABS('Calibration Data'!$L$30)*SQRT(1/'Calibration Data'!$L$20+1+(F22-AVERAGE('Calibration Data'!$L$3:$L$9))^2/('Calibration Data'!$L$30^2*SUM('Calibration Data'!$J$3:$J$8)))</f>
        <v>0.12661870851079568</v>
      </c>
    </row>
    <row r="23" spans="1:7" x14ac:dyDescent="0.25">
      <c r="A23" t="s">
        <v>126</v>
      </c>
      <c r="B23" s="16" t="s">
        <v>97</v>
      </c>
      <c r="C23">
        <v>25.535833333333329</v>
      </c>
      <c r="D23">
        <v>0.41240370833333329</v>
      </c>
      <c r="E23" s="1" t="s">
        <v>51</v>
      </c>
      <c r="F23" s="1">
        <f>(C23-'Calibration Data'!$L$29)/'Calibration Data'!$L$30</f>
        <v>3.0191501206274407</v>
      </c>
      <c r="G23" s="17">
        <f>'Calibration Data'!$L$19/ABS('Calibration Data'!$L$30)*SQRT(1/'Calibration Data'!$L$20+1+(F23-AVERAGE('Calibration Data'!$L$3:$L$9))^2/('Calibration Data'!$L$30^2*SUM('Calibration Data'!$J$3:$J$8)))</f>
        <v>0.12661912559942326</v>
      </c>
    </row>
    <row r="24" spans="1:7" x14ac:dyDescent="0.25">
      <c r="A24" t="s">
        <v>127</v>
      </c>
      <c r="B24" s="16" t="s">
        <v>97</v>
      </c>
      <c r="C24">
        <v>19.368333333333329</v>
      </c>
      <c r="D24">
        <v>0.35928258333333341</v>
      </c>
      <c r="E24" s="1" t="s">
        <v>51</v>
      </c>
      <c r="F24" s="1">
        <f>(C24-'Calibration Data'!$L$29)/'Calibration Data'!$L$30</f>
        <v>2.2888163556030539</v>
      </c>
      <c r="G24" s="17">
        <f>'Calibration Data'!$L$19/ABS('Calibration Data'!$L$30)*SQRT(1/'Calibration Data'!$L$20+1+(F24-AVERAGE('Calibration Data'!$L$3:$L$9))^2/('Calibration Data'!$L$30^2*SUM('Calibration Data'!$J$3:$J$8)))</f>
        <v>0.12662627669390514</v>
      </c>
    </row>
    <row r="25" spans="1:7" x14ac:dyDescent="0.25">
      <c r="A25" t="s">
        <v>128</v>
      </c>
      <c r="B25" s="16" t="s">
        <v>97</v>
      </c>
      <c r="C25">
        <v>26.721666666666671</v>
      </c>
      <c r="D25">
        <v>0.42220233333333351</v>
      </c>
      <c r="E25" s="1" t="s">
        <v>51</v>
      </c>
      <c r="F25" s="1">
        <f>(C25-'Calibration Data'!$L$29)/'Calibration Data'!$L$30</f>
        <v>3.159572353789136</v>
      </c>
      <c r="G25" s="17">
        <f>'Calibration Data'!$L$19/ABS('Calibration Data'!$L$30)*SQRT(1/'Calibration Data'!$L$20+1+(F25-AVERAGE('Calibration Data'!$L$3:$L$9))^2/('Calibration Data'!$L$30^2*SUM('Calibration Data'!$J$3:$J$8)))</f>
        <v>0.12661775542613424</v>
      </c>
    </row>
    <row r="26" spans="1:7" x14ac:dyDescent="0.25">
      <c r="A26" t="s">
        <v>129</v>
      </c>
      <c r="B26" s="16" t="s">
        <v>97</v>
      </c>
      <c r="C26">
        <v>183.23666666666671</v>
      </c>
      <c r="D26">
        <v>1.0994200000000001</v>
      </c>
      <c r="E26" s="1" t="s">
        <v>51</v>
      </c>
      <c r="F26" s="1">
        <f>(C26-'Calibration Data'!$L$29)/'Calibration Data'!$L$30</f>
        <v>21.69353088362973</v>
      </c>
      <c r="G26" s="17">
        <f>'Calibration Data'!$L$19/ABS('Calibration Data'!$L$30)*SQRT(1/'Calibration Data'!$L$20+1+(F26-AVERAGE('Calibration Data'!$L$3:$L$9))^2/('Calibration Data'!$L$30^2*SUM('Calibration Data'!$J$3:$J$8)))</f>
        <v>0.1264504514331167</v>
      </c>
    </row>
    <row r="27" spans="1:7" x14ac:dyDescent="0.25">
      <c r="A27" t="s">
        <v>130</v>
      </c>
      <c r="B27" s="16" t="s">
        <v>97</v>
      </c>
      <c r="C27">
        <v>178.6983333333333</v>
      </c>
      <c r="D27">
        <v>1.0900598333333329</v>
      </c>
      <c r="E27" s="1" t="s">
        <v>51</v>
      </c>
      <c r="F27" s="1">
        <f>(C27-'Calibration Data'!$L$29)/'Calibration Data'!$L$30</f>
        <v>21.156117333525302</v>
      </c>
      <c r="G27" s="17">
        <f>'Calibration Data'!$L$19/ABS('Calibration Data'!$L$30)*SQRT(1/'Calibration Data'!$L$20+1+(F27-AVERAGE('Calibration Data'!$L$3:$L$9))^2/('Calibration Data'!$L$30^2*SUM('Calibration Data'!$J$3:$J$8)))</f>
        <v>0.12645492371463418</v>
      </c>
    </row>
    <row r="28" spans="1:7" x14ac:dyDescent="0.25">
      <c r="A28" t="s">
        <v>131</v>
      </c>
      <c r="B28" s="16" t="s">
        <v>97</v>
      </c>
      <c r="C28">
        <v>163.40333333333331</v>
      </c>
      <c r="D28">
        <v>1.045781333333333</v>
      </c>
      <c r="E28" s="1" t="s">
        <v>51</v>
      </c>
      <c r="F28" s="1">
        <f>(C28-'Calibration Data'!$L$29)/'Calibration Data'!$L$30</f>
        <v>19.34493696286491</v>
      </c>
      <c r="G28" s="17">
        <f>'Calibration Data'!$L$19/ABS('Calibration Data'!$L$30)*SQRT(1/'Calibration Data'!$L$20+1+(F28-AVERAGE('Calibration Data'!$L$3:$L$9))^2/('Calibration Data'!$L$30^2*SUM('Calibration Data'!$J$3:$J$8)))</f>
        <v>0.12647016293682045</v>
      </c>
    </row>
    <row r="29" spans="1:7" x14ac:dyDescent="0.25">
      <c r="A29" t="s">
        <v>132</v>
      </c>
      <c r="B29" s="16" t="s">
        <v>97</v>
      </c>
      <c r="C29">
        <v>168.22</v>
      </c>
      <c r="D29">
        <v>1.0597859999999999</v>
      </c>
      <c r="E29" s="1" t="s">
        <v>51</v>
      </c>
      <c r="F29" s="1">
        <f>(C29-'Calibration Data'!$L$29)/'Calibration Data'!$L$30</f>
        <v>19.91530977219351</v>
      </c>
      <c r="G29" s="17">
        <f>'Calibration Data'!$L$19/ABS('Calibration Data'!$L$30)*SQRT(1/'Calibration Data'!$L$20+1+(F29-AVERAGE('Calibration Data'!$L$3:$L$9))^2/('Calibration Data'!$L$30^2*SUM('Calibration Data'!$J$3:$J$8)))</f>
        <v>0.12646533608237384</v>
      </c>
    </row>
    <row r="30" spans="1:7" x14ac:dyDescent="0.25">
      <c r="A30" s="15"/>
      <c r="B30" s="16"/>
    </row>
    <row r="31" spans="1:7" x14ac:dyDescent="0.25">
      <c r="A31" s="15"/>
      <c r="B31" s="16"/>
    </row>
    <row r="32" spans="1:7" x14ac:dyDescent="0.25">
      <c r="A32" s="15"/>
      <c r="B32" s="16"/>
    </row>
    <row r="33" spans="1:2" x14ac:dyDescent="0.25">
      <c r="A33" s="15"/>
      <c r="B33" s="16"/>
    </row>
    <row r="34" spans="1:2" x14ac:dyDescent="0.25">
      <c r="A34" s="15"/>
      <c r="B34" s="16"/>
    </row>
    <row r="35" spans="1:2" x14ac:dyDescent="0.25">
      <c r="A35" s="15"/>
      <c r="B35" s="16"/>
    </row>
    <row r="36" spans="1:2" x14ac:dyDescent="0.25">
      <c r="A36" s="15"/>
      <c r="B36" s="16"/>
    </row>
    <row r="37" spans="1:2" x14ac:dyDescent="0.25">
      <c r="A37" s="15"/>
      <c r="B37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V14" sqref="V14"/>
    </sheetView>
    <sheetView workbookViewId="1"/>
    <sheetView workbookViewId="2"/>
    <sheetView tabSelected="1" workbookViewId="3">
      <pane xSplit="1" ySplit="1" topLeftCell="N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1" max="1" width="16.57031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8.28515625" bestFit="1" customWidth="1"/>
    <col min="6" max="6" width="15.7109375" bestFit="1" customWidth="1"/>
    <col min="7" max="7" width="20.5703125" bestFit="1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7109375" bestFit="1" customWidth="1"/>
    <col min="13" max="13" width="29.85546875" bestFit="1" customWidth="1"/>
    <col min="14" max="14" width="16.28515625" bestFit="1" customWidth="1"/>
    <col min="15" max="15" width="21.140625" bestFit="1" customWidth="1"/>
    <col min="16" max="16" width="24.7109375" bestFit="1" customWidth="1"/>
    <col min="17" max="17" width="29.85546875" bestFit="1" customWidth="1"/>
    <col min="18" max="18" width="11.28515625" bestFit="1" customWidth="1"/>
    <col min="19" max="19" width="12.42578125" bestFit="1" customWidth="1"/>
    <col min="20" max="20" width="16.85546875" bestFit="1" customWidth="1"/>
    <col min="21" max="21" width="18.140625" bestFit="1" customWidth="1"/>
    <col min="22" max="22" width="9" bestFit="1" customWidth="1"/>
    <col min="23" max="23" width="10.140625" bestFit="1" customWidth="1"/>
    <col min="24" max="24" width="13.140625" bestFit="1" customWidth="1"/>
    <col min="25" max="25" width="14.28515625" bestFit="1" customWidth="1"/>
  </cols>
  <sheetData>
    <row r="1" spans="1:24" x14ac:dyDescent="0.25">
      <c r="A1" t="s">
        <v>10</v>
      </c>
      <c r="B1" t="s">
        <v>27</v>
      </c>
      <c r="C1" t="s">
        <v>28</v>
      </c>
      <c r="D1" t="s">
        <v>12</v>
      </c>
      <c r="E1" t="s">
        <v>139</v>
      </c>
      <c r="F1" t="s">
        <v>25</v>
      </c>
      <c r="G1" t="s">
        <v>26</v>
      </c>
      <c r="H1" t="s">
        <v>86</v>
      </c>
      <c r="I1" t="s">
        <v>87</v>
      </c>
      <c r="J1" t="s">
        <v>82</v>
      </c>
      <c r="K1" t="s">
        <v>83</v>
      </c>
      <c r="L1" t="s">
        <v>88</v>
      </c>
      <c r="M1" t="s">
        <v>89</v>
      </c>
      <c r="N1" t="s">
        <v>84</v>
      </c>
      <c r="O1" t="s">
        <v>85</v>
      </c>
      <c r="P1" t="s">
        <v>90</v>
      </c>
      <c r="Q1" t="s">
        <v>91</v>
      </c>
      <c r="R1" t="s">
        <v>29</v>
      </c>
      <c r="S1" t="s">
        <v>30</v>
      </c>
      <c r="T1" t="s">
        <v>33</v>
      </c>
      <c r="U1" t="s">
        <v>34</v>
      </c>
      <c r="V1" t="s">
        <v>31</v>
      </c>
      <c r="W1" t="s">
        <v>32</v>
      </c>
      <c r="X1" t="s">
        <v>101</v>
      </c>
    </row>
    <row r="2" spans="1:24" x14ac:dyDescent="0.25">
      <c r="A2" t="s">
        <v>106</v>
      </c>
      <c r="B2">
        <v>0.34799999999999998</v>
      </c>
      <c r="C2">
        <v>2E-3</v>
      </c>
      <c r="D2" s="1">
        <v>2.99</v>
      </c>
      <c r="E2" s="1">
        <v>0.82</v>
      </c>
      <c r="F2" s="1">
        <f>E2*Parameters!$B$8</f>
        <v>3.0011999999999997E-2</v>
      </c>
      <c r="G2" s="1">
        <f>F2*SQRT((0.002/E2)^2+(Parameters!$C$8/Parameters!$B$8)^2)</f>
        <v>1.6825930108020769E-3</v>
      </c>
      <c r="H2" s="1">
        <v>100</v>
      </c>
      <c r="I2" s="1">
        <v>5</v>
      </c>
      <c r="J2" s="1">
        <f>'Count-&gt;Actual Activity'!F2</f>
        <v>20.950072623165767</v>
      </c>
      <c r="K2" s="1">
        <f>'Count-&gt;Actual Activity'!G2</f>
        <v>0.12645664439881399</v>
      </c>
      <c r="L2" s="1">
        <v>10</v>
      </c>
      <c r="M2" s="1">
        <v>0.02</v>
      </c>
      <c r="N2" s="1"/>
      <c r="O2" s="1"/>
      <c r="P2" s="1"/>
      <c r="Q2" s="1"/>
      <c r="R2">
        <f>J2/L2</f>
        <v>2.0950072623165767</v>
      </c>
      <c r="S2">
        <f>SQRT((M2/L2)^2+(K2/J2)^2)*R2</f>
        <v>1.3321751042663938E-2</v>
      </c>
      <c r="T2">
        <f>B2*Parameters!$B$6</f>
        <v>206.34929577464791</v>
      </c>
      <c r="U2">
        <f>SQRT((C2/B2)^2+(Parameters!$C$6/Parameters!$B$6)^2)*'Bottle Results'!T2</f>
        <v>10.361050850528468</v>
      </c>
      <c r="V2">
        <f t="shared" ref="V2" si="0">(T2-R2*H2)/F2</f>
        <v>-105.0056796284737</v>
      </c>
      <c r="X2">
        <f t="shared" ref="X2" si="1">(T2-R2*H2)/T2</f>
        <v>-1.5272310211571544E-2</v>
      </c>
    </row>
    <row r="3" spans="1:24" x14ac:dyDescent="0.25">
      <c r="A3" t="s">
        <v>105</v>
      </c>
      <c r="B3">
        <v>0.34799999999999998</v>
      </c>
      <c r="C3">
        <v>2E-3</v>
      </c>
      <c r="D3" s="1">
        <v>2.99</v>
      </c>
      <c r="E3" s="1">
        <v>0.82</v>
      </c>
      <c r="F3" s="1">
        <f>E3*Parameters!$B$8</f>
        <v>3.0011999999999997E-2</v>
      </c>
      <c r="G3" s="1">
        <f>F3*SQRT((0.002/E3)^2+(Parameters!$C$8/Parameters!$B$8)^2)</f>
        <v>1.6825930108020769E-3</v>
      </c>
      <c r="H3" s="1">
        <v>100</v>
      </c>
      <c r="I3" s="1">
        <v>5</v>
      </c>
      <c r="J3" s="1">
        <f>'Count-&gt;Actual Activity'!F3</f>
        <v>20.779750223701907</v>
      </c>
      <c r="K3" s="1">
        <f>'Count-&gt;Actual Activity'!G3</f>
        <v>0.12645806927936978</v>
      </c>
      <c r="L3" s="1">
        <v>10</v>
      </c>
      <c r="M3" s="1">
        <v>0.02</v>
      </c>
      <c r="N3" s="1"/>
      <c r="O3" s="1"/>
      <c r="P3" s="1"/>
      <c r="Q3" s="1"/>
      <c r="R3">
        <f t="shared" ref="R3:R29" si="2">J3/L3</f>
        <v>2.0779750223701905</v>
      </c>
      <c r="S3">
        <f t="shared" ref="S3:S29" si="3">SQRT((M3/L3)^2+(K3/J3)^2)*R3</f>
        <v>1.331121157645075E-2</v>
      </c>
      <c r="T3">
        <f>B3*Parameters!$B$6</f>
        <v>206.34929577464791</v>
      </c>
      <c r="U3">
        <f>SQRT((C3/B3)^2+(Parameters!$C$6/Parameters!$B$6)^2)*'Bottle Results'!T3</f>
        <v>10.361050850528468</v>
      </c>
      <c r="V3">
        <f t="shared" ref="V3:V29" si="4">(T3-R3*H3)/F3</f>
        <v>-48.254247046885666</v>
      </c>
      <c r="X3">
        <f t="shared" ref="X3:X29" si="5">(T3-R3*H3)/T3</f>
        <v>-7.0182282761590076E-3</v>
      </c>
    </row>
    <row r="4" spans="1:24" x14ac:dyDescent="0.25">
      <c r="A4" t="s">
        <v>107</v>
      </c>
      <c r="B4">
        <v>0.34799999999999998</v>
      </c>
      <c r="C4">
        <v>2E-3</v>
      </c>
      <c r="D4" s="1">
        <v>2.99</v>
      </c>
      <c r="E4" s="1">
        <v>0.82</v>
      </c>
      <c r="F4" s="1">
        <f>E4*Parameters!$B$8</f>
        <v>3.0011999999999997E-2</v>
      </c>
      <c r="G4" s="1">
        <f>F4*SQRT((0.002/E4)^2+(Parameters!$C$8/Parameters!$B$8)^2)</f>
        <v>1.6825930108020769E-3</v>
      </c>
      <c r="H4" s="1">
        <v>100</v>
      </c>
      <c r="I4" s="1">
        <v>5</v>
      </c>
      <c r="J4" s="1">
        <f>'Count-&gt;Actual Activity'!F4</f>
        <v>21.639256654368353</v>
      </c>
      <c r="K4" s="1">
        <f>'Count-&gt;Actual Activity'!G4</f>
        <v>0.12645090206720655</v>
      </c>
      <c r="L4" s="1">
        <v>10</v>
      </c>
      <c r="M4" s="1">
        <v>0.02</v>
      </c>
      <c r="N4" s="1"/>
      <c r="O4" s="1"/>
      <c r="P4" s="1"/>
      <c r="Q4" s="1"/>
      <c r="R4">
        <f t="shared" si="2"/>
        <v>2.1639256654368353</v>
      </c>
      <c r="S4">
        <f t="shared" si="3"/>
        <v>1.3365201213533885E-2</v>
      </c>
      <c r="T4">
        <f>B4*Parameters!$B$6</f>
        <v>206.34929577464791</v>
      </c>
      <c r="U4">
        <f>SQRT((C4/B4)^2+(Parameters!$C$6/Parameters!$B$6)^2)*'Bottle Results'!T4</f>
        <v>10.361050850528468</v>
      </c>
      <c r="V4">
        <f t="shared" si="4"/>
        <v>-334.64183556696042</v>
      </c>
      <c r="X4">
        <f t="shared" si="5"/>
        <v>-4.8671214172709247E-2</v>
      </c>
    </row>
    <row r="5" spans="1:24" x14ac:dyDescent="0.25">
      <c r="A5" t="s">
        <v>108</v>
      </c>
      <c r="B5">
        <v>0.34799999999999998</v>
      </c>
      <c r="C5">
        <v>2E-3</v>
      </c>
      <c r="D5" s="1">
        <v>5.0199999999999996</v>
      </c>
      <c r="E5" s="1">
        <v>0.82</v>
      </c>
      <c r="F5" s="1">
        <f>E5*Parameters!$B$8</f>
        <v>3.0011999999999997E-2</v>
      </c>
      <c r="G5" s="1">
        <f>F5*SQRT((0.002/E5)^2+(Parameters!$C$8/Parameters!$B$8)^2)</f>
        <v>1.6825930108020769E-3</v>
      </c>
      <c r="H5" s="1">
        <v>100</v>
      </c>
      <c r="I5" s="1">
        <v>5</v>
      </c>
      <c r="J5" s="1">
        <f>'Count-&gt;Actual Activity'!F5</f>
        <v>20.542917223288647</v>
      </c>
      <c r="K5" s="1">
        <f>'Count-&gt;Actual Activity'!G5</f>
        <v>0.12646005435516969</v>
      </c>
      <c r="L5" s="1">
        <v>10</v>
      </c>
      <c r="M5" s="1">
        <v>0.02</v>
      </c>
      <c r="N5" s="1"/>
      <c r="O5" s="1"/>
      <c r="P5" s="1"/>
      <c r="Q5" s="1"/>
      <c r="R5">
        <f t="shared" si="2"/>
        <v>2.0542917223288648</v>
      </c>
      <c r="S5">
        <f t="shared" si="3"/>
        <v>1.3296687985992615E-2</v>
      </c>
      <c r="T5">
        <f>B5*Parameters!$B$6</f>
        <v>206.34929577464791</v>
      </c>
      <c r="U5">
        <f>SQRT((C5/B5)^2+(Parameters!$C$6/Parameters!$B$6)^2)*'Bottle Results'!T5</f>
        <v>10.361050850528468</v>
      </c>
      <c r="V5">
        <f t="shared" si="4"/>
        <v>30.658521316854163</v>
      </c>
      <c r="X5">
        <f t="shared" si="5"/>
        <v>4.459058308424203E-3</v>
      </c>
    </row>
    <row r="6" spans="1:24" x14ac:dyDescent="0.25">
      <c r="A6" t="s">
        <v>109</v>
      </c>
      <c r="B6">
        <v>0.34799999999999998</v>
      </c>
      <c r="C6">
        <v>2E-3</v>
      </c>
      <c r="D6" s="1">
        <v>5.01</v>
      </c>
      <c r="E6" s="1">
        <v>0.82</v>
      </c>
      <c r="F6" s="1">
        <f>E6*Parameters!$B$8</f>
        <v>3.0011999999999997E-2</v>
      </c>
      <c r="G6" s="1">
        <f>F6*SQRT((0.002/E6)^2+(Parameters!$C$8/Parameters!$B$8)^2)</f>
        <v>1.6825930108020769E-3</v>
      </c>
      <c r="H6" s="1">
        <v>100</v>
      </c>
      <c r="I6" s="1">
        <v>5</v>
      </c>
      <c r="J6" s="1">
        <f>'Count-&gt;Actual Activity'!F6</f>
        <v>20.839451875889402</v>
      </c>
      <c r="K6" s="1">
        <f>'Count-&gt;Actual Activity'!G6</f>
        <v>0.12645756956916906</v>
      </c>
      <c r="L6" s="1">
        <v>10</v>
      </c>
      <c r="M6" s="1">
        <v>0.02</v>
      </c>
      <c r="N6" s="1"/>
      <c r="O6" s="1"/>
      <c r="P6" s="1"/>
      <c r="Q6" s="1"/>
      <c r="R6">
        <f t="shared" si="2"/>
        <v>2.0839451875889403</v>
      </c>
      <c r="S6">
        <f t="shared" si="3"/>
        <v>1.3314896890059373E-2</v>
      </c>
      <c r="T6">
        <f>B6*Parameters!$B$6</f>
        <v>206.34929577464791</v>
      </c>
      <c r="U6">
        <f>SQRT((C6/B6)^2+(Parameters!$C$6/Parameters!$B$6)^2)*'Bottle Results'!T6</f>
        <v>10.361050850528468</v>
      </c>
      <c r="V6">
        <f t="shared" si="4"/>
        <v>-68.146840738575364</v>
      </c>
      <c r="X6">
        <f t="shared" si="5"/>
        <v>-9.911460936022248E-3</v>
      </c>
    </row>
    <row r="7" spans="1:24" x14ac:dyDescent="0.25">
      <c r="A7" t="s">
        <v>110</v>
      </c>
      <c r="B7">
        <v>0.34799999999999998</v>
      </c>
      <c r="C7">
        <v>2E-3</v>
      </c>
      <c r="D7" s="1">
        <v>5.03</v>
      </c>
      <c r="E7" s="1">
        <v>0.82</v>
      </c>
      <c r="F7" s="1">
        <f>E7*Parameters!$B$8</f>
        <v>3.0011999999999997E-2</v>
      </c>
      <c r="G7" s="1">
        <f>F7*SQRT((0.002/E7)^2+(Parameters!$C$8/Parameters!$B$8)^2)</f>
        <v>1.6825930108020769E-3</v>
      </c>
      <c r="H7" s="1">
        <v>100</v>
      </c>
      <c r="I7" s="1">
        <v>5</v>
      </c>
      <c r="J7" s="1">
        <f>'Count-&gt;Actual Activity'!F7</f>
        <v>21.333248681751058</v>
      </c>
      <c r="K7" s="1">
        <f>'Count-&gt;Actual Activity'!G7</f>
        <v>0.12645344714875473</v>
      </c>
      <c r="L7" s="1">
        <v>10</v>
      </c>
      <c r="M7" s="1">
        <v>0.02</v>
      </c>
      <c r="N7" s="1"/>
      <c r="O7" s="1"/>
      <c r="P7" s="1"/>
      <c r="Q7" s="1"/>
      <c r="R7">
        <f t="shared" si="2"/>
        <v>2.133324868175106</v>
      </c>
      <c r="S7">
        <f t="shared" si="3"/>
        <v>1.334574999506309E-2</v>
      </c>
      <c r="T7">
        <f>B7*Parameters!$B$6</f>
        <v>206.34929577464791</v>
      </c>
      <c r="U7">
        <f>SQRT((C7/B7)^2+(Parameters!$C$6/Parameters!$B$6)^2)*'Bottle Results'!T7</f>
        <v>10.361050850528468</v>
      </c>
      <c r="V7">
        <f t="shared" si="4"/>
        <v>-232.67996277697921</v>
      </c>
      <c r="X7">
        <f t="shared" si="5"/>
        <v>-3.3841603464879161E-2</v>
      </c>
    </row>
    <row r="8" spans="1:24" ht="15.75" customHeight="1" x14ac:dyDescent="0.25">
      <c r="A8" t="s">
        <v>111</v>
      </c>
      <c r="B8">
        <v>0.34799999999999998</v>
      </c>
      <c r="C8">
        <v>2E-3</v>
      </c>
      <c r="D8" s="1">
        <v>7</v>
      </c>
      <c r="E8" s="1">
        <v>0.82</v>
      </c>
      <c r="F8" s="1">
        <f>E8*Parameters!$B$8</f>
        <v>3.0011999999999997E-2</v>
      </c>
      <c r="G8" s="1">
        <f>F8*SQRT((0.002/E8)^2+(Parameters!$C$8/Parameters!$B$8)^2)</f>
        <v>1.6825930108020769E-3</v>
      </c>
      <c r="H8" s="1">
        <v>100</v>
      </c>
      <c r="I8" s="1">
        <v>5</v>
      </c>
      <c r="J8" s="1">
        <f>'Count-&gt;Actual Activity'!F8</f>
        <v>12.392901596567381</v>
      </c>
      <c r="K8" s="1">
        <f>'Count-&gt;Actual Activity'!G8</f>
        <v>0.12653104500522913</v>
      </c>
      <c r="L8" s="1">
        <v>10</v>
      </c>
      <c r="M8" s="1">
        <v>0.02</v>
      </c>
      <c r="N8" s="1"/>
      <c r="O8" s="1"/>
      <c r="P8" s="1"/>
      <c r="Q8" s="1"/>
      <c r="R8">
        <f t="shared" si="2"/>
        <v>1.2392901596567381</v>
      </c>
      <c r="S8">
        <f t="shared" si="3"/>
        <v>1.289358033675834E-2</v>
      </c>
      <c r="T8">
        <f>B8*Parameters!$B$6</f>
        <v>206.34929577464791</v>
      </c>
      <c r="U8">
        <f>SQRT((C8/B8)^2+(Parameters!$C$6/Parameters!$B$6)^2)*'Bottle Results'!T8</f>
        <v>10.361050850528468</v>
      </c>
      <c r="V8">
        <f t="shared" si="4"/>
        <v>2746.2441626340833</v>
      </c>
      <c r="X8">
        <f t="shared" si="5"/>
        <v>0.39942118290039863</v>
      </c>
    </row>
    <row r="9" spans="1:24" x14ac:dyDescent="0.25">
      <c r="A9" t="s">
        <v>112</v>
      </c>
      <c r="B9">
        <v>0.34799999999999998</v>
      </c>
      <c r="C9">
        <v>2E-3</v>
      </c>
      <c r="D9" s="1">
        <v>6.97</v>
      </c>
      <c r="E9" s="1">
        <v>0.82</v>
      </c>
      <c r="F9" s="1">
        <f>E9*Parameters!$B$8</f>
        <v>3.0011999999999997E-2</v>
      </c>
      <c r="G9" s="1">
        <f>F9*SQRT((0.002/E9)^2+(Parameters!$C$8/Parameters!$B$8)^2)</f>
        <v>1.6825930108020769E-3</v>
      </c>
      <c r="H9" s="1">
        <v>100</v>
      </c>
      <c r="I9" s="1">
        <v>5</v>
      </c>
      <c r="J9" s="1">
        <f>'Count-&gt;Actual Activity'!F9</f>
        <v>14.494695794818217</v>
      </c>
      <c r="K9" s="1">
        <f>'Count-&gt;Actual Activity'!G9</f>
        <v>0.12651223928051544</v>
      </c>
      <c r="L9" s="1">
        <v>10</v>
      </c>
      <c r="M9" s="1">
        <v>0.02</v>
      </c>
      <c r="N9" s="1"/>
      <c r="O9" s="1"/>
      <c r="P9" s="1"/>
      <c r="Q9" s="1"/>
      <c r="R9">
        <f t="shared" si="2"/>
        <v>1.4494695794818218</v>
      </c>
      <c r="S9">
        <f t="shared" si="3"/>
        <v>1.297911072165874E-2</v>
      </c>
      <c r="T9">
        <f>B9*Parameters!$B$6</f>
        <v>206.34929577464791</v>
      </c>
      <c r="U9">
        <f>SQRT((C9/B9)^2+(Parameters!$C$6/Parameters!$B$6)^2)*'Bottle Results'!T9</f>
        <v>10.361050850528468</v>
      </c>
      <c r="V9">
        <f t="shared" si="4"/>
        <v>2045.9262237260339</v>
      </c>
      <c r="X9">
        <f t="shared" si="5"/>
        <v>0.29756504666496475</v>
      </c>
    </row>
    <row r="10" spans="1:24" x14ac:dyDescent="0.25">
      <c r="A10" t="s">
        <v>113</v>
      </c>
      <c r="B10">
        <v>0.34799999999999998</v>
      </c>
      <c r="C10">
        <v>2E-3</v>
      </c>
      <c r="D10" s="1">
        <v>7</v>
      </c>
      <c r="E10" s="1">
        <v>0.82</v>
      </c>
      <c r="F10" s="1">
        <f>E10*Parameters!$B$8</f>
        <v>3.0011999999999997E-2</v>
      </c>
      <c r="G10" s="1">
        <f>F10*SQRT((0.002/E10)^2+(Parameters!$C$8/Parameters!$B$8)^2)</f>
        <v>1.6825930108020769E-3</v>
      </c>
      <c r="H10" s="1">
        <v>100</v>
      </c>
      <c r="I10" s="1">
        <v>5</v>
      </c>
      <c r="J10" s="1">
        <f>'Count-&gt;Actual Activity'!F10</f>
        <v>16.078220443831366</v>
      </c>
      <c r="K10" s="1">
        <f>'Count-&gt;Actual Activity'!G10</f>
        <v>0.12649829932948176</v>
      </c>
      <c r="L10" s="1">
        <v>10</v>
      </c>
      <c r="M10" s="1">
        <v>0.02</v>
      </c>
      <c r="N10" s="1"/>
      <c r="O10" s="1"/>
      <c r="P10" s="1"/>
      <c r="Q10" s="1"/>
      <c r="R10">
        <f t="shared" si="2"/>
        <v>1.6078220443831366</v>
      </c>
      <c r="S10">
        <f t="shared" si="3"/>
        <v>1.3052147878342827E-2</v>
      </c>
      <c r="T10">
        <f>B10*Parameters!$B$6</f>
        <v>206.34929577464791</v>
      </c>
      <c r="U10">
        <f>SQRT((C10/B10)^2+(Parameters!$C$6/Parameters!$B$6)^2)*'Bottle Results'!T10</f>
        <v>10.361050850528468</v>
      </c>
      <c r="V10">
        <f t="shared" si="4"/>
        <v>1518.2957262539733</v>
      </c>
      <c r="X10">
        <f t="shared" si="5"/>
        <v>0.22082503923879454</v>
      </c>
    </row>
    <row r="11" spans="1:24" x14ac:dyDescent="0.25">
      <c r="A11" t="s">
        <v>114</v>
      </c>
      <c r="B11">
        <v>0.34799999999999998</v>
      </c>
      <c r="C11">
        <v>2E-3</v>
      </c>
      <c r="D11" s="1">
        <v>9.0299999999999994</v>
      </c>
      <c r="E11" s="1">
        <v>0.82</v>
      </c>
      <c r="F11" s="1">
        <f>E11*Parameters!$B$8</f>
        <v>3.0011999999999997E-2</v>
      </c>
      <c r="G11" s="1">
        <f>F11*SQRT((0.002/E11)^2+(Parameters!$C$8/Parameters!$B$8)^2)</f>
        <v>1.6825930108020769E-3</v>
      </c>
      <c r="H11" s="1">
        <v>100</v>
      </c>
      <c r="I11" s="1">
        <v>5</v>
      </c>
      <c r="J11" s="1">
        <f>'Count-&gt;Actual Activity'!F11</f>
        <v>0.28195271835120378</v>
      </c>
      <c r="K11" s="1">
        <f>'Count-&gt;Actual Activity'!G11</f>
        <v>0.12664614154828155</v>
      </c>
      <c r="L11" s="1">
        <v>10</v>
      </c>
      <c r="M11" s="1">
        <v>0.02</v>
      </c>
      <c r="N11" s="1"/>
      <c r="O11" s="1"/>
      <c r="P11" s="1"/>
      <c r="Q11" s="1"/>
      <c r="R11">
        <f t="shared" si="2"/>
        <v>2.8195271835120377E-2</v>
      </c>
      <c r="S11">
        <f t="shared" si="3"/>
        <v>1.2664739696657372E-2</v>
      </c>
      <c r="T11">
        <f>B11*Parameters!$B$6</f>
        <v>206.34929577464791</v>
      </c>
      <c r="U11">
        <f>SQRT((C11/B11)^2+(Parameters!$C$6/Parameters!$B$6)^2)*'Bottle Results'!T11</f>
        <v>10.361050850528468</v>
      </c>
      <c r="V11">
        <f t="shared" si="4"/>
        <v>6781.6129745147236</v>
      </c>
      <c r="X11">
        <f t="shared" si="5"/>
        <v>0.98633614341678577</v>
      </c>
    </row>
    <row r="12" spans="1:24" x14ac:dyDescent="0.25">
      <c r="A12" t="s">
        <v>115</v>
      </c>
      <c r="B12">
        <v>0.34799999999999998</v>
      </c>
      <c r="C12">
        <v>2E-3</v>
      </c>
      <c r="D12" s="1">
        <v>9.0299999999999994</v>
      </c>
      <c r="E12" s="1">
        <v>0.82</v>
      </c>
      <c r="F12" s="1">
        <f>E12*Parameters!$B$8</f>
        <v>3.0011999999999997E-2</v>
      </c>
      <c r="G12" s="1">
        <f>F12*SQRT((0.002/E12)^2+(Parameters!$C$8/Parameters!$B$8)^2)</f>
        <v>1.6825930108020769E-3</v>
      </c>
      <c r="H12" s="1">
        <v>100</v>
      </c>
      <c r="I12" s="1">
        <v>5</v>
      </c>
      <c r="J12" s="1">
        <f>'Count-&gt;Actual Activity'!F12</f>
        <v>0.29014319294882907</v>
      </c>
      <c r="K12" s="1">
        <f>'Count-&gt;Actual Activity'!G12</f>
        <v>0.12664605983594066</v>
      </c>
      <c r="L12" s="1">
        <v>10</v>
      </c>
      <c r="M12" s="1">
        <v>0.02</v>
      </c>
      <c r="N12" s="1"/>
      <c r="O12" s="1"/>
      <c r="P12" s="1"/>
      <c r="Q12" s="1"/>
      <c r="R12">
        <f t="shared" si="2"/>
        <v>2.9014319294882907E-2</v>
      </c>
      <c r="S12">
        <f t="shared" si="3"/>
        <v>1.266473892516475E-2</v>
      </c>
      <c r="T12">
        <f>B12*Parameters!$B$6</f>
        <v>206.34929577464791</v>
      </c>
      <c r="U12">
        <f>SQRT((C12/B12)^2+(Parameters!$C$6/Parameters!$B$6)^2)*'Bottle Results'!T12</f>
        <v>10.361050850528468</v>
      </c>
      <c r="V12">
        <f t="shared" si="4"/>
        <v>6778.8839079421441</v>
      </c>
      <c r="X12">
        <f t="shared" si="5"/>
        <v>0.98593922058906891</v>
      </c>
    </row>
    <row r="13" spans="1:24" x14ac:dyDescent="0.25">
      <c r="A13" t="s">
        <v>116</v>
      </c>
      <c r="B13">
        <v>0.34799999999999998</v>
      </c>
      <c r="C13">
        <v>2E-3</v>
      </c>
      <c r="D13" s="1">
        <v>9.0299999999999994</v>
      </c>
      <c r="E13" s="1">
        <v>0.82</v>
      </c>
      <c r="F13" s="1">
        <f>E13*Parameters!$B$8</f>
        <v>3.0011999999999997E-2</v>
      </c>
      <c r="G13" s="1">
        <f>F13*SQRT((0.002/E13)^2+(Parameters!$C$8/Parameters!$B$8)^2)</f>
        <v>1.6825930108020769E-3</v>
      </c>
      <c r="H13" s="1">
        <v>100</v>
      </c>
      <c r="I13" s="1">
        <v>5</v>
      </c>
      <c r="J13" s="1">
        <f>'Count-&gt;Actual Activity'!F13</f>
        <v>0.64401116773297296</v>
      </c>
      <c r="K13" s="1">
        <f>'Count-&gt;Actual Activity'!G13</f>
        <v>0.12664253447168861</v>
      </c>
      <c r="L13" s="1">
        <v>10</v>
      </c>
      <c r="M13" s="1">
        <v>0.02</v>
      </c>
      <c r="N13" s="1"/>
      <c r="O13" s="1"/>
      <c r="P13" s="1"/>
      <c r="Q13" s="1"/>
      <c r="R13">
        <f t="shared" si="2"/>
        <v>6.4401116773297296E-2</v>
      </c>
      <c r="S13">
        <f t="shared" si="3"/>
        <v>1.2664908424046934E-2</v>
      </c>
      <c r="T13">
        <f>B13*Parameters!$B$6</f>
        <v>206.34929577464791</v>
      </c>
      <c r="U13">
        <f>SQRT((C13/B13)^2+(Parameters!$C$6/Parameters!$B$6)^2)*'Bottle Results'!T13</f>
        <v>10.361050850528468</v>
      </c>
      <c r="V13">
        <f t="shared" si="4"/>
        <v>6660.9750798786554</v>
      </c>
      <c r="X13">
        <f t="shared" si="5"/>
        <v>0.968790241550604</v>
      </c>
    </row>
    <row r="14" spans="1:24" x14ac:dyDescent="0.25">
      <c r="A14" t="s">
        <v>117</v>
      </c>
      <c r="B14">
        <v>0.34799999999999998</v>
      </c>
      <c r="C14">
        <v>2E-3</v>
      </c>
      <c r="D14" s="1">
        <v>2.98</v>
      </c>
      <c r="F14">
        <v>2.9499999999999998E-2</v>
      </c>
      <c r="G14" s="1">
        <v>2.0000000000000001E-4</v>
      </c>
      <c r="H14" s="1">
        <v>100</v>
      </c>
      <c r="I14" s="1">
        <v>5</v>
      </c>
      <c r="J14" s="1">
        <f>'Count-&gt;Actual Activity'!F14</f>
        <v>6.3367857347498404</v>
      </c>
      <c r="K14" s="1">
        <f>'Count-&gt;Actual Activity'!G14</f>
        <v>0.12658716563385272</v>
      </c>
      <c r="L14" s="1">
        <v>10</v>
      </c>
      <c r="M14" s="1">
        <v>0.02</v>
      </c>
      <c r="N14" s="1"/>
      <c r="O14" s="1"/>
      <c r="P14" s="1"/>
      <c r="Q14" s="1"/>
      <c r="R14">
        <f t="shared" si="2"/>
        <v>0.63367857347498402</v>
      </c>
      <c r="S14">
        <f t="shared" si="3"/>
        <v>1.2722000596213229E-2</v>
      </c>
      <c r="T14">
        <f>B14*Parameters!$B$6</f>
        <v>206.34929577464791</v>
      </c>
      <c r="U14">
        <f>SQRT((C14/B14)^2+(Parameters!$C$6/Parameters!$B$6)^2)*'Bottle Results'!T14</f>
        <v>10.361050850528468</v>
      </c>
      <c r="V14">
        <f t="shared" si="4"/>
        <v>4846.8284212593053</v>
      </c>
      <c r="X14">
        <f t="shared" si="5"/>
        <v>0.69290974747642542</v>
      </c>
    </row>
    <row r="15" spans="1:24" x14ac:dyDescent="0.25">
      <c r="A15" t="s">
        <v>118</v>
      </c>
      <c r="B15">
        <v>0.34799999999999998</v>
      </c>
      <c r="C15">
        <v>2E-3</v>
      </c>
      <c r="D15" s="1">
        <v>3.02</v>
      </c>
      <c r="F15">
        <v>0.03</v>
      </c>
      <c r="G15" s="1">
        <v>2.0000000000000001E-4</v>
      </c>
      <c r="H15" s="1">
        <v>100</v>
      </c>
      <c r="I15" s="1">
        <v>5</v>
      </c>
      <c r="J15" s="1">
        <f>'Count-&gt;Actual Activity'!F15</f>
        <v>6.3832642110809417</v>
      </c>
      <c r="K15" s="1">
        <f>'Count-&gt;Actual Activity'!G15</f>
        <v>0.12658672400224585</v>
      </c>
      <c r="L15" s="1">
        <v>10</v>
      </c>
      <c r="M15" s="1">
        <v>0.02</v>
      </c>
      <c r="N15" s="1"/>
      <c r="O15" s="1"/>
      <c r="P15" s="1"/>
      <c r="Q15" s="1"/>
      <c r="R15">
        <f t="shared" si="2"/>
        <v>0.63832642110809412</v>
      </c>
      <c r="S15">
        <f t="shared" si="3"/>
        <v>1.2722886048996365E-2</v>
      </c>
      <c r="T15">
        <f>B15*Parameters!$B$6</f>
        <v>206.34929577464791</v>
      </c>
      <c r="U15">
        <f>SQRT((C15/B15)^2+(Parameters!$C$6/Parameters!$B$6)^2)*'Bottle Results'!T15</f>
        <v>10.361050850528468</v>
      </c>
      <c r="V15">
        <f t="shared" si="4"/>
        <v>4750.5551221279502</v>
      </c>
      <c r="X15">
        <f t="shared" si="5"/>
        <v>0.69065732998420104</v>
      </c>
    </row>
    <row r="16" spans="1:24" x14ac:dyDescent="0.25">
      <c r="A16" t="s">
        <v>119</v>
      </c>
      <c r="B16">
        <v>0.34799999999999998</v>
      </c>
      <c r="C16">
        <v>2E-3</v>
      </c>
      <c r="D16" s="1">
        <v>2.98</v>
      </c>
      <c r="F16">
        <v>3.04E-2</v>
      </c>
      <c r="G16" s="1">
        <v>2.0000000000000001E-4</v>
      </c>
      <c r="H16" s="1">
        <v>100</v>
      </c>
      <c r="I16" s="1">
        <v>5</v>
      </c>
      <c r="J16" s="1">
        <f>'Count-&gt;Actual Activity'!F16</f>
        <v>6.1863967794874206</v>
      </c>
      <c r="K16" s="1">
        <f>'Count-&gt;Actual Activity'!G16</f>
        <v>0.12658859576507006</v>
      </c>
      <c r="L16" s="1">
        <v>10</v>
      </c>
      <c r="M16" s="1">
        <v>0.02</v>
      </c>
      <c r="N16" s="1"/>
      <c r="O16" s="1"/>
      <c r="P16" s="1"/>
      <c r="Q16" s="1"/>
      <c r="R16">
        <f t="shared" si="2"/>
        <v>0.61863967794874208</v>
      </c>
      <c r="S16">
        <f t="shared" si="3"/>
        <v>1.271918181261095E-2</v>
      </c>
      <c r="T16">
        <f>B16*Parameters!$B$6</f>
        <v>206.34929577464791</v>
      </c>
      <c r="U16">
        <f>SQRT((C16/B16)^2+(Parameters!$C$6/Parameters!$B$6)^2)*'Bottle Results'!T16</f>
        <v>10.361050850528468</v>
      </c>
      <c r="V16">
        <f t="shared" si="4"/>
        <v>4752.806841439924</v>
      </c>
      <c r="X16">
        <f t="shared" si="5"/>
        <v>0.7001978244576359</v>
      </c>
    </row>
    <row r="17" spans="1:24" x14ac:dyDescent="0.25">
      <c r="A17" t="s">
        <v>120</v>
      </c>
      <c r="B17">
        <v>0.34799999999999998</v>
      </c>
      <c r="C17">
        <v>2E-3</v>
      </c>
      <c r="D17" s="1">
        <v>5.01</v>
      </c>
      <c r="F17">
        <v>3.0600000000000002E-2</v>
      </c>
      <c r="G17" s="1">
        <v>2.0000000000000001E-4</v>
      </c>
      <c r="H17" s="1">
        <v>100</v>
      </c>
      <c r="I17" s="1">
        <v>5</v>
      </c>
      <c r="J17" s="1">
        <f>'Count-&gt;Actual Activity'!F17</f>
        <v>2.9288575392198859</v>
      </c>
      <c r="K17" s="1">
        <f>'Count-&gt;Actual Activity'!G17</f>
        <v>0.12662000744534962</v>
      </c>
      <c r="L17" s="1">
        <v>10</v>
      </c>
      <c r="M17" s="1">
        <v>0.02</v>
      </c>
      <c r="R17">
        <f t="shared" si="2"/>
        <v>0.29288575392198857</v>
      </c>
      <c r="S17">
        <f t="shared" si="3"/>
        <v>1.267554303034019E-2</v>
      </c>
      <c r="T17">
        <f>B17*Parameters!$B$6</f>
        <v>206.34929577464791</v>
      </c>
      <c r="U17">
        <f>SQRT((C17/B17)^2+(Parameters!$C$6/Parameters!$B$6)^2)*'Bottle Results'!T17</f>
        <v>10.361050850528468</v>
      </c>
      <c r="V17">
        <f t="shared" si="4"/>
        <v>5786.2980517140213</v>
      </c>
      <c r="X17">
        <f t="shared" si="5"/>
        <v>0.85806311922583622</v>
      </c>
    </row>
    <row r="18" spans="1:24" x14ac:dyDescent="0.25">
      <c r="A18" t="s">
        <v>121</v>
      </c>
      <c r="B18">
        <v>0.34799999999999998</v>
      </c>
      <c r="C18">
        <v>2E-3</v>
      </c>
      <c r="D18" s="1">
        <v>5.0199999999999996</v>
      </c>
      <c r="F18">
        <v>3.0300000000000001E-2</v>
      </c>
      <c r="G18" s="1">
        <v>2.0000000000000001E-4</v>
      </c>
      <c r="H18" s="1">
        <v>100</v>
      </c>
      <c r="I18" s="1">
        <v>5</v>
      </c>
      <c r="J18" s="1">
        <f>'Count-&gt;Actual Activity'!F18</f>
        <v>3.0017823672638029</v>
      </c>
      <c r="K18" s="1">
        <f>'Count-&gt;Actual Activity'!G18</f>
        <v>0.12661929517276252</v>
      </c>
      <c r="L18" s="1">
        <v>10</v>
      </c>
      <c r="M18" s="1">
        <v>0.02</v>
      </c>
      <c r="R18">
        <f t="shared" si="2"/>
        <v>0.30017823672638028</v>
      </c>
      <c r="S18">
        <f t="shared" si="3"/>
        <v>1.2676154266799069E-2</v>
      </c>
      <c r="T18">
        <f>B18*Parameters!$B$6</f>
        <v>206.34929577464791</v>
      </c>
      <c r="U18">
        <f>SQRT((C18/B18)^2+(Parameters!$C$6/Parameters!$B$6)^2)*'Bottle Results'!T18</f>
        <v>10.361050850528468</v>
      </c>
      <c r="V18">
        <f t="shared" si="4"/>
        <v>5819.5205314194682</v>
      </c>
      <c r="X18">
        <f t="shared" si="5"/>
        <v>0.85452907139833323</v>
      </c>
    </row>
    <row r="19" spans="1:24" x14ac:dyDescent="0.25">
      <c r="A19" t="s">
        <v>122</v>
      </c>
      <c r="B19">
        <v>0.34799999999999998</v>
      </c>
      <c r="C19">
        <v>2E-3</v>
      </c>
      <c r="D19" s="1">
        <v>5.03</v>
      </c>
      <c r="F19">
        <v>3.0100000000000002E-2</v>
      </c>
      <c r="G19" s="1">
        <v>2.0000000000000001E-4</v>
      </c>
      <c r="H19" s="1">
        <v>100</v>
      </c>
      <c r="I19" s="1">
        <v>5</v>
      </c>
      <c r="J19" s="1">
        <f>'Count-&gt;Actual Activity'!F19</f>
        <v>3.0047427797689683</v>
      </c>
      <c r="K19" s="1">
        <f>'Count-&gt;Actual Activity'!G19</f>
        <v>0.12661926626654962</v>
      </c>
      <c r="L19" s="1">
        <v>10</v>
      </c>
      <c r="M19" s="1">
        <v>0.02</v>
      </c>
      <c r="R19">
        <f t="shared" si="2"/>
        <v>0.30047427797689685</v>
      </c>
      <c r="S19">
        <f t="shared" si="3"/>
        <v>1.2676179434896656E-2</v>
      </c>
      <c r="T19">
        <f>B19*Parameters!$B$6</f>
        <v>206.34929577464791</v>
      </c>
      <c r="U19">
        <f>SQRT((C19/B19)^2+(Parameters!$C$6/Parameters!$B$6)^2)*'Bottle Results'!T19</f>
        <v>10.361050850528468</v>
      </c>
      <c r="V19">
        <f t="shared" si="4"/>
        <v>5857.2049161780133</v>
      </c>
      <c r="X19">
        <f t="shared" si="5"/>
        <v>0.85438560531602592</v>
      </c>
    </row>
    <row r="20" spans="1:24" x14ac:dyDescent="0.25">
      <c r="A20" t="s">
        <v>123</v>
      </c>
      <c r="B20">
        <v>0.34799999999999998</v>
      </c>
      <c r="C20">
        <v>2E-3</v>
      </c>
      <c r="D20" s="1">
        <v>7</v>
      </c>
      <c r="F20">
        <v>3.0499999999999999E-2</v>
      </c>
      <c r="G20" s="1">
        <v>2.0000000000000001E-4</v>
      </c>
      <c r="H20" s="1">
        <v>100</v>
      </c>
      <c r="I20" s="1">
        <v>5</v>
      </c>
      <c r="J20" s="1">
        <f>'Count-&gt;Actual Activity'!F20</f>
        <v>3.0457938331739323</v>
      </c>
      <c r="K20" s="1">
        <f>'Count-&gt;Actual Activity'!G20</f>
        <v>0.12661886550432014</v>
      </c>
      <c r="L20" s="1">
        <v>10</v>
      </c>
      <c r="M20" s="1">
        <v>0.02</v>
      </c>
      <c r="R20">
        <f t="shared" si="2"/>
        <v>0.3045793833173932</v>
      </c>
      <c r="S20">
        <f t="shared" si="3"/>
        <v>1.2676531284976153E-2</v>
      </c>
      <c r="T20">
        <f>B20*Parameters!$B$6</f>
        <v>206.34929577464791</v>
      </c>
      <c r="U20">
        <f>SQRT((C20/B20)^2+(Parameters!$C$6/Parameters!$B$6)^2)*'Bottle Results'!T20</f>
        <v>10.361050850528468</v>
      </c>
      <c r="V20">
        <f t="shared" si="4"/>
        <v>5766.9297522265115</v>
      </c>
      <c r="X20">
        <f t="shared" si="5"/>
        <v>0.85239620897469826</v>
      </c>
    </row>
    <row r="21" spans="1:24" x14ac:dyDescent="0.25">
      <c r="A21" t="s">
        <v>124</v>
      </c>
      <c r="B21">
        <v>0.34799999999999998</v>
      </c>
      <c r="C21">
        <v>2E-3</v>
      </c>
      <c r="D21" s="1">
        <v>7.02</v>
      </c>
      <c r="F21">
        <v>2.9700000000000001E-2</v>
      </c>
      <c r="G21" s="1">
        <v>2.0000000000000001E-4</v>
      </c>
      <c r="H21" s="1">
        <v>100</v>
      </c>
      <c r="I21" s="1">
        <v>5</v>
      </c>
      <c r="J21" s="1">
        <f>'Count-&gt;Actual Activity'!F21</f>
        <v>3.3713405283253248</v>
      </c>
      <c r="K21" s="1">
        <f>'Count-&gt;Actual Activity'!G21</f>
        <v>0.12661569200720274</v>
      </c>
      <c r="L21" s="1">
        <v>10</v>
      </c>
      <c r="M21" s="1">
        <v>0.02</v>
      </c>
      <c r="R21">
        <f t="shared" si="2"/>
        <v>0.3371340528325325</v>
      </c>
      <c r="S21">
        <f t="shared" si="3"/>
        <v>1.2679509931497567E-2</v>
      </c>
      <c r="T21">
        <f>B21*Parameters!$B$6</f>
        <v>206.34929577464791</v>
      </c>
      <c r="U21">
        <f>SQRT((C21/B21)^2+(Parameters!$C$6/Parameters!$B$6)^2)*'Bottle Results'!T21</f>
        <v>10.361050850528468</v>
      </c>
      <c r="V21">
        <f t="shared" si="4"/>
        <v>5812.6562455015037</v>
      </c>
      <c r="X21">
        <f t="shared" si="5"/>
        <v>0.83661972212363966</v>
      </c>
    </row>
    <row r="22" spans="1:24" x14ac:dyDescent="0.25">
      <c r="A22" t="s">
        <v>125</v>
      </c>
      <c r="B22">
        <v>0.34799999999999998</v>
      </c>
      <c r="C22">
        <v>2E-3</v>
      </c>
      <c r="D22" s="1">
        <v>7</v>
      </c>
      <c r="F22">
        <v>3.0499999999999999E-2</v>
      </c>
      <c r="G22" s="1">
        <v>2.0000000000000001E-4</v>
      </c>
      <c r="H22" s="1">
        <v>100</v>
      </c>
      <c r="I22" s="1">
        <v>5</v>
      </c>
      <c r="J22" s="1">
        <f>'Count-&gt;Actual Activity'!F22</f>
        <v>3.0618787411186665</v>
      </c>
      <c r="K22" s="1">
        <f>'Count-&gt;Actual Activity'!G22</f>
        <v>0.12661870851079568</v>
      </c>
      <c r="L22" s="1">
        <v>10</v>
      </c>
      <c r="M22" s="1">
        <v>0.02</v>
      </c>
      <c r="R22">
        <f t="shared" si="2"/>
        <v>0.30618787411186665</v>
      </c>
      <c r="S22">
        <f t="shared" si="3"/>
        <v>1.2676670600217986E-2</v>
      </c>
      <c r="T22">
        <f>B22*Parameters!$B$6</f>
        <v>206.34929577464791</v>
      </c>
      <c r="U22">
        <f>SQRT((C22/B22)^2+(Parameters!$C$6/Parameters!$B$6)^2)*'Bottle Results'!T22</f>
        <v>10.361050850528468</v>
      </c>
      <c r="V22">
        <f t="shared" si="4"/>
        <v>5761.6560119167625</v>
      </c>
      <c r="X22">
        <f t="shared" si="5"/>
        <v>0.85161670992749516</v>
      </c>
    </row>
    <row r="23" spans="1:24" x14ac:dyDescent="0.25">
      <c r="A23" t="s">
        <v>126</v>
      </c>
      <c r="B23">
        <v>0.34799999999999998</v>
      </c>
      <c r="C23">
        <v>2E-3</v>
      </c>
      <c r="D23" s="1">
        <v>9.02</v>
      </c>
      <c r="F23">
        <v>3.0300000000000001E-2</v>
      </c>
      <c r="G23" s="1">
        <v>2.0000000000000001E-4</v>
      </c>
      <c r="H23" s="1">
        <v>100</v>
      </c>
      <c r="I23" s="1">
        <v>5</v>
      </c>
      <c r="J23" s="1">
        <f>'Count-&gt;Actual Activity'!F23</f>
        <v>3.0191501206274407</v>
      </c>
      <c r="K23" s="1">
        <f>'Count-&gt;Actual Activity'!G23</f>
        <v>0.12661912559942326</v>
      </c>
      <c r="L23" s="1">
        <v>10</v>
      </c>
      <c r="M23" s="1">
        <v>0.02</v>
      </c>
      <c r="R23">
        <f t="shared" si="2"/>
        <v>0.30191501206274407</v>
      </c>
      <c r="S23">
        <f t="shared" si="3"/>
        <v>1.2676302314699685E-2</v>
      </c>
      <c r="T23">
        <f>B23*Parameters!$B$6</f>
        <v>206.34929577464791</v>
      </c>
      <c r="U23">
        <f>SQRT((C23/B23)^2+(Parameters!$C$6/Parameters!$B$6)^2)*'Bottle Results'!T23</f>
        <v>10.361050850528468</v>
      </c>
      <c r="V23">
        <f t="shared" si="4"/>
        <v>5813.7885996162868</v>
      </c>
      <c r="X23">
        <f t="shared" si="5"/>
        <v>0.85368740371546381</v>
      </c>
    </row>
    <row r="24" spans="1:24" x14ac:dyDescent="0.25">
      <c r="A24" t="s">
        <v>127</v>
      </c>
      <c r="B24">
        <v>0.34799999999999998</v>
      </c>
      <c r="C24">
        <v>2E-3</v>
      </c>
      <c r="D24" s="1">
        <v>9.0500000000000007</v>
      </c>
      <c r="F24">
        <v>3.0300000000000001E-2</v>
      </c>
      <c r="G24" s="1">
        <v>2.0000000000000001E-4</v>
      </c>
      <c r="H24" s="1">
        <v>100</v>
      </c>
      <c r="I24" s="1">
        <v>5</v>
      </c>
      <c r="J24" s="1">
        <f>'Count-&gt;Actual Activity'!F24</f>
        <v>2.2888163556030539</v>
      </c>
      <c r="K24" s="1">
        <f>'Count-&gt;Actual Activity'!G24</f>
        <v>0.12662627669390514</v>
      </c>
      <c r="L24" s="1">
        <v>10</v>
      </c>
      <c r="M24" s="1">
        <v>0.02</v>
      </c>
      <c r="R24">
        <f t="shared" si="2"/>
        <v>0.22888163556030539</v>
      </c>
      <c r="S24">
        <f t="shared" si="3"/>
        <v>1.2670899206686213E-2</v>
      </c>
      <c r="T24">
        <f>B24*Parameters!$B$6</f>
        <v>206.34929577464791</v>
      </c>
      <c r="U24">
        <f>SQRT((C24/B24)^2+(Parameters!$C$6/Parameters!$B$6)^2)*'Bottle Results'!T24</f>
        <v>10.361050850528468</v>
      </c>
      <c r="V24">
        <f t="shared" si="4"/>
        <v>6054.822845498923</v>
      </c>
      <c r="X24">
        <f t="shared" si="5"/>
        <v>0.88908048622067271</v>
      </c>
    </row>
    <row r="25" spans="1:24" x14ac:dyDescent="0.25">
      <c r="A25" t="s">
        <v>128</v>
      </c>
      <c r="B25">
        <v>0.34799999999999998</v>
      </c>
      <c r="C25">
        <v>2E-3</v>
      </c>
      <c r="D25" s="1">
        <v>9.01</v>
      </c>
      <c r="F25">
        <v>2.9899999999999999E-2</v>
      </c>
      <c r="G25" s="1">
        <v>2.0000000000000001E-4</v>
      </c>
      <c r="H25" s="1">
        <v>100</v>
      </c>
      <c r="I25" s="1">
        <v>5</v>
      </c>
      <c r="J25" s="1">
        <f>'Count-&gt;Actual Activity'!F25</f>
        <v>3.159572353789136</v>
      </c>
      <c r="K25" s="1">
        <f>'Count-&gt;Actual Activity'!G25</f>
        <v>0.12661775542613424</v>
      </c>
      <c r="L25" s="1">
        <v>10</v>
      </c>
      <c r="M25" s="1">
        <v>0.02</v>
      </c>
      <c r="R25">
        <f t="shared" si="2"/>
        <v>0.31595723537891363</v>
      </c>
      <c r="S25">
        <f t="shared" si="3"/>
        <v>1.2677534294565196E-2</v>
      </c>
      <c r="T25">
        <f>B25*Parameters!$B$6</f>
        <v>206.34929577464791</v>
      </c>
      <c r="U25">
        <f>SQRT((C25/B25)^2+(Parameters!$C$6/Parameters!$B$6)^2)*'Bottle Results'!T25</f>
        <v>10.361050850528468</v>
      </c>
      <c r="V25">
        <f t="shared" si="4"/>
        <v>5844.6010781523928</v>
      </c>
      <c r="X25">
        <f t="shared" si="5"/>
        <v>0.84688232921135453</v>
      </c>
    </row>
    <row r="26" spans="1:24" x14ac:dyDescent="0.25">
      <c r="A26" t="s">
        <v>129</v>
      </c>
      <c r="B26">
        <v>0.34799999999999998</v>
      </c>
      <c r="C26">
        <v>2E-3</v>
      </c>
      <c r="D26">
        <v>2.99</v>
      </c>
      <c r="E26" s="1"/>
      <c r="F26">
        <v>0</v>
      </c>
      <c r="G26" s="1">
        <v>0</v>
      </c>
      <c r="H26" s="1">
        <v>100</v>
      </c>
      <c r="I26" s="1">
        <v>5</v>
      </c>
      <c r="J26" s="1">
        <f>'Count-&gt;Actual Activity'!F26</f>
        <v>21.69353088362973</v>
      </c>
      <c r="K26" s="1">
        <f>'Count-&gt;Actual Activity'!G26</f>
        <v>0.1264504514331167</v>
      </c>
      <c r="L26" s="1">
        <v>10</v>
      </c>
      <c r="M26" s="1">
        <v>0.02</v>
      </c>
      <c r="R26">
        <f t="shared" si="2"/>
        <v>2.169353088362973</v>
      </c>
      <c r="S26">
        <f t="shared" si="3"/>
        <v>1.3368677494963739E-2</v>
      </c>
      <c r="T26">
        <f>B26*Parameters!$B$6</f>
        <v>206.34929577464791</v>
      </c>
      <c r="U26">
        <f>SQRT((C26/B26)^2+(Parameters!$C$6/Parameters!$B$6)^2)*'Bottle Results'!T26</f>
        <v>10.361050850528468</v>
      </c>
      <c r="V26" t="e">
        <f t="shared" si="4"/>
        <v>#DIV/0!</v>
      </c>
      <c r="X26">
        <f t="shared" si="5"/>
        <v>-5.1301425681676567E-2</v>
      </c>
    </row>
    <row r="27" spans="1:24" x14ac:dyDescent="0.25">
      <c r="A27" t="s">
        <v>130</v>
      </c>
      <c r="B27">
        <v>0.34799999999999998</v>
      </c>
      <c r="C27">
        <v>2E-3</v>
      </c>
      <c r="D27">
        <v>5</v>
      </c>
      <c r="F27">
        <v>0</v>
      </c>
      <c r="G27" s="1">
        <v>0</v>
      </c>
      <c r="H27" s="1">
        <v>100</v>
      </c>
      <c r="I27" s="1">
        <v>5</v>
      </c>
      <c r="J27" s="1">
        <f>'Count-&gt;Actual Activity'!F27</f>
        <v>21.156117333525302</v>
      </c>
      <c r="K27" s="1">
        <f>'Count-&gt;Actual Activity'!G27</f>
        <v>0.12645492371463418</v>
      </c>
      <c r="L27" s="1">
        <v>10</v>
      </c>
      <c r="M27" s="1">
        <v>0.02</v>
      </c>
      <c r="R27">
        <f t="shared" si="2"/>
        <v>2.1156117333525302</v>
      </c>
      <c r="S27">
        <f t="shared" si="3"/>
        <v>1.3334606456207664E-2</v>
      </c>
      <c r="T27">
        <f>B27*Parameters!$B$6</f>
        <v>206.34929577464791</v>
      </c>
      <c r="U27">
        <f>SQRT((C27/B27)^2+(Parameters!$C$6/Parameters!$B$6)^2)*'Bottle Results'!T27</f>
        <v>10.361050850528468</v>
      </c>
      <c r="V27" t="e">
        <f t="shared" si="4"/>
        <v>#DIV/0!</v>
      </c>
      <c r="X27">
        <f t="shared" si="5"/>
        <v>-2.5257549540159054E-2</v>
      </c>
    </row>
    <row r="28" spans="1:24" x14ac:dyDescent="0.25">
      <c r="A28" t="s">
        <v>131</v>
      </c>
      <c r="B28">
        <v>0.34799999999999998</v>
      </c>
      <c r="C28">
        <v>2E-3</v>
      </c>
      <c r="D28">
        <v>7.01</v>
      </c>
      <c r="F28">
        <v>0</v>
      </c>
      <c r="G28" s="1">
        <v>0</v>
      </c>
      <c r="H28" s="1">
        <v>100</v>
      </c>
      <c r="I28" s="1">
        <v>5</v>
      </c>
      <c r="J28" s="1">
        <f>'Count-&gt;Actual Activity'!F28</f>
        <v>19.34493696286491</v>
      </c>
      <c r="K28" s="1">
        <f>'Count-&gt;Actual Activity'!G28</f>
        <v>0.12647016293682045</v>
      </c>
      <c r="L28" s="1">
        <v>10</v>
      </c>
      <c r="M28" s="1">
        <v>0.02</v>
      </c>
      <c r="R28">
        <f t="shared" si="2"/>
        <v>1.9344936962864909</v>
      </c>
      <c r="S28">
        <f t="shared" si="3"/>
        <v>1.322558447013015E-2</v>
      </c>
      <c r="T28">
        <f>B28*Parameters!$B$6</f>
        <v>206.34929577464791</v>
      </c>
      <c r="U28">
        <f>SQRT((C28/B28)^2+(Parameters!$C$6/Parameters!$B$6)^2)*'Bottle Results'!T28</f>
        <v>10.361050850528468</v>
      </c>
      <c r="V28" t="e">
        <f t="shared" si="4"/>
        <v>#DIV/0!</v>
      </c>
      <c r="X28">
        <f t="shared" si="5"/>
        <v>6.2514999615441894E-2</v>
      </c>
    </row>
    <row r="29" spans="1:24" x14ac:dyDescent="0.25">
      <c r="A29" t="s">
        <v>132</v>
      </c>
      <c r="B29">
        <v>0.34799999999999998</v>
      </c>
      <c r="C29">
        <v>2E-3</v>
      </c>
      <c r="D29">
        <v>9.01</v>
      </c>
      <c r="F29">
        <v>0</v>
      </c>
      <c r="G29" s="1">
        <v>0</v>
      </c>
      <c r="H29" s="1">
        <v>100</v>
      </c>
      <c r="I29" s="1">
        <v>5</v>
      </c>
      <c r="J29" s="1">
        <f>'Count-&gt;Actual Activity'!F29</f>
        <v>19.91530977219351</v>
      </c>
      <c r="K29" s="1">
        <f>'Count-&gt;Actual Activity'!G29</f>
        <v>0.12646533608237384</v>
      </c>
      <c r="L29" s="1">
        <v>10</v>
      </c>
      <c r="M29" s="1">
        <v>0.02</v>
      </c>
      <c r="R29">
        <f t="shared" si="2"/>
        <v>1.991530977219351</v>
      </c>
      <c r="S29">
        <f t="shared" si="3"/>
        <v>1.3258943956332824E-2</v>
      </c>
      <c r="T29">
        <f>B29*Parameters!$B$6</f>
        <v>206.34929577464791</v>
      </c>
      <c r="U29">
        <f>SQRT((C29/B29)^2+(Parameters!$C$6/Parameters!$B$6)^2)*'Bottle Results'!T29</f>
        <v>10.361050850528468</v>
      </c>
      <c r="V29" t="e">
        <f t="shared" si="4"/>
        <v>#DIV/0!</v>
      </c>
      <c r="X29">
        <f t="shared" si="5"/>
        <v>3.4873867757570225E-2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10" sqref="J10"/>
    </sheetView>
    <sheetView tabSelected="1" workbookViewId="1">
      <selection activeCell="P1" sqref="P1"/>
    </sheetView>
    <sheetView tabSelected="1" workbookViewId="2"/>
    <sheetView workbookViewId="3"/>
  </sheetViews>
  <sheetFormatPr defaultRowHeight="15" x14ac:dyDescent="0.25"/>
  <cols>
    <col min="1" max="1" width="13.42578125" bestFit="1" customWidth="1"/>
  </cols>
  <sheetData>
    <row r="1" spans="1:10" x14ac:dyDescent="0.25">
      <c r="A1" t="s">
        <v>15</v>
      </c>
      <c r="B1" t="s">
        <v>29</v>
      </c>
      <c r="C1" t="s">
        <v>98</v>
      </c>
      <c r="D1" t="s">
        <v>31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25">
      <c r="A2" t="s">
        <v>141</v>
      </c>
      <c r="B2">
        <f>AVERAGE('Bottle Results'!R2:R4)</f>
        <v>2.112302650041201</v>
      </c>
      <c r="C2">
        <f>_xlfn.STDEV.S('Bottle Results'!R2:R4)</f>
        <v>4.5510724981055309E-2</v>
      </c>
      <c r="D2">
        <f>AVERAGE('Bottle Results'!V2:V4)</f>
        <v>-162.63392074743993</v>
      </c>
      <c r="E2">
        <f>_xlfn.STDEV.S('Bottle Results'!V2:V4)</f>
        <v>151.64175989955797</v>
      </c>
      <c r="F2">
        <f>AVERAGE('Bottle Results'!T2:T4)</f>
        <v>206.34929577464791</v>
      </c>
      <c r="G2">
        <f>AVERAGE('Bottle Results'!X2:X4)</f>
        <v>-2.3653917553479935E-2</v>
      </c>
      <c r="H2">
        <f>_xlfn.STDEV.S('Bottle Results'!X2:X4)</f>
        <v>2.2055187932774518E-2</v>
      </c>
      <c r="I2">
        <f>AVERAGE('Bottle Results'!D2:D4)</f>
        <v>2.99</v>
      </c>
      <c r="J2">
        <f>_xlfn.STDEV.S('Bottle Results'!D2:D4)</f>
        <v>0</v>
      </c>
    </row>
    <row r="3" spans="1:10" x14ac:dyDescent="0.25">
      <c r="A3" t="s">
        <v>142</v>
      </c>
      <c r="B3">
        <f>AVERAGE('Bottle Results'!R5:R7)</f>
        <v>2.0905205926976369</v>
      </c>
      <c r="C3">
        <f>_xlfn.STDEV.S('Bottle Results'!R5:R7)</f>
        <v>3.9924760485767666E-2</v>
      </c>
      <c r="D3">
        <f>AVERAGE('Bottle Results'!V5:V7)</f>
        <v>-90.05609406623347</v>
      </c>
      <c r="E3">
        <f>_xlfn.STDEV.S('Bottle Results'!V5:V7)</f>
        <v>133.02932322326967</v>
      </c>
      <c r="F3">
        <f>AVERAGE('Bottle Results'!T5:T7)</f>
        <v>206.34929577464791</v>
      </c>
      <c r="G3">
        <f>AVERAGE('Bottle Results'!X5:X7)</f>
        <v>-1.3098002030825735E-2</v>
      </c>
      <c r="H3">
        <f>_xlfn.STDEV.S('Bottle Results'!X5:X7)</f>
        <v>1.9348144773592608E-2</v>
      </c>
      <c r="I3">
        <f>AVERAGE('Bottle Results'!D5:D7)</f>
        <v>5.0199999999999996</v>
      </c>
      <c r="J3">
        <f>_xlfn.STDEV.S('Bottle Results'!D5:D7)</f>
        <v>1.0000000000000231E-2</v>
      </c>
    </row>
    <row r="4" spans="1:10" x14ac:dyDescent="0.25">
      <c r="A4" t="s">
        <v>143</v>
      </c>
      <c r="B4">
        <f>AVERAGE('Bottle Results'!R8:R10)</f>
        <v>1.4321939278405653</v>
      </c>
      <c r="C4">
        <f>_xlfn.STDEV.S('Bottle Results'!R8:R10)</f>
        <v>0.18487231707240773</v>
      </c>
      <c r="D4">
        <f>AVERAGE('Bottle Results'!V8:V10)</f>
        <v>2103.4887042046967</v>
      </c>
      <c r="E4">
        <f>_xlfn.STDEV.S('Bottle Results'!V8:V10)</f>
        <v>615.99465904440467</v>
      </c>
      <c r="F4">
        <f>AVERAGE('Bottle Results'!T8:T10)</f>
        <v>206.34929577464791</v>
      </c>
      <c r="G4">
        <f>AVERAGE('Bottle Results'!X8:X10)</f>
        <v>0.30593708960138599</v>
      </c>
      <c r="H4">
        <f>_xlfn.STDEV.S('Bottle Results'!X8:X10)</f>
        <v>8.9591930216376306E-2</v>
      </c>
      <c r="I4">
        <f>AVERAGE('Bottle Results'!D8:D10)</f>
        <v>6.9899999999999993</v>
      </c>
      <c r="J4">
        <f>_xlfn.STDEV.S('Bottle Results'!D8:D10)</f>
        <v>1.7320508075688915E-2</v>
      </c>
    </row>
    <row r="5" spans="1:10" x14ac:dyDescent="0.25">
      <c r="A5" t="s">
        <v>144</v>
      </c>
      <c r="B5">
        <f>AVERAGE('Bottle Results'!R11:R13)</f>
        <v>4.0536902634433526E-2</v>
      </c>
      <c r="C5">
        <f>_xlfn.STDEV.S('Bottle Results'!R11:R13)</f>
        <v>2.0671072711267176E-2</v>
      </c>
      <c r="D5">
        <f>AVERAGE('Bottle Results'!V11:V13)</f>
        <v>6740.4906541118407</v>
      </c>
      <c r="E5">
        <f>_xlfn.STDEV.S('Bottle Results'!V11:V13)</f>
        <v>68.876025294106057</v>
      </c>
      <c r="F5">
        <f>AVERAGE('Bottle Results'!T11:T13)</f>
        <v>206.34929577464791</v>
      </c>
      <c r="G5">
        <f>AVERAGE('Bottle Results'!X11:X13)</f>
        <v>0.98035520185215275</v>
      </c>
      <c r="H5">
        <f>_xlfn.STDEV.S('Bottle Results'!X11:X13)</f>
        <v>1.0017515511098153E-2</v>
      </c>
      <c r="I5">
        <f>AVERAGE('Bottle Results'!D11:D13)</f>
        <v>9.0299999999999994</v>
      </c>
      <c r="J5">
        <f>_xlfn.STDEV.S('Bottle Results'!D11:D13)</f>
        <v>0</v>
      </c>
    </row>
    <row r="6" spans="1:10" x14ac:dyDescent="0.25">
      <c r="A6" t="s">
        <v>145</v>
      </c>
      <c r="B6">
        <f>AVERAGE('Bottle Results'!R14:R16)</f>
        <v>0.63021489084394</v>
      </c>
      <c r="C6">
        <f>_xlfn.STDEV.S('Bottle Results'!R14:R16)</f>
        <v>1.0290276336523728E-2</v>
      </c>
      <c r="D6">
        <f>AVERAGE('Bottle Results'!V14:V16)</f>
        <v>4783.3967949423932</v>
      </c>
      <c r="E6">
        <f>_xlfn.STDEV.S('Bottle Results'!V14:V16)</f>
        <v>54.944935825526834</v>
      </c>
      <c r="F6">
        <f>AVERAGE('Bottle Results'!T14:T16)</f>
        <v>206.34929577464791</v>
      </c>
      <c r="G6">
        <f>AVERAGE('Bottle Results'!X14:X16)</f>
        <v>0.69458830063942079</v>
      </c>
      <c r="H6">
        <f>_xlfn.STDEV.S('Bottle Results'!X14:X16)</f>
        <v>4.9868240634858554E-3</v>
      </c>
      <c r="I6">
        <f>AVERAGE('Bottle Results'!D14:D16)</f>
        <v>2.9933333333333336</v>
      </c>
      <c r="J6">
        <f>_xlfn.STDEV.S('Bottle Results'!D14:D16)</f>
        <v>2.3094010767585053E-2</v>
      </c>
    </row>
    <row r="7" spans="1:10" x14ac:dyDescent="0.25">
      <c r="A7" t="s">
        <v>146</v>
      </c>
      <c r="B7">
        <f>AVERAGE('Bottle Results'!R17:R19)</f>
        <v>0.29784608954175523</v>
      </c>
      <c r="C7">
        <f>_xlfn.STDEV.S('Bottle Results'!R17:R19)</f>
        <v>4.29832609291644E-3</v>
      </c>
      <c r="D7">
        <f>AVERAGE('Bottle Results'!V17:V19)</f>
        <v>5821.0078331038339</v>
      </c>
      <c r="E7">
        <f>_xlfn.STDEV.S('Bottle Results'!V17:V19)</f>
        <v>35.476822106186027</v>
      </c>
      <c r="F7">
        <f>AVERAGE('Bottle Results'!T17:T19)</f>
        <v>206.34929577464791</v>
      </c>
      <c r="G7">
        <f>AVERAGE('Bottle Results'!X17:X19)</f>
        <v>0.85565926531339842</v>
      </c>
      <c r="H7">
        <f>_xlfn.STDEV.S('Bottle Results'!X17:X19)</f>
        <v>2.0830340499977235E-3</v>
      </c>
      <c r="I7">
        <f>AVERAGE('Bottle Results'!D17:D19)</f>
        <v>5.0199999999999996</v>
      </c>
      <c r="J7">
        <f>_xlfn.STDEV.S('Bottle Results'!D17:D19)</f>
        <v>1.0000000000000231E-2</v>
      </c>
    </row>
    <row r="8" spans="1:10" x14ac:dyDescent="0.25">
      <c r="A8" t="s">
        <v>147</v>
      </c>
      <c r="B8">
        <f>AVERAGE('Bottle Results'!R20:R22)</f>
        <v>0.31596710342059747</v>
      </c>
      <c r="C8">
        <f>_xlfn.STDEV.S('Bottle Results'!R20:R22)</f>
        <v>1.8348749854269084E-2</v>
      </c>
      <c r="D8">
        <f>AVERAGE('Bottle Results'!V20:V22)</f>
        <v>5780.4140032149262</v>
      </c>
      <c r="E8">
        <f>_xlfn.STDEV.S('Bottle Results'!V20:V22)</f>
        <v>28.046830925497748</v>
      </c>
      <c r="F8">
        <f>AVERAGE('Bottle Results'!T20:T22)</f>
        <v>206.34929577464791</v>
      </c>
      <c r="G8">
        <f>AVERAGE('Bottle Results'!X20:X22)</f>
        <v>0.84687754700861095</v>
      </c>
      <c r="H8">
        <f>_xlfn.STDEV.S('Bottle Results'!X20:X22)</f>
        <v>8.8920826142811424E-3</v>
      </c>
      <c r="I8">
        <f>AVERAGE('Bottle Results'!D20:D22)</f>
        <v>7.0066666666666668</v>
      </c>
      <c r="J8">
        <f>_xlfn.STDEV.S('Bottle Results'!D20:D22)</f>
        <v>1.154700538379227E-2</v>
      </c>
    </row>
    <row r="9" spans="1:10" x14ac:dyDescent="0.25">
      <c r="A9" t="s">
        <v>148</v>
      </c>
      <c r="B9">
        <f>AVERAGE('Bottle Results'!R23:R25)</f>
        <v>0.28225129433398771</v>
      </c>
      <c r="C9">
        <f>_xlfn.STDEV.S('Bottle Results'!R23:R25)</f>
        <v>4.6749720503226101E-2</v>
      </c>
      <c r="D9">
        <f>AVERAGE('Bottle Results'!V23:V25)</f>
        <v>5904.4041744225351</v>
      </c>
      <c r="E9">
        <f>_xlfn.STDEV.S('Bottle Results'!V23:V25)</f>
        <v>131.17425305552396</v>
      </c>
      <c r="F9">
        <f>AVERAGE('Bottle Results'!T23:T25)</f>
        <v>206.34929577464791</v>
      </c>
      <c r="G9">
        <f>AVERAGE('Bottle Results'!X23:X25)</f>
        <v>0.86321673971583035</v>
      </c>
      <c r="H9">
        <f>_xlfn.STDEV.S('Bottle Results'!X23:X25)</f>
        <v>2.2655623964077404E-2</v>
      </c>
      <c r="I9">
        <f>AVERAGE('Bottle Results'!D23:D25)</f>
        <v>9.0266666666666655</v>
      </c>
      <c r="J9">
        <f>_xlfn.STDEV.S('Bottle Results'!D23:D25)</f>
        <v>2.0816659994661878E-2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2017-06-12T21:58:21Z</dcterms:modified>
</cp:coreProperties>
</file>