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chael\Dropbox (Personal)\work\MIT Graduate Work\Research\RadiumSorption\Sorption Experiments\Radium Blank\"/>
    </mc:Choice>
  </mc:AlternateContent>
  <bookViews>
    <workbookView xWindow="0" yWindow="0" windowWidth="7470" windowHeight="12285" firstSheet="3" activeTab="5"/>
  </bookViews>
  <sheets>
    <sheet name="Parameters" sheetId="1" r:id="rId1"/>
    <sheet name="Calibration Data" sheetId="7" r:id="rId2"/>
    <sheet name="Scintillation Counter Results" sheetId="3" r:id="rId3"/>
    <sheet name="Count-&gt;Actual Activity" sheetId="2" r:id="rId4"/>
    <sheet name="Bottle Results" sheetId="5" r:id="rId5"/>
    <sheet name="Averaged Results" sheetId="8" r:id="rId6"/>
  </sheets>
  <externalReferences>
    <externalReference r:id="rId7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2" l="1"/>
  <c r="F4" i="2"/>
  <c r="F3" i="2"/>
  <c r="F2" i="2"/>
  <c r="K2" i="2" l="1"/>
  <c r="H2" i="2" l="1"/>
  <c r="H3" i="2"/>
  <c r="H4" i="2"/>
  <c r="H5" i="2"/>
  <c r="K5" i="2" l="1"/>
  <c r="K4" i="2"/>
  <c r="K3" i="2"/>
  <c r="I5" i="2"/>
  <c r="F11" i="2" s="1"/>
  <c r="I4" i="2"/>
  <c r="F10" i="2" s="1"/>
  <c r="I3" i="2"/>
  <c r="F9" i="2" s="1"/>
  <c r="I2" i="2"/>
  <c r="L2" i="2" l="1"/>
  <c r="F8" i="2"/>
  <c r="G8" i="2"/>
  <c r="H8" i="2" s="1"/>
  <c r="G11" i="2"/>
  <c r="H11" i="2" s="1"/>
  <c r="L5" i="2"/>
  <c r="G9" i="2"/>
  <c r="H9" i="2" s="1"/>
  <c r="L3" i="2"/>
  <c r="G10" i="2"/>
  <c r="H10" i="2" s="1"/>
  <c r="L4" i="2"/>
  <c r="L10" i="7"/>
  <c r="K9" i="7"/>
  <c r="G9" i="7"/>
  <c r="D9" i="7"/>
  <c r="L9" i="7" s="1"/>
  <c r="C9" i="7"/>
  <c r="E9" i="7" s="1"/>
  <c r="L8" i="7"/>
  <c r="K8" i="7"/>
  <c r="I8" i="7"/>
  <c r="H8" i="7"/>
  <c r="E8" i="7"/>
  <c r="D8" i="7"/>
  <c r="L7" i="7"/>
  <c r="K7" i="7"/>
  <c r="I7" i="7"/>
  <c r="E7" i="7"/>
  <c r="D7" i="7"/>
  <c r="K6" i="7"/>
  <c r="I6" i="7"/>
  <c r="J6" i="7" s="1"/>
  <c r="H6" i="7"/>
  <c r="E6" i="7"/>
  <c r="D6" i="7"/>
  <c r="L6" i="7" s="1"/>
  <c r="L5" i="7"/>
  <c r="K5" i="7"/>
  <c r="H5" i="7"/>
  <c r="I5" i="7" s="1"/>
  <c r="J5" i="7" s="1"/>
  <c r="E5" i="7"/>
  <c r="D5" i="7"/>
  <c r="K4" i="7"/>
  <c r="H4" i="7"/>
  <c r="I4" i="7" s="1"/>
  <c r="E4" i="7"/>
  <c r="D4" i="7"/>
  <c r="L4" i="7" s="1"/>
  <c r="K3" i="7"/>
  <c r="H3" i="7"/>
  <c r="I3" i="7" s="1"/>
  <c r="E3" i="7"/>
  <c r="D3" i="7"/>
  <c r="L3" i="7" s="1"/>
  <c r="L2" i="7"/>
  <c r="K2" i="7"/>
  <c r="E2" i="7"/>
  <c r="D2" i="7"/>
  <c r="J7" i="7" l="1"/>
  <c r="J3" i="7"/>
  <c r="J8" i="7"/>
  <c r="J4" i="7"/>
  <c r="J7" i="8" l="1"/>
  <c r="J6" i="8"/>
  <c r="J5" i="8"/>
  <c r="J4" i="8"/>
  <c r="J3" i="8"/>
  <c r="I7" i="8"/>
  <c r="I6" i="8"/>
  <c r="I5" i="8"/>
  <c r="I4" i="8"/>
  <c r="I3" i="8"/>
  <c r="J2" i="8"/>
  <c r="I2" i="8"/>
  <c r="F4" i="8" l="1"/>
  <c r="F6" i="8"/>
  <c r="F3" i="8"/>
  <c r="F2" i="8"/>
  <c r="F5" i="8"/>
  <c r="F7" i="8"/>
  <c r="G3" i="8" l="1"/>
  <c r="H5" i="8"/>
  <c r="B7" i="8"/>
  <c r="C7" i="8"/>
  <c r="B4" i="8"/>
  <c r="C4" i="8"/>
  <c r="G5" i="8"/>
  <c r="H3" i="8"/>
  <c r="B6" i="8"/>
  <c r="C6" i="8"/>
  <c r="C3" i="8"/>
  <c r="B3" i="8"/>
  <c r="C5" i="8"/>
  <c r="B5" i="8"/>
  <c r="D3" i="8" l="1"/>
  <c r="G6" i="8"/>
  <c r="H6" i="8"/>
  <c r="G4" i="8"/>
  <c r="H4" i="8"/>
  <c r="G7" i="8"/>
  <c r="H7" i="8"/>
  <c r="E3" i="8"/>
  <c r="E7" i="8"/>
  <c r="D7" i="8"/>
  <c r="C2" i="8"/>
  <c r="B2" i="8"/>
  <c r="G2" i="8"/>
  <c r="E6" i="8"/>
  <c r="D6" i="8"/>
  <c r="D5" i="8"/>
  <c r="E5" i="8"/>
  <c r="D4" i="8"/>
  <c r="E4" i="8"/>
  <c r="E2" i="8" l="1"/>
  <c r="D2" i="8"/>
</calcChain>
</file>

<file path=xl/sharedStrings.xml><?xml version="1.0" encoding="utf-8"?>
<sst xmlns="http://schemas.openxmlformats.org/spreadsheetml/2006/main" count="202" uniqueCount="123">
  <si>
    <t>Parameters</t>
  </si>
  <si>
    <t>Value</t>
  </si>
  <si>
    <t>Error</t>
  </si>
  <si>
    <t>Sample Volume</t>
  </si>
  <si>
    <t>Units</t>
  </si>
  <si>
    <t>mL</t>
  </si>
  <si>
    <t>Stock Activity</t>
  </si>
  <si>
    <t>Notes</t>
  </si>
  <si>
    <t>Experiment Date</t>
  </si>
  <si>
    <t>Mineral Type</t>
  </si>
  <si>
    <t>Sample ID</t>
  </si>
  <si>
    <t>% Error</t>
  </si>
  <si>
    <t>Final pH</t>
  </si>
  <si>
    <t>Activity of stock used to add radium (note you should use the actual activity, not the counted activity)</t>
  </si>
  <si>
    <t>Date</t>
  </si>
  <si>
    <t>Sample</t>
  </si>
  <si>
    <t>CPM</t>
  </si>
  <si>
    <t>Lumex %</t>
  </si>
  <si>
    <t>Elapsed Time</t>
  </si>
  <si>
    <t>Liquid volume</t>
  </si>
  <si>
    <t>Bq/mL</t>
  </si>
  <si>
    <t>Error (cps)</t>
  </si>
  <si>
    <t>Radium Stock Used</t>
  </si>
  <si>
    <t>Counts (cps)</t>
  </si>
  <si>
    <t>Independent Cs?</t>
  </si>
  <si>
    <t>Mineral Mass (g)</t>
  </si>
  <si>
    <t>Mineral Mass Error (g)</t>
  </si>
  <si>
    <t>Stock Volume Added (mL)</t>
  </si>
  <si>
    <t>Stock Vol Err (mL)</t>
  </si>
  <si>
    <t>Cw (Bq/mL)</t>
  </si>
  <si>
    <t>dCw (Bq/mL)</t>
  </si>
  <si>
    <t>Cs (Bq/g)</t>
  </si>
  <si>
    <t>dCs (Bq/g)</t>
  </si>
  <si>
    <t>Total Activity (Bq)</t>
  </si>
  <si>
    <t>dTotal Activity (Bq)</t>
  </si>
  <si>
    <t>Known Activity (Bq)</t>
  </si>
  <si>
    <t>RaStd_0.01mL</t>
  </si>
  <si>
    <t>RaStd_0.05mL</t>
  </si>
  <si>
    <t>RaStd_0.1mL</t>
  </si>
  <si>
    <t>RaStd_0.5mL</t>
  </si>
  <si>
    <t>RaStd_1mL</t>
  </si>
  <si>
    <t>RaStd_5mL</t>
  </si>
  <si>
    <t>Mean (CPM)</t>
  </si>
  <si>
    <t>Error (CPM)</t>
  </si>
  <si>
    <t>Scintillation Counter (cps)</t>
  </si>
  <si>
    <t>Gamma Counter (CPS)</t>
  </si>
  <si>
    <t>Error (CPS)</t>
  </si>
  <si>
    <t>Known Activity (uCi)</t>
  </si>
  <si>
    <t>Gamma Counter Calculated Activity</t>
  </si>
  <si>
    <t>Scint Counter Calculated Activity (Bq)</t>
  </si>
  <si>
    <t>Background</t>
  </si>
  <si>
    <t>Scintillation Counter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</si>
  <si>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</si>
  <si>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</si>
  <si>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</si>
  <si>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</si>
  <si>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</si>
  <si>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</si>
  <si>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</si>
  <si>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</si>
  <si>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</si>
  <si>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</si>
  <si>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</si>
  <si>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</si>
  <si>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</si>
  <si>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</si>
  <si>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</si>
  <si>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</si>
  <si>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</si>
  <si>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</si>
  <si>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</si>
  <si>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</si>
  <si>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</si>
  <si>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</si>
  <si>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</si>
  <si>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Intercept</t>
  </si>
  <si>
    <t>X Variable 1</t>
  </si>
  <si>
    <t>RESIDUAL OUTPUT</t>
  </si>
  <si>
    <t>Observation</t>
  </si>
  <si>
    <t>Predicted Y</t>
  </si>
  <si>
    <t>Residuals</t>
  </si>
  <si>
    <t>Parsons Gamma Counter</t>
  </si>
  <si>
    <t>Solution counts (Bq)</t>
  </si>
  <si>
    <t>Solution Counts error (Bq)</t>
  </si>
  <si>
    <t>Solid Counts (Bq)</t>
  </si>
  <si>
    <t>Solid Counts Error (Bq)</t>
  </si>
  <si>
    <t>Total Volume (mL)</t>
  </si>
  <si>
    <t>Total Volume Error (mL)</t>
  </si>
  <si>
    <t>Counted Solution Vol (mL)</t>
  </si>
  <si>
    <t>Counted Solution Vol error (mL)</t>
  </si>
  <si>
    <t>Counted Solid Mass (g)</t>
  </si>
  <si>
    <t>Counted Solid Mass error (g)</t>
  </si>
  <si>
    <t>Calibration Method</t>
  </si>
  <si>
    <t>Activity (Bq)</t>
  </si>
  <si>
    <t>Activity Error (Bq)</t>
  </si>
  <si>
    <t>Phase</t>
  </si>
  <si>
    <t>Water</t>
  </si>
  <si>
    <t>sCw (Bq/mL)</t>
  </si>
  <si>
    <t>sCs (Bq/g)</t>
  </si>
  <si>
    <t>TotAct</t>
  </si>
  <si>
    <t>fSorb</t>
  </si>
  <si>
    <t>sfsorb</t>
  </si>
  <si>
    <t>pH</t>
  </si>
  <si>
    <t>spH</t>
  </si>
  <si>
    <t>None</t>
  </si>
  <si>
    <t>Ra_stock_5</t>
  </si>
  <si>
    <t>500pH3_A</t>
  </si>
  <si>
    <t>500pH5_A</t>
  </si>
  <si>
    <t>500pH7_A</t>
  </si>
  <si>
    <t>500pH9_A</t>
  </si>
  <si>
    <t>Gamma Counter</t>
  </si>
  <si>
    <t>(Known-Average)^2</t>
  </si>
  <si>
    <t>RaStock5</t>
  </si>
  <si>
    <t>RaStock4</t>
  </si>
  <si>
    <t>CPS-&gt;Bq No background</t>
  </si>
  <si>
    <t>Total in Solution (Bq)</t>
  </si>
  <si>
    <t>Counted Volume (mL)</t>
  </si>
  <si>
    <t>Estimate Sorption Kd</t>
  </si>
  <si>
    <t>Cs (Bq/g) Assuming 50 g of glass mass available for sorption</t>
  </si>
  <si>
    <t>Kd (mL/g)</t>
  </si>
  <si>
    <t>Fractional Sorbed</t>
  </si>
  <si>
    <t>Total Ra Added (Bq)</t>
  </si>
  <si>
    <t>SAMPLES NOT CONFORMING TO THE CORRECT GEOMETRY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</si>
</sst>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i/>
      <sz val="11"/>
      <color theme="1"/>
      <name val="Calibri"/>
      <family val="2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NumberFormat="1"/>
    <xf numFmtId="0" fontId="1" fillId="0" borderId="0" xfId="0" applyFont="1"/>
    <xf numFmtId="0" fontId="2" fillId="0" borderId="1" xfId="0" applyFont="1" applyBorder="1" applyAlignment="1">
      <alignment horizontal="center" vertical="top"/>
    </xf>
    <xf numFmtId="0" fontId="3" fillId="0" borderId="0" xfId="0" applyFont="1" applyAlignment="1">
      <alignment horizontal="center" vertical="top"/>
    </xf>
    <xf numFmtId="11" fontId="1" fillId="0" borderId="0" xfId="0" applyNumberFormat="1" applyFont="1"/>
    <xf numFmtId="0" fontId="5" fillId="0" borderId="2" xfId="0" applyFont="1" applyFill="1" applyBorder="1" applyAlignment="1">
      <alignment horizontal="centerContinuous"/>
    </xf>
    <xf numFmtId="0" fontId="0" fillId="0" borderId="0" xfId="0" applyFill="1" applyBorder="1" applyAlignment="1"/>
    <xf numFmtId="0" fontId="5" fillId="0" borderId="0" xfId="0" applyFont="1" applyFill="1" applyBorder="1" applyAlignment="1">
      <alignment horizontal="centerContinuous"/>
    </xf>
    <xf numFmtId="0" fontId="0" fillId="0" borderId="3" xfId="0" applyFill="1" applyBorder="1" applyAlignment="1"/>
    <xf numFmtId="0" fontId="5" fillId="0" borderId="2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0" fillId="0" borderId="0" xfId="0" applyFill="1" applyBorder="1"/>
    <xf numFmtId="0" fontId="5" fillId="0" borderId="0" xfId="0" applyFont="1" applyFill="1" applyBorder="1" applyAlignment="1">
      <alignment horizontal="center"/>
    </xf>
    <xf numFmtId="0" fontId="6" fillId="0" borderId="0" xfId="0" applyFont="1"/>
    <xf numFmtId="0" fontId="0" fillId="0" borderId="0" xfId="0" applyFont="1" applyBorder="1" applyAlignment="1">
      <alignment horizontal="center" vertical="top"/>
    </xf>
    <xf numFmtId="0" fontId="0" fillId="0" borderId="0" xfId="0" applyFont="1" applyFill="1" applyBorder="1" applyAlignment="1">
      <alignment horizontal="center" vertical="top"/>
    </xf>
    <xf numFmtId="11" fontId="0" fillId="0" borderId="0" xfId="0" applyNumberFormat="1"/>
    <xf numFmtId="22" fontId="0" fillId="0" borderId="0" xfId="0" applyNumberFormat="1"/>
    <xf numFmtId="14" fontId="0" fillId="0" borderId="0" xfId="0" applyNumberFormat="1"/>
    <xf numFmtId="0" fontId="2" fillId="0" borderId="4" xfId="0" applyFont="1" applyFill="1" applyBorder="1" applyAlignment="1">
      <alignment horizontal="center" vertical="top"/>
    </xf>
    <xf numFmtId="0" fontId="1" fillId="0" borderId="4" xfId="0" applyFont="1" applyBorder="1"/>
    <xf numFmtId="11" fontId="1" fillId="0" borderId="4" xfId="0" applyNumberFormat="1" applyFont="1" applyBorder="1"/>
    <xf numFmtId="0" fontId="0" fillId="0" borderId="4" xfId="0" applyBorder="1"/>
    <xf numFmtId="0" fontId="1" fillId="0" borderId="0" xfId="0" applyFont="1" applyBorder="1"/>
    <xf numFmtId="0" fontId="0" fillId="0" borderId="0" xfId="0" applyBorder="1"/>
    <xf numFmtId="0" fontId="0" fillId="0" borderId="4" xfId="0" applyFill="1" applyBorder="1" applyAlignment="1"/>
    <xf numFmtId="11" fontId="0" fillId="0" borderId="0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28575">
              <a:noFill/>
            </a:ln>
          </c:spPr>
          <c:xVal>
            <c:numRef>
              <c:f>'[1]Calibration Data'!$F$3:$F$8</c:f>
              <c:numCache>
                <c:formatCode>General</c:formatCode>
                <c:ptCount val="6"/>
                <c:pt idx="0">
                  <c:v>3.4640522875816994E-3</c:v>
                </c:pt>
                <c:pt idx="1">
                  <c:v>7.9815435847137763E-3</c:v>
                </c:pt>
                <c:pt idx="2">
                  <c:v>1.2604166666666666E-2</c:v>
                </c:pt>
                <c:pt idx="3">
                  <c:v>5.0219907407407408E-2</c:v>
                </c:pt>
                <c:pt idx="4">
                  <c:v>9.4872685185185185E-2</c:v>
                </c:pt>
                <c:pt idx="5">
                  <c:v>0.39049768518518518</c:v>
                </c:pt>
              </c:numCache>
            </c:numRef>
          </c:xVal>
          <c:yVal>
            <c:numRef>
              <c:f>'[1]Calibration Data'!$I$3:$I$8</c:f>
              <c:numCache>
                <c:formatCode>0.00E+00</c:formatCode>
                <c:ptCount val="6"/>
                <c:pt idx="0">
                  <c:v>0.31819999999999998</c:v>
                </c:pt>
                <c:pt idx="1">
                  <c:v>1.591</c:v>
                </c:pt>
                <c:pt idx="2">
                  <c:v>3.1819999999999999</c:v>
                </c:pt>
                <c:pt idx="3">
                  <c:v>15.91</c:v>
                </c:pt>
                <c:pt idx="4">
                  <c:v>31.82</c:v>
                </c:pt>
                <c:pt idx="5">
                  <c:v>159.1</c:v>
                </c:pt>
              </c:numCache>
            </c:numRef>
          </c:yVal>
          <c:smooth val="0"/>
        </c:ser>
        <c:ser>
          <c:idx val="1"/>
          <c:order val="1"/>
          <c:tx>
            <c:v>Predicted Y</c:v>
          </c:tx>
          <c:spPr>
            <a:ln w="28575">
              <a:noFill/>
            </a:ln>
          </c:spPr>
          <c:xVal>
            <c:numRef>
              <c:f>'[1]Calibration Data'!$F$3:$F$8</c:f>
              <c:numCache>
                <c:formatCode>General</c:formatCode>
                <c:ptCount val="6"/>
                <c:pt idx="0">
                  <c:v>3.4640522875816994E-3</c:v>
                </c:pt>
                <c:pt idx="1">
                  <c:v>7.9815435847137763E-3</c:v>
                </c:pt>
                <c:pt idx="2">
                  <c:v>1.2604166666666666E-2</c:v>
                </c:pt>
                <c:pt idx="3">
                  <c:v>5.0219907407407408E-2</c:v>
                </c:pt>
                <c:pt idx="4">
                  <c:v>9.4872685185185185E-2</c:v>
                </c:pt>
                <c:pt idx="5">
                  <c:v>0.39049768518518518</c:v>
                </c:pt>
              </c:numCache>
            </c:numRef>
          </c:xVal>
          <c:yVal>
            <c:numRef>
              <c:f>'[1]Calibration Data'!$B$70:$B$75</c:f>
              <c:numCache>
                <c:formatCode>General</c:formatCode>
                <c:ptCount val="6"/>
                <c:pt idx="0">
                  <c:v>-1.7375179093564292</c:v>
                </c:pt>
                <c:pt idx="1">
                  <c:v>0.12652001269851265</c:v>
                </c:pt>
                <c:pt idx="2">
                  <c:v>2.0339381254012432</c:v>
                </c:pt>
                <c:pt idx="3">
                  <c:v>17.555200391349953</c:v>
                </c:pt>
                <c:pt idx="4">
                  <c:v>35.9801326442823</c:v>
                </c:pt>
                <c:pt idx="5">
                  <c:v>157.96292673562442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420208"/>
        <c:axId val="207413936"/>
      </c:scatterChart>
      <c:valAx>
        <c:axId val="207420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7413936"/>
        <c:crosses val="autoZero"/>
        <c:crossBetween val="midCat"/>
      </c:valAx>
      <c:valAx>
        <c:axId val="2074139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0.00E+00" sourceLinked="1"/>
        <c:majorTickMark val="out"/>
        <c:minorTickMark val="none"/>
        <c:tickLblPos val="nextTo"/>
        <c:crossAx val="2074202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1457325</xdr:colOff>
      <xdr:row>65</xdr:row>
      <xdr:rowOff>66675</xdr:rowOff>
    </xdr:from>
    <xdr:to>
      <xdr:col>11</xdr:col>
      <xdr:colOff>1181100</xdr:colOff>
      <xdr:row>96</xdr:row>
      <xdr:rowOff>85725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ichael\Dropbox%20(Personal)\work\MIT%20Graduate%20Work\Research\Standard%20Chemical%20Info\Radium_Stock\Radium%20Standards%20Lo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mple Parameters"/>
      <sheetName val="Scintillation Counter Results"/>
      <sheetName val="Gamma Counter Results"/>
      <sheetName val="Quality Control Notes"/>
      <sheetName val="Calibration Data"/>
      <sheetName val="Gamma Counter Geometry"/>
      <sheetName val="Gamma Counter Multinuclide Stan"/>
      <sheetName val="Stock Log"/>
    </sheetNames>
    <sheetDataSet>
      <sheetData sheetId="0"/>
      <sheetData sheetId="1"/>
      <sheetData sheetId="2"/>
      <sheetData sheetId="3"/>
      <sheetData sheetId="4">
        <row r="3">
          <cell r="F3">
            <v>3.4640522875816994E-3</v>
          </cell>
          <cell r="I3">
            <v>0.31819999999999998</v>
          </cell>
        </row>
        <row r="4">
          <cell r="F4">
            <v>7.9815435847137763E-3</v>
          </cell>
          <cell r="I4">
            <v>1.591</v>
          </cell>
        </row>
        <row r="5">
          <cell r="F5">
            <v>1.2604166666666666E-2</v>
          </cell>
          <cell r="I5">
            <v>3.1819999999999999</v>
          </cell>
        </row>
        <row r="6">
          <cell r="F6">
            <v>5.0219907407407408E-2</v>
          </cell>
          <cell r="I6">
            <v>15.91</v>
          </cell>
        </row>
        <row r="7">
          <cell r="F7">
            <v>9.4872685185185185E-2</v>
          </cell>
          <cell r="I7">
            <v>31.82</v>
          </cell>
        </row>
        <row r="8">
          <cell r="F8">
            <v>0.39049768518518518</v>
          </cell>
          <cell r="I8">
            <v>159.1</v>
          </cell>
        </row>
        <row r="70">
          <cell r="B70">
            <v>-1.7375179093564292</v>
          </cell>
        </row>
        <row r="71">
          <cell r="B71">
            <v>0.12652001269851265</v>
          </cell>
        </row>
        <row r="72">
          <cell r="B72">
            <v>2.0339381254012432</v>
          </cell>
        </row>
        <row r="73">
          <cell r="B73">
            <v>17.555200391349953</v>
          </cell>
        </row>
        <row r="74">
          <cell r="B74">
            <v>35.9801326442823</v>
          </cell>
        </row>
        <row r="75">
          <cell r="B75">
            <v>157.96292673562442</v>
          </cell>
        </row>
      </sheetData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B6" sqref="B6"/>
    </sheetView>
  </sheetViews>
  <sheetFormatPr defaultRowHeight="15" x14ac:dyDescent="0.25"/>
  <cols>
    <col min="1" max="1" width="26.5703125" bestFit="1" customWidth="1"/>
    <col min="2" max="2" width="12.71093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4</v>
      </c>
      <c r="E1" t="s">
        <v>7</v>
      </c>
    </row>
    <row r="2" spans="1:5" x14ac:dyDescent="0.25">
      <c r="A2" t="s">
        <v>8</v>
      </c>
      <c r="B2" s="19"/>
    </row>
    <row r="3" spans="1:5" x14ac:dyDescent="0.25">
      <c r="A3" t="s">
        <v>3</v>
      </c>
      <c r="B3">
        <v>100</v>
      </c>
      <c r="C3">
        <v>0.17199999999999999</v>
      </c>
      <c r="D3" t="s">
        <v>5</v>
      </c>
      <c r="E3" t="s">
        <v>19</v>
      </c>
    </row>
    <row r="4" spans="1:5" x14ac:dyDescent="0.25">
      <c r="A4" t="s">
        <v>9</v>
      </c>
      <c r="B4" t="s">
        <v>104</v>
      </c>
    </row>
    <row r="5" spans="1:5" x14ac:dyDescent="0.25">
      <c r="A5" t="s">
        <v>22</v>
      </c>
      <c r="B5" t="s">
        <v>105</v>
      </c>
    </row>
    <row r="6" spans="1:5" x14ac:dyDescent="0.25">
      <c r="A6" t="s">
        <v>6</v>
      </c>
      <c r="B6">
        <v>593</v>
      </c>
      <c r="C6" s="17">
        <v>30</v>
      </c>
      <c r="D6" t="s">
        <v>20</v>
      </c>
      <c r="E6" t="s">
        <v>13</v>
      </c>
    </row>
    <row r="7" spans="1:5" x14ac:dyDescent="0.25">
      <c r="A7" t="s">
        <v>24</v>
      </c>
      <c r="B7" t="b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76"/>
  <sheetViews>
    <sheetView workbookViewId="0">
      <selection activeCell="D35" sqref="D35"/>
    </sheetView>
  </sheetViews>
  <sheetFormatPr defaultRowHeight="15" x14ac:dyDescent="0.25"/>
  <cols>
    <col min="1" max="1" width="22.7109375" style="2" customWidth="1"/>
    <col min="2" max="2" width="31.42578125" style="2" customWidth="1"/>
    <col min="3" max="3" width="12" style="2" customWidth="1"/>
    <col min="4" max="4" width="24.28515625" style="2" customWidth="1"/>
    <col min="5" max="5" width="10" style="2" customWidth="1"/>
    <col min="6" max="6" width="20.7109375" style="2" customWidth="1"/>
    <col min="7" max="7" width="12" style="2" customWidth="1"/>
    <col min="8" max="8" width="19.28515625" style="2" customWidth="1"/>
    <col min="9" max="10" width="18.7109375" style="2" customWidth="1"/>
    <col min="11" max="11" width="32.85546875" bestFit="1" customWidth="1"/>
    <col min="12" max="12" width="34.7109375" bestFit="1" customWidth="1"/>
    <col min="13" max="13" width="35.5703125" bestFit="1" customWidth="1"/>
    <col min="14" max="14" width="14.5703125" bestFit="1" customWidth="1"/>
    <col min="22" max="22" width="18" bestFit="1" customWidth="1"/>
    <col min="23" max="23" width="12.7109375" bestFit="1" customWidth="1"/>
  </cols>
  <sheetData>
    <row r="1" spans="1:31" x14ac:dyDescent="0.25">
      <c r="B1" s="3" t="s">
        <v>42</v>
      </c>
      <c r="C1" s="3" t="s">
        <v>43</v>
      </c>
      <c r="D1" s="4" t="s">
        <v>44</v>
      </c>
      <c r="E1" s="4" t="s">
        <v>21</v>
      </c>
      <c r="F1" s="2" t="s">
        <v>45</v>
      </c>
      <c r="G1" s="2" t="s">
        <v>46</v>
      </c>
      <c r="H1" s="2" t="s">
        <v>47</v>
      </c>
      <c r="I1" s="2" t="s">
        <v>35</v>
      </c>
      <c r="J1" s="2" t="s">
        <v>111</v>
      </c>
      <c r="K1" s="2" t="s">
        <v>48</v>
      </c>
      <c r="L1" s="2" t="s">
        <v>49</v>
      </c>
      <c r="M1" s="2"/>
      <c r="N1" s="2"/>
    </row>
    <row r="2" spans="1:31" x14ac:dyDescent="0.25">
      <c r="A2" s="3" t="s">
        <v>50</v>
      </c>
      <c r="B2" s="2">
        <v>69.266666666666666</v>
      </c>
      <c r="C2" s="2">
        <v>4.0713088258637899</v>
      </c>
      <c r="D2" s="2">
        <f>B2/60</f>
        <v>1.1544444444444444</v>
      </c>
      <c r="E2" s="2">
        <f>C2/60</f>
        <v>6.7855147097729829E-2</v>
      </c>
      <c r="F2" s="2">
        <v>1.1574074074074073E-3</v>
      </c>
      <c r="H2" s="2">
        <v>0</v>
      </c>
      <c r="I2" s="2">
        <v>0</v>
      </c>
      <c r="K2">
        <f>F2*$B$63+$B$62</f>
        <v>-2.6893013764520717</v>
      </c>
      <c r="L2">
        <f>D2*$B$30+$B$29</f>
        <v>0.13209164838024126</v>
      </c>
    </row>
    <row r="3" spans="1:31" x14ac:dyDescent="0.25">
      <c r="A3" s="3" t="s">
        <v>36</v>
      </c>
      <c r="B3" s="2">
        <v>213.53333333333333</v>
      </c>
      <c r="C3" s="2">
        <v>4.5389670875898238</v>
      </c>
      <c r="D3" s="2">
        <f t="shared" ref="D3:E9" si="0">B3/60</f>
        <v>3.5588888888888888</v>
      </c>
      <c r="E3" s="2">
        <f t="shared" si="0"/>
        <v>7.5649451459830402E-2</v>
      </c>
      <c r="F3" s="2">
        <v>3.4640522875816994E-3</v>
      </c>
      <c r="G3" s="2">
        <v>6.1343954248366012E-4</v>
      </c>
      <c r="H3" s="5">
        <f>H7/100</f>
        <v>8.599999999999999E-6</v>
      </c>
      <c r="I3" s="5">
        <f t="shared" ref="I3:I8" si="1">H3*37000</f>
        <v>0.31819999999999998</v>
      </c>
      <c r="J3" s="5">
        <f>(I3-AVERAGE($I$3:$I$8))^2</f>
        <v>1225.1400040000001</v>
      </c>
      <c r="K3">
        <f>F3*$B$63+$B$62</f>
        <v>-1.7375179093564292</v>
      </c>
      <c r="L3">
        <f t="shared" ref="L3:L10" si="2">D3*$B$30+$B$29</f>
        <v>0.41681673309525025</v>
      </c>
    </row>
    <row r="4" spans="1:31" x14ac:dyDescent="0.25">
      <c r="A4" s="3" t="s">
        <v>37</v>
      </c>
      <c r="B4" s="2">
        <v>851.36666666666679</v>
      </c>
      <c r="C4" s="2">
        <v>12.530584805000577</v>
      </c>
      <c r="D4" s="2">
        <f t="shared" si="0"/>
        <v>14.189444444444446</v>
      </c>
      <c r="E4" s="2">
        <f t="shared" si="0"/>
        <v>0.20884308008334296</v>
      </c>
      <c r="F4" s="2">
        <v>7.9815435847137763E-3</v>
      </c>
      <c r="G4" s="2">
        <v>8.5144502711856026E-4</v>
      </c>
      <c r="H4" s="5">
        <f>H7/20</f>
        <v>4.3000000000000002E-5</v>
      </c>
      <c r="I4" s="5">
        <f t="shared" si="1"/>
        <v>1.591</v>
      </c>
      <c r="J4" s="5">
        <f t="shared" ref="J4:J8" si="3">(I4-AVERAGE($I$3:$I$8))^2</f>
        <v>1137.6589326399999</v>
      </c>
      <c r="K4">
        <f t="shared" ref="K4:K9" si="4">F4*$B$63+$B$62</f>
        <v>0.12652001269851265</v>
      </c>
      <c r="L4">
        <f t="shared" si="2"/>
        <v>1.6756463301427775</v>
      </c>
    </row>
    <row r="5" spans="1:31" x14ac:dyDescent="0.25">
      <c r="A5" s="3" t="s">
        <v>38</v>
      </c>
      <c r="B5" s="2">
        <v>1635.7</v>
      </c>
      <c r="C5" s="2">
        <v>32.620954410720707</v>
      </c>
      <c r="D5" s="2">
        <f t="shared" si="0"/>
        <v>27.261666666666667</v>
      </c>
      <c r="E5" s="2">
        <f t="shared" si="0"/>
        <v>0.54368257351201177</v>
      </c>
      <c r="F5" s="2">
        <v>1.2604166666666666E-2</v>
      </c>
      <c r="G5" s="2">
        <v>9.3201388888888891E-4</v>
      </c>
      <c r="H5" s="5">
        <f>H7/10</f>
        <v>8.6000000000000003E-5</v>
      </c>
      <c r="I5" s="5">
        <f t="shared" si="1"/>
        <v>3.1819999999999999</v>
      </c>
      <c r="J5" s="5">
        <f t="shared" si="3"/>
        <v>1032.8638992399999</v>
      </c>
      <c r="K5">
        <f t="shared" si="4"/>
        <v>2.0339381254012432</v>
      </c>
      <c r="L5">
        <f t="shared" si="2"/>
        <v>3.2236087246307998</v>
      </c>
    </row>
    <row r="6" spans="1:31" x14ac:dyDescent="0.25">
      <c r="A6" s="3" t="s">
        <v>39</v>
      </c>
      <c r="B6" s="2">
        <v>7998.833333333333</v>
      </c>
      <c r="C6" s="2">
        <v>50.234140670352431</v>
      </c>
      <c r="D6" s="2">
        <f t="shared" si="0"/>
        <v>133.3138888888889</v>
      </c>
      <c r="E6" s="2">
        <f t="shared" si="0"/>
        <v>0.83723567783920716</v>
      </c>
      <c r="F6" s="2">
        <v>5.0219907407407408E-2</v>
      </c>
      <c r="G6" s="2">
        <v>2.5444444444444447E-3</v>
      </c>
      <c r="H6" s="5">
        <f>H7/2</f>
        <v>4.2999999999999999E-4</v>
      </c>
      <c r="I6" s="5">
        <f t="shared" si="1"/>
        <v>15.91</v>
      </c>
      <c r="J6" s="5">
        <f t="shared" si="3"/>
        <v>376.75586404000001</v>
      </c>
      <c r="K6">
        <f t="shared" si="4"/>
        <v>17.555200391349953</v>
      </c>
      <c r="L6">
        <f t="shared" si="2"/>
        <v>15.781905933869924</v>
      </c>
    </row>
    <row r="7" spans="1:31" x14ac:dyDescent="0.25">
      <c r="A7" s="3" t="s">
        <v>40</v>
      </c>
      <c r="B7" s="2">
        <v>16057.133333333333</v>
      </c>
      <c r="C7" s="2">
        <v>53.513259001171903</v>
      </c>
      <c r="D7" s="2">
        <f t="shared" si="0"/>
        <v>267.61888888888888</v>
      </c>
      <c r="E7" s="2">
        <f t="shared" si="0"/>
        <v>0.89188765001953174</v>
      </c>
      <c r="F7" s="2">
        <v>9.4872685185185185E-2</v>
      </c>
      <c r="G7" s="2">
        <v>2.9521990740740741E-3</v>
      </c>
      <c r="H7" s="5">
        <v>8.5999999999999998E-4</v>
      </c>
      <c r="I7" s="5">
        <f t="shared" si="1"/>
        <v>31.82</v>
      </c>
      <c r="J7" s="5">
        <f t="shared" si="3"/>
        <v>12.251400039999996</v>
      </c>
      <c r="K7">
        <f t="shared" si="4"/>
        <v>35.9801326442823</v>
      </c>
      <c r="L7">
        <f t="shared" si="2"/>
        <v>31.685788675267496</v>
      </c>
    </row>
    <row r="8" spans="1:31" x14ac:dyDescent="0.25">
      <c r="A8" s="3" t="s">
        <v>41</v>
      </c>
      <c r="B8" s="2">
        <v>80635.3</v>
      </c>
      <c r="C8" s="2">
        <v>80.454997758225829</v>
      </c>
      <c r="D8" s="2">
        <f t="shared" si="0"/>
        <v>1343.9216666666666</v>
      </c>
      <c r="E8" s="2">
        <f t="shared" si="0"/>
        <v>1.3409166293037638</v>
      </c>
      <c r="F8" s="2">
        <v>0.39049768518518518</v>
      </c>
      <c r="G8" s="2">
        <v>5.6158564814814812E-3</v>
      </c>
      <c r="H8" s="5">
        <f>H7*5</f>
        <v>4.3E-3</v>
      </c>
      <c r="I8" s="5">
        <f t="shared" si="1"/>
        <v>159.1</v>
      </c>
      <c r="J8" s="5">
        <f t="shared" si="3"/>
        <v>15321.438888039998</v>
      </c>
      <c r="K8">
        <f t="shared" si="4"/>
        <v>157.96292673562442</v>
      </c>
      <c r="L8">
        <f t="shared" si="2"/>
        <v>159.1374336029937</v>
      </c>
    </row>
    <row r="9" spans="1:31" x14ac:dyDescent="0.25">
      <c r="A9" s="4" t="s">
        <v>112</v>
      </c>
      <c r="B9" s="2">
        <v>342248.6</v>
      </c>
      <c r="C9" s="2">
        <f>B9*0.11/100</f>
        <v>376.47345999999999</v>
      </c>
      <c r="D9" s="2">
        <f t="shared" si="0"/>
        <v>5704.1433333333325</v>
      </c>
      <c r="E9" s="2">
        <f t="shared" si="0"/>
        <v>6.2745576666666665</v>
      </c>
      <c r="F9">
        <v>1.9</v>
      </c>
      <c r="G9">
        <f>F9*0.5/100</f>
        <v>9.4999999999999998E-3</v>
      </c>
      <c r="H9" s="5"/>
      <c r="I9" s="5"/>
      <c r="J9" s="5"/>
      <c r="K9">
        <f t="shared" si="4"/>
        <v>780.8240178086387</v>
      </c>
      <c r="L9">
        <f t="shared" si="2"/>
        <v>675.45815221486782</v>
      </c>
    </row>
    <row r="10" spans="1:31" x14ac:dyDescent="0.25">
      <c r="A10" s="4" t="s">
        <v>113</v>
      </c>
      <c r="D10">
        <v>2882.0033333333336</v>
      </c>
      <c r="F10"/>
      <c r="G10"/>
      <c r="H10" s="5"/>
      <c r="I10" s="5"/>
      <c r="J10" s="5"/>
      <c r="L10">
        <f t="shared" si="2"/>
        <v>341.27116260310561</v>
      </c>
    </row>
    <row r="11" spans="1:31" x14ac:dyDescent="0.25">
      <c r="A11" s="4"/>
      <c r="F11"/>
      <c r="G11"/>
      <c r="H11" s="5"/>
      <c r="I11" s="5"/>
      <c r="J11" s="5"/>
    </row>
    <row r="12" spans="1:31" s="23" customFormat="1" x14ac:dyDescent="0.25">
      <c r="A12" s="20" t="s">
        <v>51</v>
      </c>
      <c r="B12" s="21"/>
      <c r="C12" s="21"/>
      <c r="D12" s="21"/>
      <c r="E12" s="21"/>
      <c r="F12" s="21"/>
      <c r="G12" s="21"/>
      <c r="H12" s="21"/>
      <c r="I12" s="22"/>
      <c r="J12" s="21"/>
    </row>
    <row r="13" spans="1:31" x14ac:dyDescent="0.25">
      <c r="A13" t="s">
        <v>52</v>
      </c>
      <c r="B13" t="s">
        <v>114</v>
      </c>
      <c r="C13"/>
      <c r="D13"/>
      <c r="E13"/>
      <c r="F13"/>
      <c r="G13"/>
      <c r="H13"/>
      <c r="I13"/>
      <c r="K13" t="s">
        <v>52</v>
      </c>
    </row>
    <row r="14" spans="1:31" ht="15.75" thickBot="1" x14ac:dyDescent="0.3">
      <c r="A14"/>
      <c r="B14"/>
      <c r="C14"/>
      <c r="D14"/>
      <c r="E14"/>
      <c r="F14"/>
      <c r="G14"/>
      <c r="H14"/>
      <c r="I14"/>
    </row>
    <row r="15" spans="1:31" x14ac:dyDescent="0.25">
      <c r="A15" s="6" t="s">
        <v>53</v>
      </c>
      <c r="B15" s="6"/>
      <c r="C15"/>
      <c r="D15"/>
      <c r="E15"/>
      <c r="F15"/>
      <c r="G15"/>
      <c r="H15"/>
      <c r="I15"/>
      <c r="J15" s="24"/>
      <c r="K15" s="6" t="s">
        <v>53</v>
      </c>
      <c r="L15" s="6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</row>
    <row r="16" spans="1:31" x14ac:dyDescent="0.25">
      <c r="A16" s="7" t="s">
        <v>54</v>
      </c>
      <c r="B16" s="7">
        <v>0.99999857522978297</v>
      </c>
      <c r="C16"/>
      <c r="D16"/>
      <c r="E16"/>
      <c r="F16"/>
      <c r="G16"/>
      <c r="H16"/>
      <c r="I16"/>
      <c r="J16" s="24"/>
      <c r="K16" s="7" t="s">
        <v>54</v>
      </c>
      <c r="L16" s="7">
        <v>0.99999857522978297</v>
      </c>
      <c r="T16" s="25"/>
      <c r="U16" s="25"/>
      <c r="V16" s="8"/>
      <c r="W16" s="8"/>
      <c r="X16" s="25"/>
      <c r="Y16" s="25"/>
      <c r="Z16" s="25"/>
      <c r="AA16" s="25"/>
      <c r="AB16" s="25"/>
      <c r="AC16" s="25"/>
      <c r="AD16" s="25"/>
      <c r="AE16" s="25"/>
    </row>
    <row r="17" spans="1:31" x14ac:dyDescent="0.25">
      <c r="A17" s="7" t="s">
        <v>55</v>
      </c>
      <c r="B17" s="7">
        <v>0.99999715046159587</v>
      </c>
      <c r="C17"/>
      <c r="D17"/>
      <c r="E17"/>
      <c r="F17"/>
      <c r="G17"/>
      <c r="H17"/>
      <c r="I17"/>
      <c r="J17" s="24"/>
      <c r="K17" s="7" t="s">
        <v>55</v>
      </c>
      <c r="L17" s="7">
        <v>0.99999715046159587</v>
      </c>
      <c r="T17" s="25"/>
      <c r="U17" s="25"/>
      <c r="V17" s="7"/>
      <c r="W17" s="7"/>
      <c r="X17" s="25"/>
      <c r="Y17" s="25"/>
      <c r="Z17" s="25"/>
      <c r="AA17" s="25"/>
      <c r="AB17" s="25"/>
      <c r="AC17" s="25"/>
      <c r="AD17" s="25"/>
      <c r="AE17" s="25"/>
    </row>
    <row r="18" spans="1:31" x14ac:dyDescent="0.25">
      <c r="A18" s="7" t="s">
        <v>56</v>
      </c>
      <c r="B18" s="7">
        <v>0.99999643807699479</v>
      </c>
      <c r="C18"/>
      <c r="D18"/>
      <c r="E18"/>
      <c r="F18"/>
      <c r="G18"/>
      <c r="H18"/>
      <c r="I18"/>
      <c r="J18" s="24"/>
      <c r="K18" s="7" t="s">
        <v>56</v>
      </c>
      <c r="L18" s="7">
        <v>0.99999643807699479</v>
      </c>
      <c r="T18" s="25"/>
      <c r="U18" s="25"/>
      <c r="V18" s="7"/>
      <c r="W18" s="7"/>
      <c r="X18" s="25"/>
      <c r="Y18" s="25"/>
      <c r="Z18" s="25"/>
      <c r="AA18" s="25"/>
      <c r="AB18" s="25"/>
      <c r="AC18" s="25"/>
      <c r="AD18" s="25"/>
      <c r="AE18" s="25"/>
    </row>
    <row r="19" spans="1:31" x14ac:dyDescent="0.25">
      <c r="A19" s="7" t="s">
        <v>57</v>
      </c>
      <c r="B19" s="7">
        <v>0.11666575259658109</v>
      </c>
      <c r="C19"/>
      <c r="D19"/>
      <c r="E19"/>
      <c r="F19"/>
      <c r="G19"/>
      <c r="H19"/>
      <c r="I19"/>
      <c r="J19" s="24"/>
      <c r="K19" s="7" t="s">
        <v>57</v>
      </c>
      <c r="L19" s="7">
        <v>0.98521674441589902</v>
      </c>
      <c r="T19" s="25"/>
      <c r="U19" s="25"/>
      <c r="V19" s="7"/>
      <c r="W19" s="7"/>
      <c r="X19" s="25"/>
      <c r="Y19" s="25"/>
      <c r="Z19" s="25"/>
      <c r="AA19" s="25"/>
      <c r="AB19" s="25"/>
      <c r="AC19" s="25"/>
      <c r="AD19" s="25"/>
      <c r="AE19" s="25"/>
    </row>
    <row r="20" spans="1:31" ht="15.75" customHeight="1" thickBot="1" x14ac:dyDescent="0.3">
      <c r="A20" s="9" t="s">
        <v>58</v>
      </c>
      <c r="B20" s="9">
        <v>6</v>
      </c>
      <c r="C20"/>
      <c r="D20"/>
      <c r="E20"/>
      <c r="F20"/>
      <c r="G20"/>
      <c r="H20"/>
      <c r="I20"/>
      <c r="J20" s="24"/>
      <c r="K20" s="9" t="s">
        <v>58</v>
      </c>
      <c r="L20" s="9">
        <v>6</v>
      </c>
      <c r="T20" s="25"/>
      <c r="U20" s="25"/>
      <c r="V20" s="7"/>
      <c r="W20" s="7"/>
      <c r="X20" s="25"/>
      <c r="Y20" s="25"/>
      <c r="Z20" s="25"/>
      <c r="AA20" s="25"/>
      <c r="AB20" s="25"/>
      <c r="AC20" s="25"/>
      <c r="AD20" s="25"/>
      <c r="AE20" s="25"/>
    </row>
    <row r="21" spans="1:31" x14ac:dyDescent="0.25">
      <c r="A21"/>
      <c r="B21"/>
      <c r="C21"/>
      <c r="D21"/>
      <c r="E21"/>
      <c r="F21"/>
      <c r="G21"/>
      <c r="H21"/>
      <c r="I21"/>
      <c r="J21" s="24"/>
      <c r="T21" s="25"/>
      <c r="U21" s="25"/>
      <c r="V21" s="7"/>
      <c r="W21" s="7"/>
      <c r="X21" s="25"/>
      <c r="Y21" s="25"/>
      <c r="Z21" s="25"/>
      <c r="AA21" s="25"/>
      <c r="AB21" s="25"/>
      <c r="AC21" s="25"/>
      <c r="AD21" s="25"/>
      <c r="AE21" s="25"/>
    </row>
    <row r="22" spans="1:31" ht="15.75" customHeight="1" thickBot="1" x14ac:dyDescent="0.3">
      <c r="A22" t="s">
        <v>59</v>
      </c>
      <c r="B22"/>
      <c r="C22"/>
      <c r="D22"/>
      <c r="E22"/>
      <c r="F22"/>
      <c r="G22"/>
      <c r="H22"/>
      <c r="I22"/>
      <c r="J22" s="24"/>
      <c r="K22" t="s">
        <v>59</v>
      </c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</row>
    <row r="23" spans="1:31" x14ac:dyDescent="0.25">
      <c r="A23" s="10"/>
      <c r="B23" s="10" t="s">
        <v>60</v>
      </c>
      <c r="C23" s="10" t="s">
        <v>61</v>
      </c>
      <c r="D23" s="10" t="s">
        <v>62</v>
      </c>
      <c r="E23" s="10" t="s">
        <v>63</v>
      </c>
      <c r="F23" s="10" t="s">
        <v>64</v>
      </c>
      <c r="G23"/>
      <c r="H23"/>
      <c r="I23"/>
      <c r="J23" s="24"/>
      <c r="K23" s="10"/>
      <c r="L23" s="10" t="s">
        <v>60</v>
      </c>
      <c r="M23" s="10" t="s">
        <v>61</v>
      </c>
      <c r="N23" s="10" t="s">
        <v>62</v>
      </c>
      <c r="O23" s="10" t="s">
        <v>63</v>
      </c>
      <c r="P23" s="10" t="s">
        <v>64</v>
      </c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</row>
    <row r="24" spans="1:31" x14ac:dyDescent="0.25">
      <c r="A24" s="7" t="s">
        <v>65</v>
      </c>
      <c r="B24" s="7">
        <v>1</v>
      </c>
      <c r="C24" s="7">
        <v>19106.054544408686</v>
      </c>
      <c r="D24" s="7">
        <v>19106.054544408686</v>
      </c>
      <c r="E24" s="7">
        <v>1403732.1258707412</v>
      </c>
      <c r="F24" s="7">
        <v>3.0449538110703924E-12</v>
      </c>
      <c r="G24"/>
      <c r="H24"/>
      <c r="I24"/>
      <c r="J24" s="24"/>
      <c r="K24" s="7" t="s">
        <v>65</v>
      </c>
      <c r="L24" s="7">
        <v>1</v>
      </c>
      <c r="M24" s="7">
        <v>1362535.4424342527</v>
      </c>
      <c r="N24" s="7">
        <v>1362535.4424342527</v>
      </c>
      <c r="O24" s="7">
        <v>1403732.1258709223</v>
      </c>
      <c r="P24" s="7">
        <v>3.0449538110696028E-12</v>
      </c>
      <c r="T24" s="25"/>
      <c r="U24" s="25"/>
      <c r="V24" s="13"/>
      <c r="W24" s="13"/>
      <c r="X24" s="13"/>
      <c r="Y24" s="13"/>
      <c r="Z24" s="13"/>
      <c r="AA24" s="13"/>
      <c r="AB24" s="25"/>
      <c r="AC24" s="25"/>
      <c r="AD24" s="25"/>
      <c r="AE24" s="25"/>
    </row>
    <row r="25" spans="1:31" x14ac:dyDescent="0.25">
      <c r="A25" s="7" t="s">
        <v>66</v>
      </c>
      <c r="B25" s="7">
        <v>4</v>
      </c>
      <c r="C25" s="7">
        <v>5.4443591315706669E-2</v>
      </c>
      <c r="D25" s="7">
        <v>1.3610897828926667E-2</v>
      </c>
      <c r="E25" s="7"/>
      <c r="F25" s="7"/>
      <c r="G25"/>
      <c r="H25"/>
      <c r="I25"/>
      <c r="J25" s="24"/>
      <c r="K25" s="7" t="s">
        <v>66</v>
      </c>
      <c r="L25" s="7">
        <v>4</v>
      </c>
      <c r="M25" s="7">
        <v>3.8826081339098519</v>
      </c>
      <c r="N25" s="7">
        <v>0.97065203347746298</v>
      </c>
      <c r="O25" s="7"/>
      <c r="P25" s="7"/>
      <c r="T25" s="25"/>
      <c r="U25" s="25"/>
      <c r="V25" s="7"/>
      <c r="W25" s="7"/>
      <c r="X25" s="7"/>
      <c r="Y25" s="7"/>
      <c r="Z25" s="7"/>
      <c r="AA25" s="7"/>
      <c r="AB25" s="25"/>
      <c r="AC25" s="25"/>
      <c r="AD25" s="25"/>
      <c r="AE25" s="25"/>
    </row>
    <row r="26" spans="1:31" ht="15.75" customHeight="1" thickBot="1" x14ac:dyDescent="0.3">
      <c r="A26" s="9" t="s">
        <v>67</v>
      </c>
      <c r="B26" s="9">
        <v>5</v>
      </c>
      <c r="C26" s="9">
        <v>19106.108988</v>
      </c>
      <c r="D26" s="9"/>
      <c r="E26" s="9"/>
      <c r="F26" s="9"/>
      <c r="G26"/>
      <c r="H26"/>
      <c r="I26"/>
      <c r="J26" s="24"/>
      <c r="K26" s="9" t="s">
        <v>67</v>
      </c>
      <c r="L26" s="9">
        <v>5</v>
      </c>
      <c r="M26" s="9">
        <v>1362539.3250423865</v>
      </c>
      <c r="N26" s="9"/>
      <c r="O26" s="9"/>
      <c r="P26" s="9"/>
      <c r="T26" s="25"/>
      <c r="U26" s="25"/>
      <c r="V26" s="7"/>
      <c r="W26" s="7"/>
      <c r="X26" s="7"/>
      <c r="Y26" s="7"/>
      <c r="Z26" s="7"/>
      <c r="AA26" s="7"/>
      <c r="AB26" s="25"/>
      <c r="AC26" s="25"/>
      <c r="AD26" s="25"/>
      <c r="AE26" s="25"/>
    </row>
    <row r="27" spans="1:31" ht="15.75" thickBot="1" x14ac:dyDescent="0.3">
      <c r="A27"/>
      <c r="B27"/>
      <c r="C27"/>
      <c r="D27"/>
      <c r="E27"/>
      <c r="F27"/>
      <c r="G27"/>
      <c r="H27"/>
      <c r="I27"/>
      <c r="J27" s="24"/>
      <c r="T27" s="25"/>
      <c r="U27" s="25"/>
      <c r="V27" s="7"/>
      <c r="W27" s="7"/>
      <c r="X27" s="7"/>
      <c r="Y27" s="7"/>
      <c r="Z27" s="7"/>
      <c r="AA27" s="7"/>
      <c r="AB27" s="25"/>
      <c r="AC27" s="25"/>
      <c r="AD27" s="25"/>
      <c r="AE27" s="25"/>
    </row>
    <row r="28" spans="1:31" x14ac:dyDescent="0.25">
      <c r="A28" s="10"/>
      <c r="B28" s="10" t="s">
        <v>68</v>
      </c>
      <c r="C28" s="10" t="s">
        <v>57</v>
      </c>
      <c r="D28" s="10" t="s">
        <v>69</v>
      </c>
      <c r="E28" s="10" t="s">
        <v>70</v>
      </c>
      <c r="F28" s="10" t="s">
        <v>71</v>
      </c>
      <c r="G28" s="10" t="s">
        <v>72</v>
      </c>
      <c r="H28" s="10" t="s">
        <v>73</v>
      </c>
      <c r="I28" s="10" t="s">
        <v>74</v>
      </c>
      <c r="J28" s="11"/>
      <c r="K28" s="10"/>
      <c r="L28" s="10" t="s">
        <v>68</v>
      </c>
      <c r="M28" s="10" t="s">
        <v>57</v>
      </c>
      <c r="N28" s="10" t="s">
        <v>69</v>
      </c>
      <c r="O28" s="10" t="s">
        <v>70</v>
      </c>
      <c r="P28" s="10" t="s">
        <v>71</v>
      </c>
      <c r="Q28" s="10" t="s">
        <v>72</v>
      </c>
      <c r="R28" s="10" t="s">
        <v>73</v>
      </c>
      <c r="S28" s="10" t="s">
        <v>74</v>
      </c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</row>
    <row r="29" spans="1:31" x14ac:dyDescent="0.25">
      <c r="A29" s="7" t="s">
        <v>75</v>
      </c>
      <c r="B29" s="7">
        <v>-4.6132328669372669E-3</v>
      </c>
      <c r="C29" s="7">
        <v>5.6191006719858279E-2</v>
      </c>
      <c r="D29" s="7">
        <v>-8.2099131804786105E-2</v>
      </c>
      <c r="E29" s="7">
        <v>0.93851196251841018</v>
      </c>
      <c r="F29" s="7">
        <v>-0.1606244784304241</v>
      </c>
      <c r="G29" s="7">
        <v>0.15139801269654957</v>
      </c>
      <c r="H29" s="7">
        <v>-0.1606244784304241</v>
      </c>
      <c r="I29" s="7">
        <v>0.15139801269654957</v>
      </c>
      <c r="J29" s="12"/>
      <c r="K29" s="7" t="s">
        <v>75</v>
      </c>
      <c r="L29" s="7">
        <v>3.9807734204714507E-2</v>
      </c>
      <c r="M29" s="7">
        <v>0.47450311588138688</v>
      </c>
      <c r="N29" s="7">
        <v>8.3893514862956931E-2</v>
      </c>
      <c r="O29" s="7">
        <v>0.93717195197245085</v>
      </c>
      <c r="P29" s="7">
        <v>-1.2776241192852635</v>
      </c>
      <c r="Q29" s="7">
        <v>1.3572395876946926</v>
      </c>
      <c r="R29" s="7">
        <v>-1.2776241192852635</v>
      </c>
      <c r="S29" s="7">
        <v>1.3572395876946926</v>
      </c>
      <c r="T29" s="25"/>
      <c r="U29" s="25"/>
      <c r="V29" s="13"/>
      <c r="W29" s="13"/>
      <c r="X29" s="13"/>
      <c r="Y29" s="13"/>
      <c r="Z29" s="13"/>
      <c r="AA29" s="13"/>
      <c r="AB29" s="13"/>
      <c r="AC29" s="13"/>
      <c r="AD29" s="13"/>
      <c r="AE29" s="25"/>
    </row>
    <row r="30" spans="1:31" ht="15.75" customHeight="1" thickBot="1" x14ac:dyDescent="0.3">
      <c r="A30" s="9" t="s">
        <v>76</v>
      </c>
      <c r="B30" s="9">
        <v>0.11841616277426437</v>
      </c>
      <c r="C30" s="9">
        <v>9.9946793173107741E-5</v>
      </c>
      <c r="D30" s="9">
        <v>1184.792017980684</v>
      </c>
      <c r="E30" s="9">
        <v>3.0449538110703924E-12</v>
      </c>
      <c r="F30" s="9">
        <v>0.11813866598957867</v>
      </c>
      <c r="G30" s="9">
        <v>0.11869365955895006</v>
      </c>
      <c r="H30" s="9">
        <v>0.11813866598957867</v>
      </c>
      <c r="I30" s="9">
        <v>0.11869365955895006</v>
      </c>
      <c r="J30" s="12"/>
      <c r="K30" s="9" t="s">
        <v>76</v>
      </c>
      <c r="L30" s="9">
        <v>8.4447690841653227</v>
      </c>
      <c r="M30" s="9">
        <v>7.1276384006686089E-3</v>
      </c>
      <c r="N30" s="9">
        <v>1184.7920179807606</v>
      </c>
      <c r="O30" s="9">
        <v>3.0449538110696028E-12</v>
      </c>
      <c r="P30" s="9">
        <v>8.4249795874161659</v>
      </c>
      <c r="Q30" s="9">
        <v>8.4645585809144794</v>
      </c>
      <c r="R30" s="9">
        <v>8.4249795874161659</v>
      </c>
      <c r="S30" s="9">
        <v>8.4645585809144794</v>
      </c>
      <c r="T30" s="25"/>
      <c r="U30" s="25"/>
      <c r="V30" s="7"/>
      <c r="W30" s="7"/>
      <c r="X30" s="7"/>
      <c r="Y30" s="7"/>
      <c r="Z30" s="7"/>
      <c r="AA30" s="7"/>
      <c r="AB30" s="7"/>
      <c r="AC30" s="7"/>
      <c r="AD30" s="7"/>
      <c r="AE30" s="25"/>
    </row>
    <row r="31" spans="1:31" x14ac:dyDescent="0.25">
      <c r="A31"/>
      <c r="B31"/>
      <c r="C31"/>
      <c r="D31"/>
      <c r="E31"/>
      <c r="F31"/>
      <c r="G31"/>
      <c r="H31"/>
      <c r="I31"/>
      <c r="J31" s="24"/>
      <c r="T31" s="13"/>
      <c r="U31" s="25"/>
      <c r="V31" s="7"/>
      <c r="W31" s="7"/>
      <c r="X31" s="7"/>
      <c r="Y31" s="7"/>
      <c r="Z31" s="7"/>
      <c r="AA31" s="7"/>
      <c r="AB31" s="7"/>
      <c r="AC31" s="7"/>
      <c r="AD31" s="7"/>
      <c r="AE31" s="25"/>
    </row>
    <row r="32" spans="1:31" x14ac:dyDescent="0.25">
      <c r="A32"/>
      <c r="B32"/>
      <c r="C32"/>
      <c r="D32"/>
      <c r="E32"/>
      <c r="F32"/>
      <c r="G32"/>
      <c r="H32"/>
      <c r="I32"/>
      <c r="J32" s="24"/>
      <c r="T32" s="7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</row>
    <row r="33" spans="1:31" x14ac:dyDescent="0.25">
      <c r="A33"/>
      <c r="B33"/>
      <c r="C33"/>
      <c r="D33"/>
      <c r="E33"/>
      <c r="F33"/>
      <c r="G33"/>
      <c r="H33"/>
      <c r="I33"/>
      <c r="J33" s="24"/>
      <c r="T33" s="7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</row>
    <row r="34" spans="1:31" x14ac:dyDescent="0.25">
      <c r="A34" t="s">
        <v>77</v>
      </c>
      <c r="B34"/>
      <c r="C34"/>
      <c r="D34"/>
      <c r="E34"/>
      <c r="F34"/>
      <c r="G34"/>
      <c r="H34"/>
      <c r="I34"/>
      <c r="J34" s="24"/>
      <c r="K34" t="s">
        <v>77</v>
      </c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</row>
    <row r="35" spans="1:31" ht="15.75" thickBot="1" x14ac:dyDescent="0.3">
      <c r="A35"/>
      <c r="B35"/>
      <c r="C35"/>
      <c r="D35"/>
      <c r="E35"/>
      <c r="F35"/>
      <c r="G35"/>
      <c r="H35"/>
      <c r="I35"/>
      <c r="J35" s="24"/>
      <c r="T35" s="25"/>
      <c r="U35" s="25"/>
      <c r="V35" s="25"/>
      <c r="W35" s="25"/>
      <c r="X35" s="25"/>
      <c r="Y35" s="25"/>
      <c r="Z35" s="25"/>
      <c r="AA35" s="25"/>
      <c r="AB35" s="25"/>
      <c r="AC35" s="25"/>
      <c r="AD35" s="25"/>
      <c r="AE35" s="25"/>
    </row>
    <row r="36" spans="1:31" x14ac:dyDescent="0.25">
      <c r="A36" s="10" t="s">
        <v>78</v>
      </c>
      <c r="B36" s="10" t="s">
        <v>79</v>
      </c>
      <c r="C36" s="10" t="s">
        <v>80</v>
      </c>
      <c r="D36"/>
      <c r="E36"/>
      <c r="F36"/>
      <c r="G36"/>
      <c r="H36"/>
      <c r="I36"/>
      <c r="J36" s="24"/>
      <c r="K36" s="10" t="s">
        <v>78</v>
      </c>
      <c r="L36" s="10" t="s">
        <v>79</v>
      </c>
      <c r="M36" s="10" t="s">
        <v>80</v>
      </c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5"/>
      <c r="AE36" s="25"/>
    </row>
    <row r="37" spans="1:31" x14ac:dyDescent="0.25">
      <c r="A37" s="7">
        <v>1</v>
      </c>
      <c r="B37" s="7">
        <v>0.41681673309525025</v>
      </c>
      <c r="C37" s="7">
        <v>-9.8616733095250264E-2</v>
      </c>
      <c r="D37"/>
      <c r="E37"/>
      <c r="F37"/>
      <c r="G37"/>
      <c r="H37"/>
      <c r="I37"/>
      <c r="J37" s="24"/>
      <c r="K37" s="7">
        <v>1</v>
      </c>
      <c r="L37" s="7">
        <v>2.7269332567861202</v>
      </c>
      <c r="M37" s="7">
        <v>0.83195563210276857</v>
      </c>
      <c r="T37" s="25"/>
      <c r="U37" s="25"/>
      <c r="V37" s="13"/>
      <c r="W37" s="13"/>
      <c r="X37" s="13"/>
      <c r="Y37" s="25"/>
      <c r="Z37" s="25"/>
      <c r="AA37" s="25"/>
      <c r="AB37" s="25"/>
      <c r="AC37" s="25"/>
      <c r="AD37" s="25"/>
      <c r="AE37" s="25"/>
    </row>
    <row r="38" spans="1:31" x14ac:dyDescent="0.25">
      <c r="A38" s="7">
        <v>2</v>
      </c>
      <c r="B38" s="7">
        <v>1.6756463301427775</v>
      </c>
      <c r="C38" s="7">
        <v>-8.4646330142777559E-2</v>
      </c>
      <c r="D38"/>
      <c r="E38"/>
      <c r="F38"/>
      <c r="G38"/>
      <c r="H38"/>
      <c r="I38"/>
      <c r="J38" s="24"/>
      <c r="K38" s="7">
        <v>2</v>
      </c>
      <c r="L38" s="7">
        <v>13.475435347111743</v>
      </c>
      <c r="M38" s="7">
        <v>0.71400909733270268</v>
      </c>
      <c r="T38" s="25"/>
      <c r="U38" s="25"/>
      <c r="V38" s="7"/>
      <c r="W38" s="7"/>
      <c r="X38" s="7"/>
      <c r="Y38" s="25"/>
      <c r="Z38" s="25"/>
      <c r="AA38" s="25"/>
      <c r="AB38" s="25"/>
      <c r="AC38" s="25"/>
      <c r="AD38" s="25"/>
      <c r="AE38" s="25"/>
    </row>
    <row r="39" spans="1:31" x14ac:dyDescent="0.25">
      <c r="A39" s="7">
        <v>3</v>
      </c>
      <c r="B39" s="7">
        <v>3.2236087246307998</v>
      </c>
      <c r="C39" s="7">
        <v>-4.1608724630799898E-2</v>
      </c>
      <c r="D39"/>
      <c r="E39"/>
      <c r="F39"/>
      <c r="G39"/>
      <c r="H39"/>
      <c r="I39"/>
      <c r="J39" s="24"/>
      <c r="K39" s="7">
        <v>3</v>
      </c>
      <c r="L39" s="7">
        <v>26.911062960018771</v>
      </c>
      <c r="M39" s="7">
        <v>0.35060370664789531</v>
      </c>
      <c r="T39" s="25"/>
      <c r="U39" s="25"/>
      <c r="V39" s="7"/>
      <c r="W39" s="7"/>
      <c r="X39" s="7"/>
      <c r="Y39" s="25"/>
      <c r="Z39" s="25"/>
      <c r="AA39" s="25"/>
      <c r="AB39" s="25"/>
      <c r="AC39" s="25"/>
      <c r="AD39" s="25"/>
      <c r="AE39" s="25"/>
    </row>
    <row r="40" spans="1:31" x14ac:dyDescent="0.25">
      <c r="A40" s="7">
        <v>4</v>
      </c>
      <c r="B40" s="7">
        <v>15.781905933869924</v>
      </c>
      <c r="C40" s="7">
        <v>0.12809406613007646</v>
      </c>
      <c r="D40"/>
      <c r="E40"/>
      <c r="F40"/>
      <c r="G40"/>
      <c r="H40"/>
      <c r="I40"/>
      <c r="J40" s="24"/>
      <c r="K40" s="7">
        <v>4</v>
      </c>
      <c r="L40" s="7">
        <v>134.39608386327501</v>
      </c>
      <c r="M40" s="7">
        <v>-1.0821949743861126</v>
      </c>
      <c r="T40" s="25"/>
      <c r="U40" s="25"/>
      <c r="V40" s="7"/>
      <c r="W40" s="7"/>
      <c r="X40" s="7"/>
      <c r="Y40" s="25"/>
      <c r="Z40" s="25"/>
      <c r="AA40" s="25"/>
      <c r="AB40" s="25"/>
      <c r="AC40" s="25"/>
      <c r="AD40" s="25"/>
      <c r="AE40" s="25"/>
    </row>
    <row r="41" spans="1:31" x14ac:dyDescent="0.25">
      <c r="A41" s="7">
        <v>5</v>
      </c>
      <c r="B41" s="7">
        <v>31.685788675267496</v>
      </c>
      <c r="C41" s="7">
        <v>0.13421132473250452</v>
      </c>
      <c r="D41"/>
      <c r="E41"/>
      <c r="F41"/>
      <c r="G41"/>
      <c r="H41"/>
      <c r="I41"/>
      <c r="J41" s="24"/>
      <c r="K41" s="7">
        <v>5</v>
      </c>
      <c r="L41" s="7">
        <v>268.7523599923453</v>
      </c>
      <c r="M41" s="7">
        <v>-1.1334711034564293</v>
      </c>
      <c r="T41" s="25"/>
      <c r="U41" s="25"/>
      <c r="V41" s="7"/>
      <c r="W41" s="7"/>
      <c r="X41" s="7"/>
      <c r="Y41" s="25"/>
      <c r="Z41" s="25"/>
      <c r="AA41" s="25"/>
      <c r="AB41" s="25"/>
      <c r="AC41" s="25"/>
      <c r="AD41" s="25"/>
      <c r="AE41" s="25"/>
    </row>
    <row r="42" spans="1:31" ht="15.75" customHeight="1" thickBot="1" x14ac:dyDescent="0.3">
      <c r="A42" s="9">
        <v>6</v>
      </c>
      <c r="B42" s="9">
        <v>159.1374336029937</v>
      </c>
      <c r="C42" s="9">
        <v>-3.7433602993701243E-2</v>
      </c>
      <c r="D42"/>
      <c r="E42"/>
      <c r="F42"/>
      <c r="G42"/>
      <c r="H42"/>
      <c r="I42"/>
      <c r="J42" s="24"/>
      <c r="K42" s="9">
        <v>6</v>
      </c>
      <c r="L42" s="9">
        <v>1343.6025690249076</v>
      </c>
      <c r="M42" s="9">
        <v>0.31909764175907185</v>
      </c>
      <c r="T42" s="25"/>
      <c r="U42" s="25"/>
      <c r="V42" s="7"/>
      <c r="W42" s="7"/>
      <c r="X42" s="7"/>
      <c r="Y42" s="25"/>
      <c r="Z42" s="25"/>
      <c r="AA42" s="25"/>
      <c r="AB42" s="25"/>
      <c r="AC42" s="25"/>
      <c r="AD42" s="25"/>
      <c r="AE42" s="25"/>
    </row>
    <row r="43" spans="1:31" ht="15.75" customHeight="1" x14ac:dyDescent="0.25">
      <c r="A43" s="12"/>
      <c r="B43" s="12"/>
      <c r="C43" s="12"/>
      <c r="J43" s="24"/>
      <c r="K43" s="7"/>
      <c r="L43" s="7"/>
      <c r="M43" s="7"/>
      <c r="N43" s="7"/>
      <c r="O43" s="25"/>
      <c r="P43" s="25"/>
      <c r="Q43" s="25"/>
      <c r="R43" s="25"/>
      <c r="S43" s="25"/>
      <c r="T43" s="25"/>
      <c r="U43" s="25"/>
      <c r="V43" s="7"/>
      <c r="W43" s="7"/>
      <c r="X43" s="7"/>
      <c r="Y43" s="25"/>
      <c r="Z43" s="25"/>
      <c r="AA43" s="25"/>
      <c r="AB43" s="25"/>
      <c r="AC43" s="25"/>
      <c r="AD43" s="25"/>
      <c r="AE43" s="25"/>
    </row>
    <row r="44" spans="1:31" s="23" customFormat="1" x14ac:dyDescent="0.25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26"/>
      <c r="L44" s="26"/>
      <c r="M44" s="26"/>
      <c r="N44" s="26"/>
      <c r="V44" s="26"/>
      <c r="W44" s="26"/>
      <c r="X44" s="26"/>
    </row>
    <row r="45" spans="1:31" x14ac:dyDescent="0.25">
      <c r="A45" s="14" t="s">
        <v>81</v>
      </c>
      <c r="J45" s="24"/>
      <c r="K45" s="7"/>
      <c r="L45" s="7"/>
      <c r="M45" s="7"/>
      <c r="N45" s="7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25"/>
      <c r="AE45" s="25"/>
    </row>
    <row r="46" spans="1:31" x14ac:dyDescent="0.25">
      <c r="A46" t="s">
        <v>52</v>
      </c>
      <c r="B46"/>
      <c r="C46"/>
      <c r="D46"/>
      <c r="E46"/>
      <c r="F46"/>
      <c r="G46"/>
      <c r="H46"/>
      <c r="I46"/>
      <c r="J46" s="24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25"/>
      <c r="AD46" s="25"/>
      <c r="AE46" s="25"/>
    </row>
    <row r="47" spans="1:31" ht="15.75" thickBot="1" x14ac:dyDescent="0.3">
      <c r="A47"/>
      <c r="B47"/>
      <c r="C47"/>
      <c r="D47"/>
      <c r="E47"/>
      <c r="F47"/>
      <c r="G47"/>
      <c r="H47"/>
      <c r="I47"/>
      <c r="J47" s="24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</row>
    <row r="48" spans="1:31" x14ac:dyDescent="0.25">
      <c r="A48" s="6" t="s">
        <v>53</v>
      </c>
      <c r="B48" s="6"/>
      <c r="C48"/>
      <c r="D48"/>
      <c r="E48"/>
      <c r="F48"/>
      <c r="G48"/>
      <c r="H48"/>
      <c r="I48"/>
      <c r="J48" s="24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25"/>
      <c r="AD48" s="25"/>
      <c r="AE48" s="25"/>
    </row>
    <row r="49" spans="1:31" x14ac:dyDescent="0.25">
      <c r="A49" s="7" t="s">
        <v>54</v>
      </c>
      <c r="B49" s="7">
        <v>0.99924092193949743</v>
      </c>
      <c r="C49"/>
      <c r="D49"/>
      <c r="E49"/>
      <c r="F49"/>
      <c r="G49"/>
      <c r="H49"/>
      <c r="I49"/>
      <c r="J49" s="24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5"/>
      <c r="AE49" s="25"/>
    </row>
    <row r="50" spans="1:31" x14ac:dyDescent="0.25">
      <c r="A50" s="7" t="s">
        <v>55</v>
      </c>
      <c r="B50" s="7">
        <v>0.99848242007849675</v>
      </c>
      <c r="C50"/>
      <c r="D50"/>
      <c r="E50"/>
      <c r="F50"/>
      <c r="G50"/>
      <c r="H50"/>
      <c r="I50"/>
      <c r="J50" s="24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  <c r="AD50" s="25"/>
      <c r="AE50" s="25"/>
    </row>
    <row r="51" spans="1:31" x14ac:dyDescent="0.25">
      <c r="A51" s="7" t="s">
        <v>56</v>
      </c>
      <c r="B51" s="7">
        <v>0.99810302509812088</v>
      </c>
      <c r="C51"/>
      <c r="D51"/>
      <c r="E51"/>
      <c r="F51"/>
      <c r="G51"/>
      <c r="H51"/>
      <c r="I51"/>
      <c r="J51" s="24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5"/>
    </row>
    <row r="52" spans="1:31" x14ac:dyDescent="0.25">
      <c r="A52" s="7" t="s">
        <v>57</v>
      </c>
      <c r="B52" s="7">
        <v>2.6923524740569098</v>
      </c>
      <c r="C52"/>
      <c r="D52"/>
      <c r="E52"/>
      <c r="F52"/>
      <c r="G52"/>
      <c r="H52"/>
      <c r="I52"/>
      <c r="J52" s="24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  <c r="AE52" s="25"/>
    </row>
    <row r="53" spans="1:31" ht="15.75" customHeight="1" thickBot="1" x14ac:dyDescent="0.3">
      <c r="A53" s="9" t="s">
        <v>58</v>
      </c>
      <c r="B53" s="9">
        <v>6</v>
      </c>
      <c r="C53"/>
      <c r="D53"/>
      <c r="E53"/>
      <c r="F53"/>
      <c r="G53"/>
      <c r="H53"/>
      <c r="I53"/>
      <c r="J53" s="24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</row>
    <row r="54" spans="1:31" x14ac:dyDescent="0.25">
      <c r="A54"/>
      <c r="B54"/>
      <c r="C54"/>
      <c r="D54"/>
      <c r="E54"/>
      <c r="F54"/>
      <c r="G54"/>
      <c r="H54"/>
      <c r="I54"/>
      <c r="J54" s="24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25"/>
      <c r="AE54" s="25"/>
    </row>
    <row r="55" spans="1:31" ht="15.75" customHeight="1" thickBot="1" x14ac:dyDescent="0.3">
      <c r="A55" t="s">
        <v>59</v>
      </c>
      <c r="B55"/>
      <c r="C55"/>
      <c r="D55"/>
      <c r="E55"/>
      <c r="F55"/>
      <c r="G55"/>
      <c r="H55"/>
      <c r="I55"/>
      <c r="J55" s="24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25"/>
      <c r="AE55" s="25"/>
    </row>
    <row r="56" spans="1:31" x14ac:dyDescent="0.25">
      <c r="A56" s="10"/>
      <c r="B56" s="10" t="s">
        <v>60</v>
      </c>
      <c r="C56" s="10" t="s">
        <v>61</v>
      </c>
      <c r="D56" s="10" t="s">
        <v>62</v>
      </c>
      <c r="E56" s="10" t="s">
        <v>63</v>
      </c>
      <c r="F56" s="10" t="s">
        <v>64</v>
      </c>
      <c r="G56"/>
      <c r="H56"/>
      <c r="I56"/>
      <c r="J56" s="24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</row>
    <row r="57" spans="1:31" x14ac:dyDescent="0.25">
      <c r="A57" s="7" t="s">
        <v>65</v>
      </c>
      <c r="B57" s="7">
        <v>1</v>
      </c>
      <c r="C57" s="7">
        <v>19077.113940621759</v>
      </c>
      <c r="D57" s="7">
        <v>19077.113940621759</v>
      </c>
      <c r="E57" s="7">
        <v>2631.7755155575519</v>
      </c>
      <c r="F57" s="7">
        <v>8.6408056270436361E-7</v>
      </c>
      <c r="G57"/>
      <c r="H57"/>
      <c r="I57"/>
      <c r="J57" s="24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</row>
    <row r="58" spans="1:31" x14ac:dyDescent="0.25">
      <c r="A58" s="7" t="s">
        <v>66</v>
      </c>
      <c r="B58" s="7">
        <v>4</v>
      </c>
      <c r="C58" s="7">
        <v>28.995047378241452</v>
      </c>
      <c r="D58" s="7">
        <v>7.248761844560363</v>
      </c>
      <c r="E58" s="7"/>
      <c r="F58" s="7"/>
      <c r="G58"/>
      <c r="H58"/>
      <c r="I58"/>
      <c r="J58" s="24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</row>
    <row r="59" spans="1:31" ht="15.75" customHeight="1" thickBot="1" x14ac:dyDescent="0.3">
      <c r="A59" s="9" t="s">
        <v>67</v>
      </c>
      <c r="B59" s="9">
        <v>5</v>
      </c>
      <c r="C59" s="9">
        <v>19106.108988</v>
      </c>
      <c r="D59" s="9"/>
      <c r="E59" s="9"/>
      <c r="F59" s="9"/>
      <c r="G59"/>
      <c r="H59"/>
      <c r="I59"/>
      <c r="J59" s="24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</row>
    <row r="60" spans="1:31" ht="15.75" thickBot="1" x14ac:dyDescent="0.3">
      <c r="A60"/>
      <c r="B60"/>
      <c r="C60"/>
      <c r="D60"/>
      <c r="E60"/>
      <c r="F60"/>
      <c r="G60"/>
      <c r="H60"/>
      <c r="I60"/>
      <c r="J60" s="24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</row>
    <row r="61" spans="1:31" x14ac:dyDescent="0.25">
      <c r="A61" s="10"/>
      <c r="B61" s="10" t="s">
        <v>68</v>
      </c>
      <c r="C61" s="10" t="s">
        <v>57</v>
      </c>
      <c r="D61" s="10" t="s">
        <v>69</v>
      </c>
      <c r="E61" s="10" t="s">
        <v>70</v>
      </c>
      <c r="F61" s="10" t="s">
        <v>71</v>
      </c>
      <c r="G61" s="10" t="s">
        <v>72</v>
      </c>
      <c r="H61" s="10" t="s">
        <v>73</v>
      </c>
      <c r="I61" s="10" t="s">
        <v>74</v>
      </c>
      <c r="J61" s="11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</row>
    <row r="62" spans="1:31" x14ac:dyDescent="0.25">
      <c r="A62" s="7" t="s">
        <v>75</v>
      </c>
      <c r="B62" s="7">
        <v>-3.166878676942801</v>
      </c>
      <c r="C62" s="7">
        <v>1.3307749314427235</v>
      </c>
      <c r="D62" s="7">
        <v>-2.3797252278486458</v>
      </c>
      <c r="E62" s="7">
        <v>7.6011981534629777E-2</v>
      </c>
      <c r="F62" s="7">
        <v>-6.8617022214668797</v>
      </c>
      <c r="G62" s="7">
        <v>0.52794486758127768</v>
      </c>
      <c r="H62" s="7">
        <v>-6.8617022214668797</v>
      </c>
      <c r="I62" s="7">
        <v>0.52794486758127768</v>
      </c>
      <c r="J62" s="12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</row>
    <row r="63" spans="1:31" ht="15.75" customHeight="1" thickBot="1" x14ac:dyDescent="0.3">
      <c r="A63" s="9" t="s">
        <v>76</v>
      </c>
      <c r="B63" s="9">
        <v>412.62678762399031</v>
      </c>
      <c r="C63" s="9">
        <v>8.0432764859340793</v>
      </c>
      <c r="D63" s="9">
        <v>51.300833478195578</v>
      </c>
      <c r="E63" s="9">
        <v>8.6408056270436361E-7</v>
      </c>
      <c r="F63" s="9">
        <v>390.29507199486613</v>
      </c>
      <c r="G63" s="9">
        <v>434.95850325311449</v>
      </c>
      <c r="H63" s="9">
        <v>390.29507199486613</v>
      </c>
      <c r="I63" s="9">
        <v>434.95850325311449</v>
      </c>
      <c r="J63" s="12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</row>
    <row r="64" spans="1:31" x14ac:dyDescent="0.25">
      <c r="A64"/>
      <c r="B64"/>
      <c r="C64"/>
      <c r="D64"/>
      <c r="E64"/>
      <c r="F64"/>
      <c r="G64"/>
      <c r="H64"/>
      <c r="I64"/>
      <c r="J64" s="24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</row>
    <row r="65" spans="1:31" x14ac:dyDescent="0.25">
      <c r="A65"/>
      <c r="B65"/>
      <c r="C65"/>
      <c r="D65"/>
      <c r="E65"/>
      <c r="F65"/>
      <c r="G65"/>
      <c r="H65"/>
      <c r="I65"/>
      <c r="J65" s="24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</row>
    <row r="66" spans="1:31" x14ac:dyDescent="0.25">
      <c r="A66"/>
      <c r="B66"/>
      <c r="C66"/>
      <c r="D66"/>
      <c r="E66"/>
      <c r="F66"/>
      <c r="G66"/>
      <c r="H66"/>
      <c r="I66"/>
      <c r="J66" s="24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</row>
    <row r="67" spans="1:31" x14ac:dyDescent="0.25">
      <c r="A67" t="s">
        <v>77</v>
      </c>
      <c r="B67"/>
      <c r="C67"/>
      <c r="D67"/>
      <c r="E67"/>
      <c r="F67"/>
      <c r="G67"/>
      <c r="H67"/>
      <c r="I67"/>
      <c r="J67" s="24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</row>
    <row r="68" spans="1:31" ht="15.75" thickBot="1" x14ac:dyDescent="0.3">
      <c r="A68"/>
      <c r="B68"/>
      <c r="C68"/>
      <c r="D68"/>
      <c r="E68"/>
      <c r="F68"/>
      <c r="G68"/>
      <c r="H68"/>
      <c r="I68"/>
      <c r="J68" s="24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</row>
    <row r="69" spans="1:31" x14ac:dyDescent="0.25">
      <c r="A69" s="10" t="s">
        <v>78</v>
      </c>
      <c r="B69" s="10" t="s">
        <v>79</v>
      </c>
      <c r="C69" s="10" t="s">
        <v>80</v>
      </c>
      <c r="D69"/>
      <c r="E69"/>
      <c r="F69"/>
      <c r="G69"/>
      <c r="H69"/>
      <c r="I69"/>
      <c r="J69" s="24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</row>
    <row r="70" spans="1:31" x14ac:dyDescent="0.25">
      <c r="A70" s="7">
        <v>1</v>
      </c>
      <c r="B70" s="7">
        <v>-1.7375179093564292</v>
      </c>
      <c r="C70" s="7">
        <v>2.0557179093564293</v>
      </c>
      <c r="D70"/>
      <c r="E70"/>
      <c r="F70"/>
      <c r="G70"/>
      <c r="H70"/>
      <c r="I70"/>
      <c r="J70" s="24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</row>
    <row r="71" spans="1:31" x14ac:dyDescent="0.25">
      <c r="A71" s="7">
        <v>2</v>
      </c>
      <c r="B71" s="7">
        <v>0.12652001269851265</v>
      </c>
      <c r="C71" s="7">
        <v>1.4644799873014873</v>
      </c>
      <c r="D71"/>
      <c r="E71"/>
      <c r="F71"/>
      <c r="G71"/>
      <c r="H71"/>
      <c r="I71"/>
      <c r="J71" s="24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</row>
    <row r="72" spans="1:31" x14ac:dyDescent="0.25">
      <c r="A72" s="7">
        <v>3</v>
      </c>
      <c r="B72" s="7">
        <v>2.0339381254012432</v>
      </c>
      <c r="C72" s="7">
        <v>1.1480618745987567</v>
      </c>
      <c r="D72"/>
      <c r="E72"/>
      <c r="F72"/>
      <c r="G72"/>
      <c r="H72"/>
      <c r="I72"/>
    </row>
    <row r="73" spans="1:31" x14ac:dyDescent="0.25">
      <c r="A73" s="7">
        <v>4</v>
      </c>
      <c r="B73" s="7">
        <v>17.555200391349953</v>
      </c>
      <c r="C73" s="7">
        <v>-1.6452003913499524</v>
      </c>
      <c r="D73"/>
      <c r="E73"/>
      <c r="F73"/>
      <c r="G73"/>
      <c r="H73"/>
      <c r="I73"/>
    </row>
    <row r="74" spans="1:31" x14ac:dyDescent="0.25">
      <c r="A74" s="7">
        <v>5</v>
      </c>
      <c r="B74" s="7">
        <v>35.9801326442823</v>
      </c>
      <c r="C74" s="7">
        <v>-4.1601326442822995</v>
      </c>
      <c r="D74"/>
      <c r="E74"/>
      <c r="F74"/>
      <c r="G74"/>
      <c r="H74"/>
      <c r="I74"/>
    </row>
    <row r="75" spans="1:31" ht="15.75" customHeight="1" thickBot="1" x14ac:dyDescent="0.3">
      <c r="A75" s="9">
        <v>6</v>
      </c>
      <c r="B75" s="9">
        <v>157.96292673562442</v>
      </c>
      <c r="C75" s="9">
        <v>1.137073264375573</v>
      </c>
      <c r="D75"/>
      <c r="E75"/>
      <c r="F75"/>
      <c r="G75"/>
      <c r="H75"/>
      <c r="I75"/>
    </row>
    <row r="76" spans="1:31" x14ac:dyDescent="0.25">
      <c r="E76"/>
      <c r="F76"/>
      <c r="G76"/>
      <c r="H76"/>
      <c r="I76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N16" sqref="N16"/>
    </sheetView>
  </sheetViews>
  <sheetFormatPr defaultRowHeight="15" x14ac:dyDescent="0.25"/>
  <cols>
    <col min="1" max="1" width="14.85546875" bestFit="1" customWidth="1"/>
    <col min="6" max="6" width="12.7109375" bestFit="1" customWidth="1"/>
  </cols>
  <sheetData>
    <row r="1" spans="1:6" x14ac:dyDescent="0.25">
      <c r="A1" t="s">
        <v>14</v>
      </c>
      <c r="B1" t="s">
        <v>15</v>
      </c>
      <c r="C1" t="s">
        <v>16</v>
      </c>
      <c r="D1" t="s">
        <v>11</v>
      </c>
      <c r="E1" t="s">
        <v>17</v>
      </c>
      <c r="F1" t="s">
        <v>18</v>
      </c>
    </row>
    <row r="2" spans="1:6" x14ac:dyDescent="0.25">
      <c r="A2" s="18"/>
    </row>
    <row r="3" spans="1:6" x14ac:dyDescent="0.25">
      <c r="A3" s="18"/>
    </row>
    <row r="4" spans="1:6" x14ac:dyDescent="0.25">
      <c r="A4" s="18"/>
    </row>
    <row r="5" spans="1:6" x14ac:dyDescent="0.25">
      <c r="A5" s="18"/>
    </row>
    <row r="6" spans="1:6" x14ac:dyDescent="0.25">
      <c r="A6" s="18"/>
    </row>
    <row r="7" spans="1:6" x14ac:dyDescent="0.25">
      <c r="A7" s="18"/>
    </row>
    <row r="8" spans="1:6" x14ac:dyDescent="0.25">
      <c r="A8" s="18"/>
    </row>
    <row r="9" spans="1:6" x14ac:dyDescent="0.25">
      <c r="A9" s="18"/>
    </row>
    <row r="10" spans="1:6" x14ac:dyDescent="0.25">
      <c r="A10" s="18"/>
    </row>
    <row r="11" spans="1:6" x14ac:dyDescent="0.25">
      <c r="A11" s="18"/>
    </row>
    <row r="12" spans="1:6" x14ac:dyDescent="0.25">
      <c r="A12" s="18"/>
    </row>
    <row r="13" spans="1:6" x14ac:dyDescent="0.25">
      <c r="A13" s="18"/>
    </row>
    <row r="14" spans="1:6" x14ac:dyDescent="0.25">
      <c r="A14" s="18"/>
    </row>
    <row r="15" spans="1:6" x14ac:dyDescent="0.25">
      <c r="A15" s="18"/>
    </row>
    <row r="16" spans="1:6" x14ac:dyDescent="0.25">
      <c r="A16" s="18"/>
    </row>
    <row r="17" spans="1:1" x14ac:dyDescent="0.25">
      <c r="A17" s="18"/>
    </row>
    <row r="18" spans="1:1" x14ac:dyDescent="0.25">
      <c r="A18" s="18"/>
    </row>
    <row r="19" spans="1:1" x14ac:dyDescent="0.25">
      <c r="A19" s="1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workbookViewId="0">
      <selection activeCell="F15" sqref="F15"/>
    </sheetView>
  </sheetViews>
  <sheetFormatPr defaultRowHeight="15" x14ac:dyDescent="0.25"/>
  <cols>
    <col min="1" max="1" width="9.85546875" bestFit="1" customWidth="1"/>
    <col min="2" max="2" width="9.85546875" customWidth="1"/>
    <col min="3" max="4" width="12" bestFit="1" customWidth="1"/>
    <col min="5" max="5" width="18.42578125" bestFit="1" customWidth="1"/>
    <col min="6" max="6" width="11.85546875" bestFit="1" customWidth="1"/>
    <col min="7" max="7" width="54.5703125" bestFit="1" customWidth="1"/>
    <col min="8" max="8" width="20.7109375" bestFit="1" customWidth="1"/>
    <col min="9" max="9" width="30.85546875" bestFit="1" customWidth="1"/>
    <col min="10" max="11" width="30.85546875" customWidth="1"/>
    <col min="12" max="12" width="14.5703125" bestFit="1" customWidth="1"/>
  </cols>
  <sheetData>
    <row r="1" spans="1:12" x14ac:dyDescent="0.25">
      <c r="A1" t="s">
        <v>10</v>
      </c>
      <c r="B1" t="s">
        <v>95</v>
      </c>
      <c r="C1" t="s">
        <v>23</v>
      </c>
      <c r="D1" t="s">
        <v>21</v>
      </c>
      <c r="E1" t="s">
        <v>92</v>
      </c>
      <c r="F1" t="s">
        <v>93</v>
      </c>
      <c r="G1" t="s">
        <v>94</v>
      </c>
      <c r="H1" t="s">
        <v>116</v>
      </c>
      <c r="I1" t="s">
        <v>115</v>
      </c>
      <c r="J1" t="s">
        <v>27</v>
      </c>
      <c r="K1" t="s">
        <v>121</v>
      </c>
      <c r="L1" t="s">
        <v>120</v>
      </c>
    </row>
    <row r="2" spans="1:12" x14ac:dyDescent="0.25">
      <c r="A2" t="s">
        <v>106</v>
      </c>
      <c r="B2" s="15" t="s">
        <v>96</v>
      </c>
      <c r="E2" s="1" t="s">
        <v>110</v>
      </c>
      <c r="F2" s="1">
        <f>26.75*1.07</f>
        <v>28.622500000000002</v>
      </c>
      <c r="G2" s="17">
        <v>1.0249999999999999</v>
      </c>
      <c r="H2" s="17">
        <f>10</f>
        <v>10</v>
      </c>
      <c r="I2" s="17">
        <f>F2/H2*Parameters!$B$3</f>
        <v>286.22500000000002</v>
      </c>
      <c r="J2" s="17">
        <v>0.34799999999999998</v>
      </c>
      <c r="K2" s="17">
        <f>J2*Parameters!$B$6</f>
        <v>206.36399999999998</v>
      </c>
      <c r="L2" s="17">
        <f>(K2-I2)/K2</f>
        <v>-0.38699094803357204</v>
      </c>
    </row>
    <row r="3" spans="1:12" x14ac:dyDescent="0.25">
      <c r="A3" t="s">
        <v>107</v>
      </c>
      <c r="B3" s="15" t="s">
        <v>96</v>
      </c>
      <c r="E3" s="1" t="s">
        <v>110</v>
      </c>
      <c r="F3" s="1">
        <f>27.1*1.07</f>
        <v>28.997000000000003</v>
      </c>
      <c r="G3" s="17">
        <v>1.024</v>
      </c>
      <c r="H3" s="17">
        <f>10</f>
        <v>10</v>
      </c>
      <c r="I3" s="17">
        <f>F3/H3*Parameters!$B$3</f>
        <v>289.97000000000003</v>
      </c>
      <c r="J3" s="17">
        <v>0.34799999999999998</v>
      </c>
      <c r="K3" s="17">
        <f>J3*Parameters!$B$6</f>
        <v>206.36399999999998</v>
      </c>
      <c r="L3" s="17">
        <f>(K3-I3)/K3</f>
        <v>-0.40513849314802997</v>
      </c>
    </row>
    <row r="4" spans="1:12" x14ac:dyDescent="0.25">
      <c r="A4" t="s">
        <v>108</v>
      </c>
      <c r="B4" s="15" t="s">
        <v>96</v>
      </c>
      <c r="E4" s="1" t="s">
        <v>110</v>
      </c>
      <c r="F4" s="1">
        <f>23.42*1.07</f>
        <v>25.059400000000004</v>
      </c>
      <c r="G4" s="17">
        <v>0.97750000000000004</v>
      </c>
      <c r="H4" s="17">
        <f>10</f>
        <v>10</v>
      </c>
      <c r="I4" s="17">
        <f>F4/H4*Parameters!$B$3</f>
        <v>250.59400000000002</v>
      </c>
      <c r="J4" s="17">
        <v>0.34799999999999998</v>
      </c>
      <c r="K4" s="17">
        <f>J4*Parameters!$B$6</f>
        <v>206.36399999999998</v>
      </c>
      <c r="L4" s="17">
        <f>(K4-I4)/K4</f>
        <v>-0.21433001880172922</v>
      </c>
    </row>
    <row r="5" spans="1:12" x14ac:dyDescent="0.25">
      <c r="A5" t="s">
        <v>109</v>
      </c>
      <c r="B5" s="15" t="s">
        <v>96</v>
      </c>
      <c r="E5" s="1" t="s">
        <v>110</v>
      </c>
      <c r="F5" s="1">
        <f>24.43*1.07</f>
        <v>26.1401</v>
      </c>
      <c r="G5" s="17">
        <v>1.0089999999999999</v>
      </c>
      <c r="H5" s="17">
        <f>10</f>
        <v>10</v>
      </c>
      <c r="I5" s="17">
        <f>F5/H5*Parameters!$B$3</f>
        <v>261.40100000000001</v>
      </c>
      <c r="J5" s="17">
        <v>0.34799999999999998</v>
      </c>
      <c r="K5" s="17">
        <f>J5*Parameters!$B$6</f>
        <v>206.36399999999998</v>
      </c>
      <c r="L5" s="17">
        <f>(K5-I5)/K5</f>
        <v>-0.26669864898916495</v>
      </c>
    </row>
    <row r="6" spans="1:12" x14ac:dyDescent="0.25">
      <c r="B6" s="15"/>
      <c r="E6" s="1"/>
      <c r="F6" s="1"/>
      <c r="G6" s="17"/>
      <c r="H6" s="17"/>
    </row>
    <row r="7" spans="1:12" x14ac:dyDescent="0.25">
      <c r="B7" s="15"/>
      <c r="E7" s="1" t="s">
        <v>117</v>
      </c>
      <c r="F7" s="1" t="s">
        <v>29</v>
      </c>
      <c r="G7" s="17" t="s">
        <v>118</v>
      </c>
      <c r="H7" s="17" t="s">
        <v>119</v>
      </c>
      <c r="I7" s="1"/>
    </row>
    <row r="8" spans="1:12" ht="15.75" customHeight="1" x14ac:dyDescent="0.25">
      <c r="B8" s="15"/>
      <c r="E8" t="s">
        <v>106</v>
      </c>
      <c r="F8" s="17">
        <f>I2/100</f>
        <v>2.8622500000000004</v>
      </c>
      <c r="G8" s="17">
        <f>(K2-I2)/50</f>
        <v>-1.597220000000001</v>
      </c>
      <c r="H8" s="17">
        <f>G8/F8</f>
        <v>-0.55802952222901592</v>
      </c>
      <c r="I8" s="17"/>
    </row>
    <row r="9" spans="1:12" x14ac:dyDescent="0.25">
      <c r="B9" s="15"/>
      <c r="E9" t="s">
        <v>107</v>
      </c>
      <c r="F9" s="17">
        <f>I3/100</f>
        <v>2.8997000000000002</v>
      </c>
      <c r="G9" s="17">
        <f>(K3-I3)/50</f>
        <v>-1.6721200000000009</v>
      </c>
      <c r="H9" s="17">
        <f>G9/F9</f>
        <v>-0.57665275718177766</v>
      </c>
      <c r="I9" s="17"/>
    </row>
    <row r="10" spans="1:12" x14ac:dyDescent="0.25">
      <c r="B10" s="15"/>
      <c r="E10" t="s">
        <v>108</v>
      </c>
      <c r="F10" s="17">
        <f>I4/100</f>
        <v>2.5059400000000003</v>
      </c>
      <c r="G10" s="17">
        <f>(K4-I4)/50</f>
        <v>-0.88460000000000094</v>
      </c>
      <c r="H10" s="17">
        <f>G10/F10</f>
        <v>-0.35300126898489226</v>
      </c>
      <c r="I10" s="17"/>
    </row>
    <row r="11" spans="1:12" x14ac:dyDescent="0.25">
      <c r="B11" s="15"/>
      <c r="E11" t="s">
        <v>109</v>
      </c>
      <c r="F11" s="17">
        <f>I5/100</f>
        <v>2.6140099999999999</v>
      </c>
      <c r="G11" s="17">
        <f>(K5-I5)/50</f>
        <v>-1.1007400000000007</v>
      </c>
      <c r="H11" s="17">
        <f>G11/F11</f>
        <v>-0.42109249773336777</v>
      </c>
      <c r="I11" s="17"/>
    </row>
    <row r="12" spans="1:12" x14ac:dyDescent="0.25">
      <c r="B12" s="15"/>
      <c r="E12" s="1"/>
      <c r="F12" s="1"/>
      <c r="G12" s="17"/>
      <c r="H12" s="17"/>
    </row>
    <row r="13" spans="1:12" x14ac:dyDescent="0.25">
      <c r="A13" t="s">
        <v>122</v>
      </c>
      <c r="B13" s="15"/>
      <c r="E13" s="1"/>
      <c r="F13" s="1"/>
      <c r="G13" s="17"/>
      <c r="H13" s="17"/>
    </row>
    <row r="14" spans="1:12" x14ac:dyDescent="0.25">
      <c r="B14" s="15"/>
      <c r="E14" s="1"/>
      <c r="F14" s="1"/>
      <c r="G14" s="17"/>
      <c r="H14" s="17"/>
    </row>
    <row r="15" spans="1:12" x14ac:dyDescent="0.25">
      <c r="B15" s="27"/>
      <c r="E15" s="1"/>
      <c r="F15" s="1"/>
      <c r="G15" s="17"/>
      <c r="H15" s="17"/>
    </row>
    <row r="16" spans="1:12" x14ac:dyDescent="0.25">
      <c r="B16" s="27"/>
      <c r="E16" s="1"/>
      <c r="F16" s="1"/>
      <c r="G16" s="17"/>
      <c r="H16" s="17"/>
    </row>
    <row r="17" spans="1:8" x14ac:dyDescent="0.25">
      <c r="B17" s="27"/>
      <c r="E17" s="1"/>
      <c r="F17" s="1"/>
      <c r="G17" s="17"/>
      <c r="H17" s="17"/>
    </row>
    <row r="18" spans="1:8" x14ac:dyDescent="0.25">
      <c r="B18" s="15"/>
      <c r="E18" s="1"/>
      <c r="F18" s="1"/>
      <c r="G18" s="17"/>
      <c r="H18" s="17"/>
    </row>
    <row r="19" spans="1:8" x14ac:dyDescent="0.25">
      <c r="B19" s="15"/>
      <c r="E19" s="1"/>
      <c r="F19" s="1"/>
      <c r="G19" s="17"/>
      <c r="H19" s="17"/>
    </row>
    <row r="20" spans="1:8" x14ac:dyDescent="0.25">
      <c r="A20" s="15"/>
      <c r="B20" s="16"/>
    </row>
    <row r="21" spans="1:8" x14ac:dyDescent="0.25">
      <c r="A21" s="15"/>
      <c r="B21" s="16"/>
    </row>
    <row r="22" spans="1:8" x14ac:dyDescent="0.25">
      <c r="A22" s="15"/>
      <c r="B22" s="16"/>
    </row>
    <row r="23" spans="1:8" x14ac:dyDescent="0.25">
      <c r="A23" s="15"/>
      <c r="B23" s="16"/>
    </row>
    <row r="24" spans="1:8" x14ac:dyDescent="0.25">
      <c r="A24" s="15"/>
      <c r="B24" s="16"/>
    </row>
    <row r="25" spans="1:8" x14ac:dyDescent="0.25">
      <c r="A25" s="15"/>
      <c r="B25" s="16"/>
    </row>
    <row r="26" spans="1:8" x14ac:dyDescent="0.25">
      <c r="A26" s="15"/>
      <c r="B26" s="16"/>
    </row>
    <row r="27" spans="1:8" x14ac:dyDescent="0.25">
      <c r="A27" s="15"/>
      <c r="B27" s="16"/>
    </row>
    <row r="28" spans="1:8" x14ac:dyDescent="0.25">
      <c r="A28" s="15"/>
      <c r="B28" s="16"/>
    </row>
    <row r="29" spans="1:8" x14ac:dyDescent="0.25">
      <c r="A29" s="15"/>
      <c r="B29" s="16"/>
    </row>
    <row r="30" spans="1:8" x14ac:dyDescent="0.25">
      <c r="A30" s="15"/>
      <c r="B30" s="16"/>
    </row>
    <row r="31" spans="1:8" x14ac:dyDescent="0.25">
      <c r="A31" s="15"/>
      <c r="B31" s="16"/>
    </row>
    <row r="32" spans="1:8" x14ac:dyDescent="0.25">
      <c r="A32" s="15"/>
      <c r="B32" s="16"/>
    </row>
    <row r="33" spans="1:2" x14ac:dyDescent="0.25">
      <c r="A33" s="15"/>
      <c r="B33" s="16"/>
    </row>
    <row r="34" spans="1:2" x14ac:dyDescent="0.25">
      <c r="A34" s="15"/>
      <c r="B34" s="16"/>
    </row>
    <row r="35" spans="1:2" x14ac:dyDescent="0.25">
      <c r="A35" s="15"/>
      <c r="B35" s="16"/>
    </row>
    <row r="36" spans="1:2" x14ac:dyDescent="0.25">
      <c r="A36" s="15"/>
      <c r="B36" s="16"/>
    </row>
    <row r="37" spans="1:2" x14ac:dyDescent="0.25">
      <c r="A37" s="15"/>
      <c r="B37" s="1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5" sqref="G5"/>
    </sheetView>
  </sheetViews>
  <sheetFormatPr defaultRowHeight="15" x14ac:dyDescent="0.25"/>
  <cols>
    <col min="1" max="1" width="9.85546875" bestFit="1" customWidth="1"/>
    <col min="2" max="2" width="24.28515625" bestFit="1" customWidth="1"/>
    <col min="3" max="3" width="16.5703125" bestFit="1" customWidth="1"/>
    <col min="4" max="4" width="8.140625" bestFit="1" customWidth="1"/>
    <col min="5" max="5" width="15.7109375" bestFit="1" customWidth="1"/>
    <col min="6" max="6" width="20.5703125" bestFit="1" customWidth="1"/>
    <col min="7" max="7" width="17.5703125" bestFit="1" customWidth="1"/>
    <col min="8" max="8" width="22.42578125" bestFit="1" customWidth="1"/>
    <col min="9" max="9" width="19.140625" bestFit="1" customWidth="1"/>
    <col min="10" max="10" width="24.42578125" bestFit="1" customWidth="1"/>
    <col min="11" max="11" width="24.7109375" bestFit="1" customWidth="1"/>
    <col min="12" max="12" width="29.85546875" bestFit="1" customWidth="1"/>
    <col min="13" max="13" width="16.28515625" bestFit="1" customWidth="1"/>
    <col min="14" max="14" width="21.140625" bestFit="1" customWidth="1"/>
    <col min="15" max="15" width="24.7109375" bestFit="1" customWidth="1"/>
    <col min="16" max="16" width="29.85546875" bestFit="1" customWidth="1"/>
    <col min="17" max="17" width="11.28515625" bestFit="1" customWidth="1"/>
    <col min="18" max="18" width="12.42578125" bestFit="1" customWidth="1"/>
    <col min="19" max="19" width="16.85546875" bestFit="1" customWidth="1"/>
    <col min="20" max="20" width="18.140625" bestFit="1" customWidth="1"/>
    <col min="21" max="21" width="9" bestFit="1" customWidth="1"/>
    <col min="22" max="22" width="10.140625" bestFit="1" customWidth="1"/>
    <col min="23" max="23" width="13.140625" bestFit="1" customWidth="1"/>
    <col min="24" max="24" width="14.28515625" bestFit="1" customWidth="1"/>
  </cols>
  <sheetData>
    <row r="1" spans="1:23" x14ac:dyDescent="0.25">
      <c r="A1" t="s">
        <v>10</v>
      </c>
      <c r="B1" t="s">
        <v>27</v>
      </c>
      <c r="C1" t="s">
        <v>28</v>
      </c>
      <c r="D1" t="s">
        <v>12</v>
      </c>
      <c r="E1" t="s">
        <v>25</v>
      </c>
      <c r="F1" t="s">
        <v>26</v>
      </c>
      <c r="G1" t="s">
        <v>86</v>
      </c>
      <c r="H1" t="s">
        <v>87</v>
      </c>
      <c r="I1" t="s">
        <v>82</v>
      </c>
      <c r="J1" t="s">
        <v>83</v>
      </c>
      <c r="K1" t="s">
        <v>88</v>
      </c>
      <c r="L1" t="s">
        <v>89</v>
      </c>
      <c r="M1" t="s">
        <v>84</v>
      </c>
      <c r="N1" t="s">
        <v>85</v>
      </c>
      <c r="O1" t="s">
        <v>90</v>
      </c>
      <c r="P1" t="s">
        <v>91</v>
      </c>
      <c r="Q1" t="s">
        <v>29</v>
      </c>
      <c r="R1" t="s">
        <v>30</v>
      </c>
      <c r="S1" t="s">
        <v>33</v>
      </c>
      <c r="T1" t="s">
        <v>34</v>
      </c>
      <c r="U1" t="s">
        <v>31</v>
      </c>
      <c r="V1" t="s">
        <v>32</v>
      </c>
      <c r="W1" t="s">
        <v>100</v>
      </c>
    </row>
    <row r="2" spans="1:23" x14ac:dyDescent="0.25"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23" x14ac:dyDescent="0.25"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23" x14ac:dyDescent="0.25"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23" x14ac:dyDescent="0.25"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23" x14ac:dyDescent="0.25"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23" x14ac:dyDescent="0.25"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23" ht="15.75" customHeight="1" x14ac:dyDescent="0.25"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23" x14ac:dyDescent="0.25"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23" x14ac:dyDescent="0.25"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23" x14ac:dyDescent="0.25"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23" x14ac:dyDescent="0.25"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</row>
    <row r="13" spans="1:23" x14ac:dyDescent="0.25"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23" x14ac:dyDescent="0.25"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23" x14ac:dyDescent="0.25"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</row>
    <row r="16" spans="1:23" x14ac:dyDescent="0.25"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4:12" x14ac:dyDescent="0.25">
      <c r="G17" s="1"/>
      <c r="H17" s="1"/>
      <c r="I17" s="1"/>
      <c r="J17" s="1"/>
      <c r="K17" s="1"/>
      <c r="L17" s="1"/>
    </row>
    <row r="18" spans="4:12" x14ac:dyDescent="0.25">
      <c r="G18" s="1"/>
      <c r="H18" s="1"/>
      <c r="I18" s="1"/>
      <c r="J18" s="1"/>
      <c r="K18" s="1"/>
      <c r="L18" s="1"/>
    </row>
    <row r="19" spans="4:12" x14ac:dyDescent="0.25">
      <c r="D19" s="1"/>
      <c r="F19" s="1"/>
      <c r="G19" s="1"/>
      <c r="H19" s="1"/>
      <c r="I19" s="1"/>
      <c r="J19" s="1"/>
      <c r="K19" s="1"/>
      <c r="L19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tabSelected="1" workbookViewId="0">
      <selection activeCell="J9" sqref="J9"/>
    </sheetView>
  </sheetViews>
  <sheetFormatPr defaultRowHeight="15" x14ac:dyDescent="0.25"/>
  <sheetData>
    <row r="1" spans="1:10" x14ac:dyDescent="0.25">
      <c r="A1" t="s">
        <v>15</v>
      </c>
      <c r="B1" t="s">
        <v>29</v>
      </c>
      <c r="C1" t="s">
        <v>97</v>
      </c>
      <c r="D1" t="s">
        <v>31</v>
      </c>
      <c r="E1" t="s">
        <v>98</v>
      </c>
      <c r="F1" t="s">
        <v>99</v>
      </c>
      <c r="G1" t="s">
        <v>100</v>
      </c>
      <c r="H1" t="s">
        <v>101</v>
      </c>
      <c r="I1" t="s">
        <v>102</v>
      </c>
      <c r="J1" t="s">
        <v>103</v>
      </c>
    </row>
    <row r="2" spans="1:10" x14ac:dyDescent="0.25">
      <c r="A2">
        <v>0</v>
      </c>
      <c r="B2" t="e">
        <f>AVERAGE('Bottle Results'!Q2:Q4)</f>
        <v>#DIV/0!</v>
      </c>
      <c r="C2" t="e">
        <f>_xlfn.STDEV.S('Bottle Results'!Q2:Q4)</f>
        <v>#DIV/0!</v>
      </c>
      <c r="D2" t="e">
        <f>AVERAGE('Bottle Results'!U2:U4)</f>
        <v>#DIV/0!</v>
      </c>
      <c r="E2" t="e">
        <f>_xlfn.STDEV.S('Bottle Results'!U2:U4)</f>
        <v>#DIV/0!</v>
      </c>
      <c r="F2" t="e">
        <f>AVERAGE('Bottle Results'!S2:S4)</f>
        <v>#DIV/0!</v>
      </c>
      <c r="G2" t="e">
        <f>AVERAGE('Bottle Results'!W2:W4)</f>
        <v>#DIV/0!</v>
      </c>
      <c r="I2" t="e">
        <f>AVERAGE('Bottle Results'!D2:D4)</f>
        <v>#DIV/0!</v>
      </c>
      <c r="J2" t="e">
        <f>_xlfn.STDEV.S('Bottle Results'!D2:D4)</f>
        <v>#DIV/0!</v>
      </c>
    </row>
    <row r="3" spans="1:10" x14ac:dyDescent="0.25">
      <c r="A3">
        <v>10</v>
      </c>
      <c r="B3" t="e">
        <f>AVERAGE('Bottle Results'!Q5:Q7)</f>
        <v>#DIV/0!</v>
      </c>
      <c r="C3" t="e">
        <f>_xlfn.STDEV.S('Bottle Results'!Q5:Q7)</f>
        <v>#DIV/0!</v>
      </c>
      <c r="D3" t="e">
        <f>AVERAGE('Bottle Results'!U5:U7)</f>
        <v>#DIV/0!</v>
      </c>
      <c r="E3" t="e">
        <f>_xlfn.STDEV.S('Bottle Results'!U5:U7)</f>
        <v>#DIV/0!</v>
      </c>
      <c r="F3" t="e">
        <f>AVERAGE('Bottle Results'!S5:S7)</f>
        <v>#DIV/0!</v>
      </c>
      <c r="G3" t="e">
        <f>AVERAGE('Bottle Results'!W5:W7)</f>
        <v>#DIV/0!</v>
      </c>
      <c r="H3" t="e">
        <f>_xlfn.STDEV.S('Bottle Results'!W5:W7)</f>
        <v>#DIV/0!</v>
      </c>
      <c r="I3" t="e">
        <f>AVERAGE('Bottle Results'!D5:D7)</f>
        <v>#DIV/0!</v>
      </c>
      <c r="J3" t="e">
        <f>_xlfn.STDEV.S('Bottle Results'!D5:D7)</f>
        <v>#DIV/0!</v>
      </c>
    </row>
    <row r="4" spans="1:10" x14ac:dyDescent="0.25">
      <c r="A4">
        <v>50</v>
      </c>
      <c r="B4" t="e">
        <f>AVERAGE('Bottle Results'!Q8:Q10)</f>
        <v>#DIV/0!</v>
      </c>
      <c r="C4" t="e">
        <f>_xlfn.STDEV.S('Bottle Results'!Q8:Q10)</f>
        <v>#DIV/0!</v>
      </c>
      <c r="D4" t="e">
        <f>AVERAGE('Bottle Results'!U8:U10)</f>
        <v>#DIV/0!</v>
      </c>
      <c r="E4" t="e">
        <f>_xlfn.STDEV.S('Bottle Results'!U8:U10)</f>
        <v>#DIV/0!</v>
      </c>
      <c r="F4" t="e">
        <f>AVERAGE('Bottle Results'!S8:S10)</f>
        <v>#DIV/0!</v>
      </c>
      <c r="G4" t="e">
        <f>AVERAGE('Bottle Results'!W8:W10)</f>
        <v>#DIV/0!</v>
      </c>
      <c r="H4" t="e">
        <f>_xlfn.STDEV.S('Bottle Results'!W8:W10)</f>
        <v>#DIV/0!</v>
      </c>
      <c r="I4" t="e">
        <f>AVERAGE('Bottle Results'!D8:D10)</f>
        <v>#DIV/0!</v>
      </c>
      <c r="J4" t="e">
        <f>_xlfn.STDEV.S('Bottle Results'!D8:D10)</f>
        <v>#DIV/0!</v>
      </c>
    </row>
    <row r="5" spans="1:10" x14ac:dyDescent="0.25">
      <c r="A5">
        <v>100</v>
      </c>
      <c r="B5" t="e">
        <f>AVERAGE('Bottle Results'!Q11:Q13)</f>
        <v>#DIV/0!</v>
      </c>
      <c r="C5" t="e">
        <f>_xlfn.STDEV.S('Bottle Results'!Q11:Q13)</f>
        <v>#DIV/0!</v>
      </c>
      <c r="D5" t="e">
        <f>AVERAGE('Bottle Results'!U11:U13)</f>
        <v>#DIV/0!</v>
      </c>
      <c r="E5" t="e">
        <f>_xlfn.STDEV.S('Bottle Results'!U11:U13)</f>
        <v>#DIV/0!</v>
      </c>
      <c r="F5" t="e">
        <f>AVERAGE('Bottle Results'!S11:S13)</f>
        <v>#DIV/0!</v>
      </c>
      <c r="G5" t="e">
        <f>AVERAGE('Bottle Results'!W11:W13)</f>
        <v>#DIV/0!</v>
      </c>
      <c r="H5" t="e">
        <f>_xlfn.STDEV.S('Bottle Results'!W11:W13)</f>
        <v>#DIV/0!</v>
      </c>
      <c r="I5" t="e">
        <f>AVERAGE('Bottle Results'!D11:D13)</f>
        <v>#DIV/0!</v>
      </c>
      <c r="J5" t="e">
        <f>_xlfn.STDEV.S('Bottle Results'!D3:D11)</f>
        <v>#DIV/0!</v>
      </c>
    </row>
    <row r="6" spans="1:10" x14ac:dyDescent="0.25">
      <c r="A6">
        <v>250</v>
      </c>
      <c r="B6" t="e">
        <f>AVERAGE('Bottle Results'!Q14:Q16)</f>
        <v>#DIV/0!</v>
      </c>
      <c r="C6" t="e">
        <f>_xlfn.STDEV.S('Bottle Results'!Q14:Q16)</f>
        <v>#DIV/0!</v>
      </c>
      <c r="D6" t="e">
        <f>AVERAGE('Bottle Results'!U14:U16)</f>
        <v>#DIV/0!</v>
      </c>
      <c r="E6" t="e">
        <f>_xlfn.STDEV.S('Bottle Results'!U14:U16)</f>
        <v>#DIV/0!</v>
      </c>
      <c r="F6" t="e">
        <f>AVERAGE('Bottle Results'!S14:S16)</f>
        <v>#DIV/0!</v>
      </c>
      <c r="G6" t="e">
        <f>AVERAGE('Bottle Results'!W14:W16)</f>
        <v>#DIV/0!</v>
      </c>
      <c r="H6" t="e">
        <f>_xlfn.STDEV.S('Bottle Results'!W14:W16)</f>
        <v>#DIV/0!</v>
      </c>
      <c r="I6" t="e">
        <f>AVERAGE('Bottle Results'!D14:D16)</f>
        <v>#DIV/0!</v>
      </c>
      <c r="J6" t="e">
        <f>_xlfn.STDEV.S('Bottle Results'!D14:D16)</f>
        <v>#DIV/0!</v>
      </c>
    </row>
    <row r="7" spans="1:10" x14ac:dyDescent="0.25">
      <c r="A7">
        <v>500</v>
      </c>
      <c r="B7" t="e">
        <f>AVERAGE('Bottle Results'!Q17:Q19)</f>
        <v>#DIV/0!</v>
      </c>
      <c r="C7" t="e">
        <f>_xlfn.STDEV.S('Bottle Results'!Q17:Q19)</f>
        <v>#DIV/0!</v>
      </c>
      <c r="D7" t="e">
        <f>AVERAGE('Bottle Results'!U17:U19)</f>
        <v>#DIV/0!</v>
      </c>
      <c r="E7" t="e">
        <f>_xlfn.STDEV.S('Bottle Results'!U17:U19)</f>
        <v>#DIV/0!</v>
      </c>
      <c r="F7" t="e">
        <f>AVERAGE('Bottle Results'!S17:S19)</f>
        <v>#DIV/0!</v>
      </c>
      <c r="G7" t="e">
        <f>AVERAGE('Bottle Results'!W17:W19)</f>
        <v>#DIV/0!</v>
      </c>
      <c r="H7" t="e">
        <f>_xlfn.STDEV.S('Bottle Results'!W17:W19)</f>
        <v>#DIV/0!</v>
      </c>
      <c r="I7" t="e">
        <f>AVERAGE('Bottle Results'!D17:D19)</f>
        <v>#DIV/0!</v>
      </c>
      <c r="J7" t="e">
        <f>_xlfn.STDEV.S('Bottle Results'!D17:D19)</f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Parameters</vt:lpstr>
      <vt:lpstr>Calibration Data</vt:lpstr>
      <vt:lpstr>Scintillation Counter Results</vt:lpstr>
      <vt:lpstr>Count-&gt;Actual Activity</vt:lpstr>
      <vt:lpstr>Bottle Results</vt:lpstr>
      <vt:lpstr>Averaged Results</vt:lpstr>
    </vt:vector>
  </TitlesOfParts>
  <Company>Massachusetts Institute of Technology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Chen</dc:creator>
  <cp:lastModifiedBy>Michael Chen</cp:lastModifiedBy>
  <dcterms:created xsi:type="dcterms:W3CDTF">2015-08-25T20:19:30Z</dcterms:created>
  <dcterms:modified xsi:type="dcterms:W3CDTF">2017-06-19T19:37:53Z</dcterms:modified>
</cp:coreProperties>
</file>