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el\Dropbox (Personal)\work\MIT Graduate Work\Research\RadiumSorption\Sorption Experiments\"/>
    </mc:Choice>
  </mc:AlternateContent>
  <bookViews>
    <workbookView xWindow="0" yWindow="0" windowWidth="7470" windowHeight="12285" activeTab="4"/>
  </bookViews>
  <sheets>
    <sheet name="Parameters" sheetId="1" r:id="rId1"/>
    <sheet name="Calibration Data" sheetId="9" r:id="rId2"/>
    <sheet name="Scintillation Counter Results" sheetId="3" r:id="rId3"/>
    <sheet name="Count-&gt;Actual Activity" sheetId="2" r:id="rId4"/>
    <sheet name="Bottle Results" sheetId="5" r:id="rId5"/>
    <sheet name="Averaged Results" sheetId="8" r:id="rId6"/>
  </sheets>
  <externalReferences>
    <externalReference r:id="rId7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2" l="1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" i="2"/>
  <c r="E10" i="9"/>
  <c r="D10" i="9"/>
  <c r="C10" i="9"/>
  <c r="H9" i="9"/>
  <c r="F9" i="9"/>
  <c r="G9" i="9" s="1"/>
  <c r="D9" i="9"/>
  <c r="J9" i="9" s="1"/>
  <c r="K9" i="9" s="1"/>
  <c r="C9" i="9"/>
  <c r="E9" i="9" s="1"/>
  <c r="J8" i="9"/>
  <c r="K8" i="9" s="1"/>
  <c r="G8" i="9"/>
  <c r="E8" i="9"/>
  <c r="D8" i="9"/>
  <c r="H8" i="9" s="1"/>
  <c r="I8" i="9" s="1"/>
  <c r="H7" i="9"/>
  <c r="I7" i="9" s="1"/>
  <c r="G7" i="9"/>
  <c r="E7" i="9"/>
  <c r="D7" i="9"/>
  <c r="J7" i="9" s="1"/>
  <c r="K7" i="9" s="1"/>
  <c r="G6" i="9"/>
  <c r="E6" i="9"/>
  <c r="D6" i="9"/>
  <c r="J6" i="9" s="1"/>
  <c r="K6" i="9" s="1"/>
  <c r="J5" i="9"/>
  <c r="K5" i="9" s="1"/>
  <c r="G5" i="9"/>
  <c r="E5" i="9"/>
  <c r="D5" i="9"/>
  <c r="H5" i="9" s="1"/>
  <c r="I5" i="9" s="1"/>
  <c r="G4" i="9"/>
  <c r="E4" i="9"/>
  <c r="D4" i="9"/>
  <c r="J4" i="9" s="1"/>
  <c r="K4" i="9" s="1"/>
  <c r="G3" i="9"/>
  <c r="E3" i="9"/>
  <c r="D3" i="9"/>
  <c r="J3" i="9" s="1"/>
  <c r="K3" i="9" s="1"/>
  <c r="K11" i="9" s="1"/>
  <c r="G2" i="9"/>
  <c r="E2" i="9"/>
  <c r="D2" i="9"/>
  <c r="J2" i="9" s="1"/>
  <c r="K2" i="9" s="1"/>
  <c r="I9" i="9" l="1"/>
  <c r="H6" i="9"/>
  <c r="I6" i="9" s="1"/>
  <c r="H4" i="9"/>
  <c r="I4" i="9" s="1"/>
  <c r="H3" i="9"/>
  <c r="I3" i="9" s="1"/>
  <c r="I11" i="9" s="1"/>
  <c r="H2" i="9"/>
  <c r="I2" i="9" s="1"/>
  <c r="J7" i="8"/>
  <c r="J6" i="8"/>
  <c r="J5" i="8"/>
  <c r="J4" i="8"/>
  <c r="J3" i="8"/>
  <c r="I7" i="8"/>
  <c r="I6" i="8"/>
  <c r="I5" i="8"/>
  <c r="I4" i="8"/>
  <c r="I3" i="8"/>
  <c r="J2" i="8"/>
  <c r="I2" i="8"/>
  <c r="S3" i="5" l="1"/>
  <c r="T3" i="5" s="1"/>
  <c r="S4" i="5"/>
  <c r="T4" i="5" s="1"/>
  <c r="S5" i="5"/>
  <c r="T5" i="5" s="1"/>
  <c r="S6" i="5"/>
  <c r="T6" i="5" s="1"/>
  <c r="S7" i="5"/>
  <c r="T7" i="5" s="1"/>
  <c r="S8" i="5"/>
  <c r="T8" i="5" s="1"/>
  <c r="S9" i="5"/>
  <c r="T9" i="5" s="1"/>
  <c r="S10" i="5"/>
  <c r="T10" i="5" s="1"/>
  <c r="S11" i="5"/>
  <c r="T11" i="5" s="1"/>
  <c r="S12" i="5"/>
  <c r="T12" i="5" s="1"/>
  <c r="S13" i="5"/>
  <c r="T13" i="5" s="1"/>
  <c r="S14" i="5"/>
  <c r="T14" i="5" s="1"/>
  <c r="S15" i="5"/>
  <c r="T15" i="5" s="1"/>
  <c r="S16" i="5"/>
  <c r="T16" i="5" s="1"/>
  <c r="S17" i="5"/>
  <c r="T17" i="5" s="1"/>
  <c r="S18" i="5"/>
  <c r="T18" i="5" s="1"/>
  <c r="S19" i="5"/>
  <c r="T19" i="5" s="1"/>
  <c r="S2" i="5"/>
  <c r="T2" i="5" s="1"/>
  <c r="C3" i="2"/>
  <c r="C4" i="2"/>
  <c r="C5" i="2"/>
  <c r="C6" i="2"/>
  <c r="C7" i="2"/>
  <c r="C8" i="2"/>
  <c r="C9" i="2"/>
  <c r="C10" i="2"/>
  <c r="I10" i="5" s="1"/>
  <c r="Q10" i="5" s="1"/>
  <c r="C11" i="2"/>
  <c r="J11" i="5" s="1"/>
  <c r="C12" i="2"/>
  <c r="J12" i="5" s="1"/>
  <c r="C13" i="2"/>
  <c r="C14" i="2"/>
  <c r="C15" i="2"/>
  <c r="C16" i="2"/>
  <c r="C17" i="2"/>
  <c r="J17" i="5" s="1"/>
  <c r="C18" i="2"/>
  <c r="C19" i="2"/>
  <c r="C2" i="2"/>
  <c r="W10" i="5" l="1"/>
  <c r="F4" i="8"/>
  <c r="U10" i="5"/>
  <c r="F6" i="8"/>
  <c r="F3" i="8"/>
  <c r="F2" i="8"/>
  <c r="F5" i="8"/>
  <c r="F7" i="8"/>
  <c r="J18" i="5"/>
  <c r="R18" i="5" s="1"/>
  <c r="I18" i="5"/>
  <c r="Q18" i="5" s="1"/>
  <c r="U18" i="5" s="1"/>
  <c r="J10" i="5"/>
  <c r="R10" i="5" s="1"/>
  <c r="J19" i="5"/>
  <c r="I19" i="5"/>
  <c r="Q19" i="5" s="1"/>
  <c r="U19" i="5" s="1"/>
  <c r="J3" i="5"/>
  <c r="I3" i="5"/>
  <c r="Q3" i="5" s="1"/>
  <c r="U3" i="5" s="1"/>
  <c r="J9" i="5"/>
  <c r="I9" i="5"/>
  <c r="Q9" i="5" s="1"/>
  <c r="U9" i="5" s="1"/>
  <c r="I16" i="5"/>
  <c r="Q16" i="5" s="1"/>
  <c r="W16" i="5" s="1"/>
  <c r="J16" i="5"/>
  <c r="I8" i="5"/>
  <c r="Q8" i="5" s="1"/>
  <c r="J8" i="5"/>
  <c r="J15" i="5"/>
  <c r="I15" i="5"/>
  <c r="Q15" i="5" s="1"/>
  <c r="U15" i="5" s="1"/>
  <c r="J7" i="5"/>
  <c r="I7" i="5"/>
  <c r="Q7" i="5" s="1"/>
  <c r="W7" i="5" s="1"/>
  <c r="I14" i="5"/>
  <c r="Q14" i="5" s="1"/>
  <c r="J14" i="5"/>
  <c r="J6" i="5"/>
  <c r="I6" i="5"/>
  <c r="Q6" i="5" s="1"/>
  <c r="U6" i="5" s="1"/>
  <c r="J13" i="5"/>
  <c r="I13" i="5"/>
  <c r="Q13" i="5" s="1"/>
  <c r="W13" i="5" s="1"/>
  <c r="J5" i="5"/>
  <c r="I5" i="5"/>
  <c r="Q5" i="5" s="1"/>
  <c r="W5" i="5" s="1"/>
  <c r="I4" i="5"/>
  <c r="Q4" i="5" s="1"/>
  <c r="U4" i="5" s="1"/>
  <c r="J4" i="5"/>
  <c r="I17" i="5"/>
  <c r="Q17" i="5" s="1"/>
  <c r="I12" i="5"/>
  <c r="Q12" i="5" s="1"/>
  <c r="U12" i="5" s="1"/>
  <c r="I11" i="5"/>
  <c r="Q11" i="5" s="1"/>
  <c r="W11" i="5" s="1"/>
  <c r="J2" i="5"/>
  <c r="R4" i="5" l="1"/>
  <c r="R14" i="5"/>
  <c r="R16" i="5"/>
  <c r="R8" i="5"/>
  <c r="R17" i="5"/>
  <c r="R13" i="5"/>
  <c r="R12" i="5"/>
  <c r="R15" i="5"/>
  <c r="R6" i="5"/>
  <c r="R19" i="5"/>
  <c r="G3" i="8"/>
  <c r="R5" i="5"/>
  <c r="R7" i="5"/>
  <c r="R9" i="5"/>
  <c r="R11" i="5"/>
  <c r="H5" i="8"/>
  <c r="R3" i="5"/>
  <c r="W4" i="5"/>
  <c r="U5" i="5"/>
  <c r="W15" i="5"/>
  <c r="B7" i="8"/>
  <c r="C7" i="8"/>
  <c r="B4" i="8"/>
  <c r="C4" i="8"/>
  <c r="U13" i="5"/>
  <c r="W12" i="5"/>
  <c r="G5" i="8" s="1"/>
  <c r="W3" i="5"/>
  <c r="W6" i="5"/>
  <c r="H3" i="8" s="1"/>
  <c r="B6" i="8"/>
  <c r="C6" i="8"/>
  <c r="U8" i="5"/>
  <c r="W8" i="5"/>
  <c r="C3" i="8"/>
  <c r="B3" i="8"/>
  <c r="U16" i="5"/>
  <c r="W9" i="5"/>
  <c r="W19" i="5"/>
  <c r="W18" i="5"/>
  <c r="W17" i="5"/>
  <c r="U7" i="5"/>
  <c r="W14" i="5"/>
  <c r="U17" i="5"/>
  <c r="C5" i="8"/>
  <c r="B5" i="8"/>
  <c r="U11" i="5"/>
  <c r="U14" i="5"/>
  <c r="I2" i="5"/>
  <c r="Q2" i="5" s="1"/>
  <c r="R2" i="5" s="1"/>
  <c r="D3" i="8" l="1"/>
  <c r="G6" i="8"/>
  <c r="H6" i="8"/>
  <c r="G4" i="8"/>
  <c r="H4" i="8"/>
  <c r="G7" i="8"/>
  <c r="H7" i="8"/>
  <c r="E3" i="8"/>
  <c r="E7" i="8"/>
  <c r="D7" i="8"/>
  <c r="C2" i="8"/>
  <c r="B2" i="8"/>
  <c r="U2" i="5"/>
  <c r="W2" i="5"/>
  <c r="G2" i="8" s="1"/>
  <c r="E6" i="8"/>
  <c r="D6" i="8"/>
  <c r="D5" i="8"/>
  <c r="E5" i="8"/>
  <c r="D4" i="8"/>
  <c r="E4" i="8"/>
  <c r="E2" i="8" l="1"/>
  <c r="D2" i="8"/>
</calcChain>
</file>

<file path=xl/sharedStrings.xml><?xml version="1.0" encoding="utf-8"?>
<sst xmlns="http://schemas.openxmlformats.org/spreadsheetml/2006/main" count="272" uniqueCount="147">
  <si>
    <t>Parameters</t>
  </si>
  <si>
    <t>Value</t>
  </si>
  <si>
    <t>Error</t>
  </si>
  <si>
    <t>Sample Volume</t>
  </si>
  <si>
    <t>Units</t>
  </si>
  <si>
    <t>mL</t>
  </si>
  <si>
    <t>Stock Activity</t>
  </si>
  <si>
    <t>Notes</t>
  </si>
  <si>
    <t>Experiment Date</t>
  </si>
  <si>
    <t>Mineral Type</t>
  </si>
  <si>
    <t>Sample ID</t>
  </si>
  <si>
    <t>% Error</t>
  </si>
  <si>
    <t>Final pH</t>
  </si>
  <si>
    <t>Activity of stock used to add radium (note you should use the actual activity, not the counted activity)</t>
  </si>
  <si>
    <t>Date</t>
  </si>
  <si>
    <t>Sample</t>
  </si>
  <si>
    <t>CPM</t>
  </si>
  <si>
    <t>Lumex %</t>
  </si>
  <si>
    <t>Elapsed Time</t>
  </si>
  <si>
    <t>Liquid volume</t>
  </si>
  <si>
    <t>Bq/mL</t>
  </si>
  <si>
    <t>Error (cps)</t>
  </si>
  <si>
    <t>Radium Stock Used</t>
  </si>
  <si>
    <t>Ra_Stock_4</t>
  </si>
  <si>
    <t>Counts (cps)</t>
  </si>
  <si>
    <t>Independent Cs?</t>
  </si>
  <si>
    <t>Mineral Mass (g)</t>
  </si>
  <si>
    <t>Mineral Mass Error (g)</t>
  </si>
  <si>
    <t>Stock Volume Added (mL)</t>
  </si>
  <si>
    <t>Stock Vol Err (mL)</t>
  </si>
  <si>
    <t>Cw (Bq/mL)</t>
  </si>
  <si>
    <t>dCw (Bq/mL)</t>
  </si>
  <si>
    <t>Cs (Bq/g)</t>
  </si>
  <si>
    <t>dCs (Bq/g)</t>
  </si>
  <si>
    <t>Total Activity (Bq)</t>
  </si>
  <si>
    <t>dTotal Activity (Bq)</t>
  </si>
  <si>
    <t>RaStd_0.01mL</t>
  </si>
  <si>
    <t>RaStd_0.05mL</t>
  </si>
  <si>
    <t>RaStd_0.1mL</t>
  </si>
  <si>
    <t>RaStd_0.5mL</t>
  </si>
  <si>
    <t>RaStd_1mL</t>
  </si>
  <si>
    <t>RaStd_5mL</t>
  </si>
  <si>
    <t>Mean (CPM)</t>
  </si>
  <si>
    <t>Error (CPM)</t>
  </si>
  <si>
    <t>Scintillation Counter (cps)</t>
  </si>
  <si>
    <t>Background</t>
  </si>
  <si>
    <t>Scintillation Counter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</si>
  <si>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</si>
  <si>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</si>
  <si>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</si>
  <si>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</si>
  <si>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</si>
  <si>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</si>
  <si>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</si>
  <si>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</si>
  <si>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</si>
  <si>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</si>
  <si>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</si>
  <si>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</si>
  <si>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</si>
  <si>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</si>
  <si>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</si>
  <si>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</si>
  <si>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</si>
  <si>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</si>
  <si>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</si>
  <si>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</si>
  <si>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</si>
  <si>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</si>
  <si>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</si>
  <si>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</si>
  <si>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X Variable 1</t>
  </si>
  <si>
    <t>RESIDUAL OUTPUT</t>
  </si>
  <si>
    <t>Observation</t>
  </si>
  <si>
    <t>Predicted Y</t>
  </si>
  <si>
    <t>Residuals</t>
  </si>
  <si>
    <t>Solution counts (Bq)</t>
  </si>
  <si>
    <t>Solution Counts error (Bq)</t>
  </si>
  <si>
    <t>Solid Counts (Bq)</t>
  </si>
  <si>
    <t>Solid Counts Error (Bq)</t>
  </si>
  <si>
    <t>Total Volume (mL)</t>
  </si>
  <si>
    <t>Total Volume Error (mL)</t>
  </si>
  <si>
    <t>Counted Solution Vol (mL)</t>
  </si>
  <si>
    <t>Counted Solution Vol error (mL)</t>
  </si>
  <si>
    <t>Counted Solid Mass (g)</t>
  </si>
  <si>
    <t>Counted Solid Mass error (g)</t>
  </si>
  <si>
    <t>0_A</t>
  </si>
  <si>
    <t>0_B</t>
  </si>
  <si>
    <t>0_C</t>
  </si>
  <si>
    <t>5_A</t>
  </si>
  <si>
    <t>5_B</t>
  </si>
  <si>
    <t>5_C</t>
  </si>
  <si>
    <t>10_A</t>
  </si>
  <si>
    <t>10_B</t>
  </si>
  <si>
    <t>10_C</t>
  </si>
  <si>
    <t>50_A</t>
  </si>
  <si>
    <t>50_B</t>
  </si>
  <si>
    <t>50_C</t>
  </si>
  <si>
    <t>100_A</t>
  </si>
  <si>
    <t>100_B</t>
  </si>
  <si>
    <t>100_C</t>
  </si>
  <si>
    <t>500_A</t>
  </si>
  <si>
    <t>500_B</t>
  </si>
  <si>
    <t>500_C</t>
  </si>
  <si>
    <t>Calibration Method</t>
  </si>
  <si>
    <t>Activity (Bq)</t>
  </si>
  <si>
    <t>Activity Error (Bq)</t>
  </si>
  <si>
    <t>Phase</t>
  </si>
  <si>
    <t>Water</t>
  </si>
  <si>
    <t>Solid</t>
  </si>
  <si>
    <t>0A</t>
  </si>
  <si>
    <t>0B</t>
  </si>
  <si>
    <t>0C</t>
  </si>
  <si>
    <t>10A</t>
  </si>
  <si>
    <t>10B</t>
  </si>
  <si>
    <t>10C</t>
  </si>
  <si>
    <t>50A</t>
  </si>
  <si>
    <t>50B</t>
  </si>
  <si>
    <t>50C</t>
  </si>
  <si>
    <t>100A</t>
  </si>
  <si>
    <t>100B</t>
  </si>
  <si>
    <t>100C</t>
  </si>
  <si>
    <t>250A</t>
  </si>
  <si>
    <t>250B</t>
  </si>
  <si>
    <t>250C</t>
  </si>
  <si>
    <t>500A</t>
  </si>
  <si>
    <t>500B</t>
  </si>
  <si>
    <t>500C</t>
  </si>
  <si>
    <t>Na Montmorillonite</t>
  </si>
  <si>
    <t>sCw (Bq/mL)</t>
  </si>
  <si>
    <t>sCs (Bq/g)</t>
  </si>
  <si>
    <t>TotAct</t>
  </si>
  <si>
    <t>fSorb</t>
  </si>
  <si>
    <t>sfsorb</t>
  </si>
  <si>
    <t>pH</t>
  </si>
  <si>
    <t>spH</t>
  </si>
  <si>
    <t>Gamma counter measured activity (Corrected for Geometry, Bq)</t>
  </si>
  <si>
    <t>Expected Activity (Bq)</t>
  </si>
  <si>
    <t>Scint Counter Activity, with RaStock5</t>
  </si>
  <si>
    <t>Error from Expected</t>
  </si>
  <si>
    <t>Scint Counter Activity, without RaStock5</t>
  </si>
  <si>
    <t>RaStock5</t>
  </si>
  <si>
    <t>RaStock4</t>
  </si>
  <si>
    <t>Average Rel Error</t>
  </si>
  <si>
    <t>Scintillation Counter Calibration</t>
  </si>
  <si>
    <t>CPS-&gt;Bq w/Background and RaStock5</t>
  </si>
  <si>
    <t>CPS-&gt;Bq without RaStock5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</si>
</sst>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i/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NumberFormat="1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4" fillId="0" borderId="0" xfId="0" applyFont="1" applyAlignment="1">
      <alignment horizontal="center" vertical="top"/>
    </xf>
    <xf numFmtId="11" fontId="2" fillId="0" borderId="0" xfId="0" applyNumberFormat="1" applyFont="1"/>
    <xf numFmtId="0" fontId="1" fillId="0" borderId="0" xfId="0" applyFont="1"/>
    <xf numFmtId="0" fontId="6" fillId="0" borderId="2" xfId="0" applyFont="1" applyFill="1" applyBorder="1" applyAlignment="1">
      <alignment horizontal="centerContinuous"/>
    </xf>
    <xf numFmtId="0" fontId="0" fillId="0" borderId="0" xfId="0" applyFill="1" applyBorder="1" applyAlignment="1"/>
    <xf numFmtId="0" fontId="6" fillId="0" borderId="0" xfId="0" applyFont="1" applyFill="1" applyBorder="1" applyAlignment="1">
      <alignment horizontal="centerContinuous"/>
    </xf>
    <xf numFmtId="0" fontId="0" fillId="0" borderId="3" xfId="0" applyFill="1" applyBorder="1" applyAlignment="1"/>
    <xf numFmtId="0" fontId="6" fillId="0" borderId="2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0" fillId="0" borderId="0" xfId="0" applyFill="1" applyBorder="1"/>
    <xf numFmtId="0" fontId="6" fillId="0" borderId="0" xfId="0" applyFont="1" applyFill="1" applyBorder="1" applyAlignment="1">
      <alignment horizontal="center"/>
    </xf>
    <xf numFmtId="0" fontId="7" fillId="0" borderId="0" xfId="0" applyFont="1"/>
    <xf numFmtId="0" fontId="0" fillId="0" borderId="0" xfId="0" applyFont="1" applyBorder="1" applyAlignment="1">
      <alignment horizontal="center" vertical="top"/>
    </xf>
    <xf numFmtId="0" fontId="0" fillId="0" borderId="0" xfId="0" applyFont="1" applyFill="1" applyBorder="1" applyAlignment="1">
      <alignment horizontal="center" vertical="top"/>
    </xf>
    <xf numFmtId="11" fontId="0" fillId="0" borderId="0" xfId="0" applyNumberFormat="1"/>
    <xf numFmtId="22" fontId="0" fillId="0" borderId="0" xfId="0" applyNumberFormat="1"/>
    <xf numFmtId="14" fontId="0" fillId="0" borderId="0" xfId="0" applyNumberFormat="1"/>
    <xf numFmtId="0" fontId="2" fillId="0" borderId="0" xfId="0" applyFont="1" applyFill="1" applyBorder="1"/>
    <xf numFmtId="0" fontId="0" fillId="0" borderId="0" xfId="0" applyBorder="1"/>
    <xf numFmtId="0" fontId="3" fillId="0" borderId="4" xfId="0" applyFont="1" applyFill="1" applyBorder="1" applyAlignment="1">
      <alignment horizontal="center" vertical="top"/>
    </xf>
    <xf numFmtId="0" fontId="2" fillId="0" borderId="4" xfId="0" applyFont="1" applyBorder="1"/>
    <xf numFmtId="11" fontId="2" fillId="0" borderId="4" xfId="0" applyNumberFormat="1" applyFont="1" applyBorder="1"/>
    <xf numFmtId="0" fontId="0" fillId="0" borderId="4" xfId="0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1 Line Fit 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28575">
              <a:noFill/>
            </a:ln>
          </c:spPr>
          <c:xVal>
            <c:numRef>
              <c:f>'Calibration Data'!$D$2:$D$9</c:f>
              <c:numCache>
                <c:formatCode>General</c:formatCode>
                <c:ptCount val="8"/>
                <c:pt idx="0">
                  <c:v>1.1544444444444444</c:v>
                </c:pt>
                <c:pt idx="1">
                  <c:v>3.5588888888888888</c:v>
                </c:pt>
                <c:pt idx="2">
                  <c:v>14.189444444444446</c:v>
                </c:pt>
                <c:pt idx="3">
                  <c:v>27.261666666666667</c:v>
                </c:pt>
                <c:pt idx="4">
                  <c:v>133.3138888888889</c:v>
                </c:pt>
                <c:pt idx="5">
                  <c:v>267.61888888888888</c:v>
                </c:pt>
                <c:pt idx="6">
                  <c:v>1343.9216666666666</c:v>
                </c:pt>
                <c:pt idx="7">
                  <c:v>5624.5516666666663</c:v>
                </c:pt>
              </c:numCache>
            </c:numRef>
          </c:xVal>
          <c:yVal>
            <c:numRef>
              <c:f>'Calibration Data'!$G$2:$G$9</c:f>
              <c:numCache>
                <c:formatCode>General</c:formatCode>
                <c:ptCount val="8"/>
                <c:pt idx="0">
                  <c:v>0</c:v>
                </c:pt>
                <c:pt idx="1">
                  <c:v>0.63155000000000006</c:v>
                </c:pt>
                <c:pt idx="2">
                  <c:v>3.1577500000000001</c:v>
                </c:pt>
                <c:pt idx="3">
                  <c:v>6.3155000000000001</c:v>
                </c:pt>
                <c:pt idx="4">
                  <c:v>31.577500000000001</c:v>
                </c:pt>
                <c:pt idx="5">
                  <c:v>63.155000000000001</c:v>
                </c:pt>
                <c:pt idx="6">
                  <c:v>315.77499999999998</c:v>
                </c:pt>
                <c:pt idx="7">
                  <c:v>971.28169014084517</c:v>
                </c:pt>
              </c:numCache>
            </c:numRef>
          </c:yVal>
          <c:smooth val="0"/>
        </c:ser>
        <c:ser>
          <c:idx val="1"/>
          <c:order val="1"/>
          <c:tx>
            <c:v>Predicted Y</c:v>
          </c:tx>
          <c:spPr>
            <a:ln w="28575">
              <a:noFill/>
            </a:ln>
          </c:spPr>
          <c:xVal>
            <c:numRef>
              <c:f>'Calibration Data'!$D$2:$D$9</c:f>
              <c:numCache>
                <c:formatCode>General</c:formatCode>
                <c:ptCount val="8"/>
                <c:pt idx="0">
                  <c:v>1.1544444444444444</c:v>
                </c:pt>
                <c:pt idx="1">
                  <c:v>3.5588888888888888</c:v>
                </c:pt>
                <c:pt idx="2">
                  <c:v>14.189444444444446</c:v>
                </c:pt>
                <c:pt idx="3">
                  <c:v>27.261666666666667</c:v>
                </c:pt>
                <c:pt idx="4">
                  <c:v>133.3138888888889</c:v>
                </c:pt>
                <c:pt idx="5">
                  <c:v>267.61888888888888</c:v>
                </c:pt>
                <c:pt idx="6">
                  <c:v>1343.9216666666666</c:v>
                </c:pt>
                <c:pt idx="7">
                  <c:v>5624.5516666666663</c:v>
                </c:pt>
              </c:numCache>
            </c:numRef>
          </c:xVal>
          <c:yVal>
            <c:numRef>
              <c:f>'Calibration Data'!$B$38:$B$45</c:f>
              <c:numCache>
                <c:formatCode>General</c:formatCode>
                <c:ptCount val="8"/>
                <c:pt idx="0">
                  <c:v>13.59388481434063</c:v>
                </c:pt>
                <c:pt idx="1">
                  <c:v>14.01045331215874</c:v>
                </c:pt>
                <c:pt idx="2">
                  <c:v>15.852190420696065</c:v>
                </c:pt>
                <c:pt idx="3">
                  <c:v>18.116944753796837</c:v>
                </c:pt>
                <c:pt idx="4">
                  <c:v>36.490425997440632</c:v>
                </c:pt>
                <c:pt idx="5">
                  <c:v>59.758683340100134</c:v>
                </c:pt>
                <c:pt idx="6">
                  <c:v>246.2274671676017</c:v>
                </c:pt>
                <c:pt idx="7">
                  <c:v>987.8439403347104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380848"/>
        <c:axId val="194366808"/>
      </c:scatterChart>
      <c:valAx>
        <c:axId val="1943808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1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94366808"/>
        <c:crosses val="autoZero"/>
        <c:crossBetween val="midCat"/>
      </c:valAx>
      <c:valAx>
        <c:axId val="19436680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9438084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1 Line Fit 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28575">
              <a:noFill/>
            </a:ln>
          </c:spPr>
          <c:xVal>
            <c:numRef>
              <c:f>'Calibration Data'!$D$2:$D$8</c:f>
              <c:numCache>
                <c:formatCode>General</c:formatCode>
                <c:ptCount val="7"/>
                <c:pt idx="0">
                  <c:v>1.1544444444444444</c:v>
                </c:pt>
                <c:pt idx="1">
                  <c:v>3.5588888888888888</c:v>
                </c:pt>
                <c:pt idx="2">
                  <c:v>14.189444444444446</c:v>
                </c:pt>
                <c:pt idx="3">
                  <c:v>27.261666666666667</c:v>
                </c:pt>
                <c:pt idx="4">
                  <c:v>133.3138888888889</c:v>
                </c:pt>
                <c:pt idx="5">
                  <c:v>267.61888888888888</c:v>
                </c:pt>
                <c:pt idx="6">
                  <c:v>1343.9216666666666</c:v>
                </c:pt>
              </c:numCache>
            </c:numRef>
          </c:xVal>
          <c:yVal>
            <c:numRef>
              <c:f>'Calibration Data'!$G$2:$G$8</c:f>
              <c:numCache>
                <c:formatCode>General</c:formatCode>
                <c:ptCount val="7"/>
                <c:pt idx="0">
                  <c:v>0</c:v>
                </c:pt>
                <c:pt idx="1">
                  <c:v>0.63155000000000006</c:v>
                </c:pt>
                <c:pt idx="2">
                  <c:v>3.1577500000000001</c:v>
                </c:pt>
                <c:pt idx="3">
                  <c:v>6.3155000000000001</c:v>
                </c:pt>
                <c:pt idx="4">
                  <c:v>31.577500000000001</c:v>
                </c:pt>
                <c:pt idx="5">
                  <c:v>63.155000000000001</c:v>
                </c:pt>
                <c:pt idx="6">
                  <c:v>315.77499999999998</c:v>
                </c:pt>
              </c:numCache>
            </c:numRef>
          </c:yVal>
          <c:smooth val="0"/>
        </c:ser>
        <c:ser>
          <c:idx val="1"/>
          <c:order val="1"/>
          <c:tx>
            <c:v>Predicted Y</c:v>
          </c:tx>
          <c:spPr>
            <a:ln w="28575">
              <a:noFill/>
            </a:ln>
          </c:spPr>
          <c:xVal>
            <c:numRef>
              <c:f>'Calibration Data'!$D$2:$D$8</c:f>
              <c:numCache>
                <c:formatCode>General</c:formatCode>
                <c:ptCount val="7"/>
                <c:pt idx="0">
                  <c:v>1.1544444444444444</c:v>
                </c:pt>
                <c:pt idx="1">
                  <c:v>3.5588888888888888</c:v>
                </c:pt>
                <c:pt idx="2">
                  <c:v>14.189444444444446</c:v>
                </c:pt>
                <c:pt idx="3">
                  <c:v>27.261666666666667</c:v>
                </c:pt>
                <c:pt idx="4">
                  <c:v>133.3138888888889</c:v>
                </c:pt>
                <c:pt idx="5">
                  <c:v>267.61888888888888</c:v>
                </c:pt>
                <c:pt idx="6">
                  <c:v>1343.9216666666666</c:v>
                </c:pt>
              </c:numCache>
            </c:numRef>
          </c:xVal>
          <c:yVal>
            <c:numRef>
              <c:f>'Calibration Data'!$B$72:$B$78</c:f>
              <c:numCache>
                <c:formatCode>General</c:formatCode>
                <c:ptCount val="7"/>
                <c:pt idx="0">
                  <c:v>0.21289126954511683</c:v>
                </c:pt>
                <c:pt idx="1">
                  <c:v>0.77811330025655845</c:v>
                </c:pt>
                <c:pt idx="2">
                  <c:v>3.2770790021196445</c:v>
                </c:pt>
                <c:pt idx="3">
                  <c:v>6.3500167060568486</c:v>
                </c:pt>
                <c:pt idx="4">
                  <c:v>31.280121680786504</c:v>
                </c:pt>
                <c:pt idx="5">
                  <c:v>62.851716112963096</c:v>
                </c:pt>
                <c:pt idx="6">
                  <c:v>315.86236192827221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9654704"/>
        <c:axId val="219645296"/>
      </c:scatterChart>
      <c:valAx>
        <c:axId val="2196547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1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9645296"/>
        <c:crosses val="autoZero"/>
        <c:crossBetween val="midCat"/>
      </c:valAx>
      <c:valAx>
        <c:axId val="21964529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965470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1023937</xdr:colOff>
      <xdr:row>54</xdr:row>
      <xdr:rowOff>83559</xdr:rowOff>
    </xdr:from>
    <xdr:to>
      <xdr:col>13</xdr:col>
      <xdr:colOff>1333500</xdr:colOff>
      <xdr:row>75</xdr:row>
      <xdr:rowOff>142874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500062</xdr:colOff>
      <xdr:row>16</xdr:row>
      <xdr:rowOff>128586</xdr:rowOff>
    </xdr:from>
    <xdr:to>
      <xdr:col>14</xdr:col>
      <xdr:colOff>642937</xdr:colOff>
      <xdr:row>40</xdr:row>
      <xdr:rowOff>142873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ichael\Dropbox%20(Personal)\work\MIT%20Graduate%20Work\Research\Standard%20Chemical%20Info\Radium_Stock\Radium%20Standards%20Lo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mple Parameters"/>
      <sheetName val="Scintillation Counter Results"/>
      <sheetName val="Gamma Counter Results"/>
      <sheetName val="Quality Control Notes"/>
      <sheetName val="Calibration Data Legacy"/>
      <sheetName val="Gamma Counter Geometry"/>
      <sheetName val="Scint Cocktail Testing"/>
      <sheetName val="Gamma Counter Multinuclide Stan"/>
      <sheetName val="Stock Log"/>
      <sheetName val="Calibration Data"/>
    </sheetNames>
    <sheetDataSet>
      <sheetData sheetId="0"/>
      <sheetData sheetId="1"/>
      <sheetData sheetId="2"/>
      <sheetData sheetId="3"/>
      <sheetData sheetId="4"/>
      <sheetData sheetId="5">
        <row r="3">
          <cell r="E3">
            <v>971.28169014084517</v>
          </cell>
        </row>
      </sheetData>
      <sheetData sheetId="6"/>
      <sheetData sheetId="7"/>
      <sheetData sheetId="8"/>
      <sheetData sheetId="9">
        <row r="2">
          <cell r="D2">
            <v>1.1544444444444444</v>
          </cell>
          <cell r="G2">
            <v>0</v>
          </cell>
        </row>
        <row r="3">
          <cell r="D3">
            <v>3.5588888888888888</v>
          </cell>
          <cell r="G3">
            <v>0.63155000000000006</v>
          </cell>
        </row>
        <row r="4">
          <cell r="D4">
            <v>14.189444444444446</v>
          </cell>
          <cell r="G4">
            <v>3.1577500000000001</v>
          </cell>
        </row>
        <row r="5">
          <cell r="D5">
            <v>27.261666666666667</v>
          </cell>
          <cell r="G5">
            <v>6.3155000000000001</v>
          </cell>
        </row>
        <row r="6">
          <cell r="D6">
            <v>133.3138888888889</v>
          </cell>
          <cell r="G6">
            <v>31.577500000000001</v>
          </cell>
        </row>
        <row r="7">
          <cell r="D7">
            <v>267.61888888888888</v>
          </cell>
          <cell r="G7">
            <v>63.155000000000001</v>
          </cell>
        </row>
        <row r="8">
          <cell r="D8">
            <v>1343.9216666666666</v>
          </cell>
          <cell r="G8">
            <v>315.77499999999998</v>
          </cell>
        </row>
        <row r="9">
          <cell r="D9">
            <v>5624.5516666666663</v>
          </cell>
          <cell r="G9">
            <v>971.28169014084517</v>
          </cell>
        </row>
        <row r="38">
          <cell r="B38">
            <v>13.59388481434063</v>
          </cell>
        </row>
        <row r="39">
          <cell r="B39">
            <v>14.01045331215874</v>
          </cell>
        </row>
        <row r="40">
          <cell r="B40">
            <v>15.852190420696065</v>
          </cell>
        </row>
        <row r="41">
          <cell r="B41">
            <v>18.116944753796837</v>
          </cell>
        </row>
        <row r="42">
          <cell r="B42">
            <v>36.490425997440632</v>
          </cell>
        </row>
        <row r="43">
          <cell r="B43">
            <v>59.758683340100134</v>
          </cell>
        </row>
        <row r="44">
          <cell r="B44">
            <v>246.2274671676017</v>
          </cell>
        </row>
        <row r="45">
          <cell r="B45">
            <v>987.8439403347104</v>
          </cell>
        </row>
        <row r="72">
          <cell r="B72">
            <v>0.21289126954511683</v>
          </cell>
        </row>
        <row r="73">
          <cell r="B73">
            <v>0.77811330025655845</v>
          </cell>
        </row>
        <row r="74">
          <cell r="B74">
            <v>3.2770790021196445</v>
          </cell>
        </row>
        <row r="75">
          <cell r="B75">
            <v>6.3500167060568486</v>
          </cell>
        </row>
        <row r="76">
          <cell r="B76">
            <v>31.280121680786504</v>
          </cell>
        </row>
        <row r="77">
          <cell r="B77">
            <v>62.851716112963096</v>
          </cell>
        </row>
        <row r="78">
          <cell r="B78">
            <v>315.86236192827221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3" sqref="B3"/>
    </sheetView>
  </sheetViews>
  <sheetFormatPr defaultRowHeight="15" x14ac:dyDescent="0.25"/>
  <cols>
    <col min="1" max="1" width="26.5703125" bestFit="1" customWidth="1"/>
    <col min="2" max="2" width="12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7</v>
      </c>
    </row>
    <row r="2" spans="1:5" x14ac:dyDescent="0.25">
      <c r="A2" t="s">
        <v>8</v>
      </c>
      <c r="B2" s="20">
        <v>42419</v>
      </c>
    </row>
    <row r="3" spans="1:5" x14ac:dyDescent="0.25">
      <c r="A3" t="s">
        <v>3</v>
      </c>
      <c r="B3">
        <v>100</v>
      </c>
      <c r="C3">
        <v>0.17199999999999999</v>
      </c>
      <c r="D3" t="s">
        <v>5</v>
      </c>
      <c r="E3" t="s">
        <v>19</v>
      </c>
    </row>
    <row r="4" spans="1:5" x14ac:dyDescent="0.25">
      <c r="A4" t="s">
        <v>9</v>
      </c>
      <c r="B4" t="s">
        <v>128</v>
      </c>
    </row>
    <row r="5" spans="1:5" x14ac:dyDescent="0.25">
      <c r="A5" t="s">
        <v>22</v>
      </c>
      <c r="B5" t="s">
        <v>23</v>
      </c>
    </row>
    <row r="6" spans="1:5" x14ac:dyDescent="0.25">
      <c r="A6" t="s">
        <v>6</v>
      </c>
      <c r="B6">
        <v>631.52245819489701</v>
      </c>
      <c r="C6">
        <v>0.53167165791808602</v>
      </c>
      <c r="D6" t="s">
        <v>20</v>
      </c>
      <c r="E6" t="s">
        <v>13</v>
      </c>
    </row>
    <row r="7" spans="1:5" x14ac:dyDescent="0.25">
      <c r="A7" t="s">
        <v>25</v>
      </c>
      <c r="B7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8"/>
  <sheetViews>
    <sheetView zoomScaleNormal="100" workbookViewId="0">
      <selection activeCell="D8" sqref="D8"/>
    </sheetView>
  </sheetViews>
  <sheetFormatPr defaultRowHeight="15" x14ac:dyDescent="0.25"/>
  <cols>
    <col min="1" max="1" width="30" style="2" bestFit="1" customWidth="1"/>
    <col min="2" max="2" width="31.42578125" style="2" customWidth="1"/>
    <col min="3" max="3" width="12" style="2" customWidth="1"/>
    <col min="4" max="4" width="24.28515625" style="2" customWidth="1"/>
    <col min="5" max="5" width="10" style="2" customWidth="1"/>
    <col min="6" max="6" width="59" style="2" bestFit="1" customWidth="1"/>
    <col min="7" max="7" width="20.7109375" style="2" bestFit="1" customWidth="1"/>
    <col min="8" max="8" width="34.140625" style="2" bestFit="1" customWidth="1"/>
    <col min="9" max="9" width="34.140625" style="2" customWidth="1"/>
    <col min="10" max="10" width="37.140625" style="2" bestFit="1" customWidth="1"/>
    <col min="11" max="11" width="18.7109375" style="2" customWidth="1"/>
    <col min="12" max="12" width="32.85546875" bestFit="1" customWidth="1"/>
    <col min="13" max="13" width="34.7109375" bestFit="1" customWidth="1"/>
    <col min="14" max="14" width="35.5703125" bestFit="1" customWidth="1"/>
    <col min="15" max="15" width="14.5703125" bestFit="1" customWidth="1"/>
    <col min="23" max="23" width="18" bestFit="1" customWidth="1"/>
    <col min="24" max="24" width="12.7109375" bestFit="1" customWidth="1"/>
    <col min="25" max="25" width="12.7109375" style="22" customWidth="1"/>
    <col min="26" max="16384" width="9.140625" style="22"/>
  </cols>
  <sheetData>
    <row r="1" spans="1:25" x14ac:dyDescent="0.25">
      <c r="B1" s="3" t="s">
        <v>42</v>
      </c>
      <c r="C1" s="3" t="s">
        <v>43</v>
      </c>
      <c r="D1" s="4" t="s">
        <v>44</v>
      </c>
      <c r="E1" s="4" t="s">
        <v>21</v>
      </c>
      <c r="F1" s="2" t="s">
        <v>136</v>
      </c>
      <c r="G1" s="2" t="s">
        <v>137</v>
      </c>
      <c r="H1" s="2" t="s">
        <v>138</v>
      </c>
      <c r="I1" s="21" t="s">
        <v>139</v>
      </c>
      <c r="J1" s="21" t="s">
        <v>140</v>
      </c>
      <c r="K1" s="2" t="s">
        <v>139</v>
      </c>
      <c r="L1" s="2"/>
      <c r="M1" s="2"/>
      <c r="N1" s="2"/>
      <c r="O1" s="2"/>
    </row>
    <row r="2" spans="1:25" x14ac:dyDescent="0.25">
      <c r="A2" s="3" t="s">
        <v>45</v>
      </c>
      <c r="B2" s="2">
        <v>69.266666666666666</v>
      </c>
      <c r="C2" s="2">
        <v>4.0713088258637899</v>
      </c>
      <c r="D2" s="2">
        <f>B2/60</f>
        <v>1.1544444444444444</v>
      </c>
      <c r="E2" s="2">
        <f>C2/60</f>
        <v>6.7855147097729829E-2</v>
      </c>
      <c r="G2" s="15">
        <f>0</f>
        <v>0</v>
      </c>
      <c r="H2" s="2">
        <f t="shared" ref="H2:H9" si="0">D2*$B$31+$B$30</f>
        <v>13.59388481434063</v>
      </c>
      <c r="I2" s="2" t="e">
        <f t="shared" ref="I2:I9" si="1">ABS(H2-G2)/G2</f>
        <v>#DIV/0!</v>
      </c>
      <c r="J2" s="2">
        <f t="shared" ref="J2:J9" si="2">D2*$B$65+$B$64</f>
        <v>0.21289126954511683</v>
      </c>
      <c r="K2" s="2" t="e">
        <f t="shared" ref="K2:K9" si="3">ABS(J2-G2)/G2</f>
        <v>#DIV/0!</v>
      </c>
    </row>
    <row r="3" spans="1:25" x14ac:dyDescent="0.25">
      <c r="A3" s="3" t="s">
        <v>36</v>
      </c>
      <c r="B3" s="2">
        <v>213.53333333333333</v>
      </c>
      <c r="C3" s="2">
        <v>4.5389670875898238</v>
      </c>
      <c r="D3" s="2">
        <f t="shared" ref="D3:E10" si="4">B3/60</f>
        <v>3.5588888888888888</v>
      </c>
      <c r="E3" s="2">
        <f t="shared" si="4"/>
        <v>7.5649451459830402E-2</v>
      </c>
      <c r="G3" s="15">
        <f>F7*0.01</f>
        <v>0.63155000000000006</v>
      </c>
      <c r="H3" s="2">
        <f t="shared" si="0"/>
        <v>14.01045331215874</v>
      </c>
      <c r="I3" s="2">
        <f t="shared" si="1"/>
        <v>21.184234521666912</v>
      </c>
      <c r="J3" s="2">
        <f t="shared" si="2"/>
        <v>0.77811330025655845</v>
      </c>
      <c r="K3" s="2">
        <f t="shared" si="3"/>
        <v>0.23206919524433281</v>
      </c>
    </row>
    <row r="4" spans="1:25" x14ac:dyDescent="0.25">
      <c r="A4" s="3" t="s">
        <v>37</v>
      </c>
      <c r="B4" s="2">
        <v>851.36666666666679</v>
      </c>
      <c r="C4" s="2">
        <v>12.530584805000577</v>
      </c>
      <c r="D4" s="2">
        <f t="shared" si="4"/>
        <v>14.189444444444446</v>
      </c>
      <c r="E4" s="2">
        <f t="shared" si="4"/>
        <v>0.20884308008334296</v>
      </c>
      <c r="G4" s="15">
        <f>F7*0.05</f>
        <v>3.1577500000000001</v>
      </c>
      <c r="H4" s="2">
        <f t="shared" si="0"/>
        <v>15.852190420696065</v>
      </c>
      <c r="I4" s="2">
        <f t="shared" si="1"/>
        <v>4.020090387363175</v>
      </c>
      <c r="J4" s="2">
        <f t="shared" si="2"/>
        <v>3.2770790021196445</v>
      </c>
      <c r="K4" s="2">
        <f t="shared" si="3"/>
        <v>3.7789249345149073E-2</v>
      </c>
    </row>
    <row r="5" spans="1:25" x14ac:dyDescent="0.25">
      <c r="A5" s="3" t="s">
        <v>38</v>
      </c>
      <c r="B5" s="2">
        <v>1635.7</v>
      </c>
      <c r="C5" s="2">
        <v>32.620954410720707</v>
      </c>
      <c r="D5" s="2">
        <f t="shared" si="4"/>
        <v>27.261666666666667</v>
      </c>
      <c r="E5" s="2">
        <f t="shared" si="4"/>
        <v>0.54368257351201177</v>
      </c>
      <c r="G5" s="15">
        <f>F7*0.1</f>
        <v>6.3155000000000001</v>
      </c>
      <c r="H5" s="2">
        <f t="shared" si="0"/>
        <v>18.116944753796837</v>
      </c>
      <c r="I5" s="2">
        <f t="shared" si="1"/>
        <v>1.8686477323722328</v>
      </c>
      <c r="J5" s="2">
        <f t="shared" si="2"/>
        <v>6.3500167060568486</v>
      </c>
      <c r="K5" s="2">
        <f t="shared" si="3"/>
        <v>5.4653956229670708E-3</v>
      </c>
    </row>
    <row r="6" spans="1:25" x14ac:dyDescent="0.25">
      <c r="A6" s="3" t="s">
        <v>39</v>
      </c>
      <c r="B6" s="2">
        <v>7998.833333333333</v>
      </c>
      <c r="C6" s="2">
        <v>50.234140670352431</v>
      </c>
      <c r="D6" s="2">
        <f t="shared" si="4"/>
        <v>133.3138888888889</v>
      </c>
      <c r="E6" s="2">
        <f t="shared" si="4"/>
        <v>0.83723567783920716</v>
      </c>
      <c r="G6" s="15">
        <f>F7*0.5</f>
        <v>31.577500000000001</v>
      </c>
      <c r="H6" s="2">
        <f t="shared" si="0"/>
        <v>36.490425997440632</v>
      </c>
      <c r="I6" s="2">
        <f t="shared" si="1"/>
        <v>0.15558312081199052</v>
      </c>
      <c r="J6" s="2">
        <f t="shared" si="2"/>
        <v>31.280121680786504</v>
      </c>
      <c r="K6" s="2">
        <f t="shared" si="3"/>
        <v>9.4174117397988009E-3</v>
      </c>
    </row>
    <row r="7" spans="1:25" x14ac:dyDescent="0.25">
      <c r="A7" s="3" t="s">
        <v>40</v>
      </c>
      <c r="B7" s="2">
        <v>16057.133333333333</v>
      </c>
      <c r="C7" s="2">
        <v>53.513259001171903</v>
      </c>
      <c r="D7" s="2">
        <f t="shared" si="4"/>
        <v>267.61888888888888</v>
      </c>
      <c r="E7" s="2">
        <f t="shared" si="4"/>
        <v>0.89188765001953174</v>
      </c>
      <c r="F7">
        <v>63.155000000000001</v>
      </c>
      <c r="G7" s="15">
        <f>F7</f>
        <v>63.155000000000001</v>
      </c>
      <c r="H7" s="2">
        <f t="shared" si="0"/>
        <v>59.758683340100134</v>
      </c>
      <c r="I7" s="2">
        <f t="shared" si="1"/>
        <v>5.3777478582849605E-2</v>
      </c>
      <c r="J7" s="2">
        <f t="shared" si="2"/>
        <v>62.851716112963096</v>
      </c>
      <c r="K7" s="2">
        <f t="shared" si="3"/>
        <v>4.8022149796042241E-3</v>
      </c>
    </row>
    <row r="8" spans="1:25" x14ac:dyDescent="0.25">
      <c r="A8" s="3" t="s">
        <v>41</v>
      </c>
      <c r="B8" s="2">
        <v>80635.3</v>
      </c>
      <c r="C8" s="2">
        <v>80.454997758225829</v>
      </c>
      <c r="D8" s="2">
        <f t="shared" si="4"/>
        <v>1343.9216666666666</v>
      </c>
      <c r="E8" s="2">
        <f t="shared" si="4"/>
        <v>1.3409166293037638</v>
      </c>
      <c r="G8" s="15">
        <f>F7*5</f>
        <v>315.77499999999998</v>
      </c>
      <c r="H8" s="2">
        <f t="shared" si="0"/>
        <v>246.2274671676017</v>
      </c>
      <c r="I8" s="2">
        <f t="shared" si="1"/>
        <v>0.22024394848356671</v>
      </c>
      <c r="J8" s="2">
        <f t="shared" si="2"/>
        <v>315.86236192827221</v>
      </c>
      <c r="K8" s="2">
        <f t="shared" si="3"/>
        <v>2.7665878638977192E-4</v>
      </c>
    </row>
    <row r="9" spans="1:25" x14ac:dyDescent="0.25">
      <c r="A9" s="4" t="s">
        <v>141</v>
      </c>
      <c r="B9" s="2">
        <v>337473.1</v>
      </c>
      <c r="C9" s="2">
        <f>0.11/100*B9</f>
        <v>371.22041000000002</v>
      </c>
      <c r="D9" s="2">
        <f t="shared" si="4"/>
        <v>5624.5516666666663</v>
      </c>
      <c r="E9" s="2">
        <f t="shared" si="4"/>
        <v>6.1870068333333332</v>
      </c>
      <c r="F9">
        <f>'[1]Gamma Counter Geometry'!E3</f>
        <v>971.28169014084517</v>
      </c>
      <c r="G9" s="6">
        <f>F9</f>
        <v>971.28169014084517</v>
      </c>
      <c r="H9" s="2">
        <f t="shared" si="0"/>
        <v>987.8439403347104</v>
      </c>
      <c r="I9" s="2">
        <f t="shared" si="1"/>
        <v>1.7051953477537025E-2</v>
      </c>
      <c r="J9" s="2">
        <f t="shared" si="2"/>
        <v>1322.1265685788667</v>
      </c>
      <c r="K9" s="2">
        <f t="shared" si="3"/>
        <v>0.36121846216121467</v>
      </c>
    </row>
    <row r="10" spans="1:25" x14ac:dyDescent="0.25">
      <c r="A10" s="4" t="s">
        <v>142</v>
      </c>
      <c r="B10" s="21">
        <v>173514.3</v>
      </c>
      <c r="C10" s="2">
        <f>0.15/100*B10</f>
        <v>260.27145000000002</v>
      </c>
      <c r="D10" s="2">
        <f t="shared" si="4"/>
        <v>2891.9049999999997</v>
      </c>
      <c r="E10" s="2">
        <f t="shared" si="4"/>
        <v>4.3378575000000001</v>
      </c>
      <c r="F10"/>
      <c r="G10"/>
      <c r="H10" s="5"/>
      <c r="I10" s="5"/>
      <c r="J10" s="5"/>
      <c r="K10" s="5"/>
    </row>
    <row r="11" spans="1:25" x14ac:dyDescent="0.25">
      <c r="D11"/>
      <c r="F11"/>
      <c r="G11"/>
      <c r="H11" s="5" t="s">
        <v>143</v>
      </c>
      <c r="I11" s="5">
        <f>AVERAGE(I3:I9)</f>
        <v>3.9313755918226088</v>
      </c>
      <c r="J11" s="5"/>
      <c r="K11" s="5">
        <f>AVERAGE(K3:K9)</f>
        <v>9.3005512554208067E-2</v>
      </c>
    </row>
    <row r="12" spans="1:25" x14ac:dyDescent="0.25">
      <c r="A12" s="23" t="s">
        <v>144</v>
      </c>
      <c r="B12" s="24"/>
      <c r="C12" s="24"/>
      <c r="D12" s="24"/>
      <c r="E12" s="24"/>
      <c r="F12" s="24"/>
      <c r="G12" s="24"/>
      <c r="H12" s="24"/>
      <c r="I12" s="24"/>
      <c r="J12" s="25"/>
      <c r="K12" s="24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2"/>
      <c r="W12" s="22"/>
      <c r="X12" s="22"/>
    </row>
    <row r="13" spans="1:25" x14ac:dyDescent="0.25">
      <c r="A13" s="22" t="s">
        <v>145</v>
      </c>
      <c r="B13" s="22"/>
      <c r="C13" s="22"/>
      <c r="D13" s="22"/>
      <c r="E13" s="22"/>
      <c r="F13" s="22"/>
      <c r="G13" s="22"/>
      <c r="H13" s="22"/>
      <c r="I13" s="22"/>
      <c r="J13" s="22"/>
      <c r="K13" s="27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</row>
    <row r="14" spans="1:25" x14ac:dyDescent="0.25">
      <c r="A14" t="s">
        <v>47</v>
      </c>
      <c r="B14"/>
      <c r="C14"/>
      <c r="D14"/>
      <c r="E14"/>
      <c r="F14"/>
      <c r="G14"/>
      <c r="H14"/>
      <c r="I14"/>
      <c r="J14"/>
      <c r="K14" s="27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</row>
    <row r="15" spans="1:25" ht="15.75" thickBot="1" x14ac:dyDescent="0.3">
      <c r="A15"/>
      <c r="B15"/>
      <c r="C15"/>
      <c r="D15"/>
      <c r="E15"/>
      <c r="F15"/>
      <c r="G15"/>
      <c r="H15"/>
      <c r="I15"/>
      <c r="J15"/>
      <c r="K15" s="27"/>
      <c r="L15" s="9"/>
      <c r="M15" s="9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</row>
    <row r="16" spans="1:25" x14ac:dyDescent="0.25">
      <c r="A16" s="7" t="s">
        <v>48</v>
      </c>
      <c r="B16" s="7"/>
      <c r="C16"/>
      <c r="D16"/>
      <c r="E16"/>
      <c r="F16"/>
      <c r="G16"/>
      <c r="H16"/>
      <c r="I16"/>
      <c r="J16"/>
      <c r="K16" s="27"/>
      <c r="L16" s="8"/>
      <c r="M16" s="8"/>
      <c r="N16" s="22"/>
      <c r="O16" s="22"/>
      <c r="P16" s="22"/>
      <c r="Q16" s="22"/>
      <c r="R16" s="22"/>
      <c r="S16" s="22"/>
      <c r="T16" s="22"/>
      <c r="U16" s="22"/>
      <c r="V16" s="22"/>
      <c r="W16" s="9"/>
      <c r="X16" s="9"/>
      <c r="Y16" s="9"/>
    </row>
    <row r="17" spans="1:25" x14ac:dyDescent="0.25">
      <c r="A17" s="8" t="s">
        <v>49</v>
      </c>
      <c r="B17" s="8">
        <v>0.99638845963226397</v>
      </c>
      <c r="C17"/>
      <c r="D17"/>
      <c r="E17"/>
      <c r="F17"/>
      <c r="G17"/>
      <c r="H17"/>
      <c r="I17"/>
      <c r="J17"/>
      <c r="K17" s="27"/>
      <c r="L17" s="8"/>
      <c r="M17" s="8"/>
      <c r="N17" s="22"/>
      <c r="O17" s="22"/>
      <c r="P17" s="22"/>
      <c r="Q17" s="22"/>
      <c r="R17" s="22"/>
      <c r="S17" s="22"/>
      <c r="T17" s="22"/>
      <c r="U17" s="22"/>
      <c r="V17" s="22"/>
      <c r="W17" s="8"/>
      <c r="X17" s="8"/>
      <c r="Y17" s="8"/>
    </row>
    <row r="18" spans="1:25" x14ac:dyDescent="0.25">
      <c r="A18" s="8" t="s">
        <v>50</v>
      </c>
      <c r="B18" s="8">
        <v>0.99278996248835572</v>
      </c>
      <c r="C18"/>
      <c r="D18"/>
      <c r="E18"/>
      <c r="F18"/>
      <c r="G18"/>
      <c r="H18"/>
      <c r="I18"/>
      <c r="J18"/>
      <c r="K18" s="27"/>
      <c r="L18" s="8"/>
      <c r="M18" s="8"/>
      <c r="N18" s="22"/>
      <c r="O18" s="22"/>
      <c r="P18" s="22"/>
      <c r="Q18" s="22"/>
      <c r="R18" s="22"/>
      <c r="S18" s="22"/>
      <c r="T18" s="22"/>
      <c r="U18" s="22"/>
      <c r="V18" s="22"/>
      <c r="W18" s="8"/>
      <c r="X18" s="8"/>
      <c r="Y18" s="8"/>
    </row>
    <row r="19" spans="1:25" x14ac:dyDescent="0.25">
      <c r="A19" s="8" t="s">
        <v>51</v>
      </c>
      <c r="B19" s="8">
        <v>0.99158828956974832</v>
      </c>
      <c r="C19"/>
      <c r="D19"/>
      <c r="E19"/>
      <c r="F19"/>
      <c r="G19"/>
      <c r="H19"/>
      <c r="I19"/>
      <c r="J19"/>
      <c r="K19" s="27"/>
      <c r="L19" s="8"/>
      <c r="M19" s="8"/>
      <c r="N19" s="22"/>
      <c r="O19" s="22"/>
      <c r="P19" s="22"/>
      <c r="Q19" s="22"/>
      <c r="R19" s="22"/>
      <c r="S19" s="22"/>
      <c r="T19" s="22"/>
      <c r="U19" s="22"/>
      <c r="V19" s="22"/>
      <c r="W19" s="8"/>
      <c r="X19" s="8"/>
      <c r="Y19" s="8"/>
    </row>
    <row r="20" spans="1:25" ht="15.75" customHeight="1" x14ac:dyDescent="0.25">
      <c r="A20" s="8" t="s">
        <v>52</v>
      </c>
      <c r="B20" s="8">
        <v>31.120869035963445</v>
      </c>
      <c r="C20"/>
      <c r="D20"/>
      <c r="E20"/>
      <c r="F20"/>
      <c r="G20"/>
      <c r="H20"/>
      <c r="I20"/>
      <c r="J20"/>
      <c r="K20" s="27"/>
      <c r="L20" s="8"/>
      <c r="M20" s="8"/>
      <c r="N20" s="22"/>
      <c r="O20" s="22"/>
      <c r="P20" s="22"/>
      <c r="Q20" s="22"/>
      <c r="R20" s="22"/>
      <c r="S20" s="22"/>
      <c r="T20" s="22"/>
      <c r="U20" s="22"/>
      <c r="V20" s="22"/>
      <c r="W20" s="8"/>
      <c r="X20" s="8"/>
      <c r="Y20" s="8"/>
    </row>
    <row r="21" spans="1:25" ht="15.75" thickBot="1" x14ac:dyDescent="0.3">
      <c r="A21" s="10" t="s">
        <v>53</v>
      </c>
      <c r="B21" s="10">
        <v>8</v>
      </c>
      <c r="C21"/>
      <c r="D21"/>
      <c r="E21"/>
      <c r="F21"/>
      <c r="G21"/>
      <c r="H21"/>
      <c r="I21"/>
      <c r="J21"/>
      <c r="K21" s="27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8"/>
      <c r="X21" s="8"/>
      <c r="Y21" s="8"/>
    </row>
    <row r="22" spans="1:25" ht="15.75" customHeight="1" x14ac:dyDescent="0.25">
      <c r="A22"/>
      <c r="B22"/>
      <c r="C22"/>
      <c r="D22"/>
      <c r="E22"/>
      <c r="F22"/>
      <c r="G22"/>
      <c r="H22"/>
      <c r="I22"/>
      <c r="J22"/>
      <c r="K22" s="27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</row>
    <row r="23" spans="1:25" ht="15.75" thickBot="1" x14ac:dyDescent="0.3">
      <c r="A23" t="s">
        <v>54</v>
      </c>
      <c r="B23"/>
      <c r="C23"/>
      <c r="D23"/>
      <c r="E23"/>
      <c r="F23"/>
      <c r="G23"/>
      <c r="H23"/>
      <c r="I23"/>
      <c r="J23"/>
      <c r="K23" s="27"/>
      <c r="L23" s="14"/>
      <c r="M23" s="14"/>
      <c r="N23" s="14"/>
      <c r="O23" s="14"/>
      <c r="P23" s="14"/>
      <c r="Q23" s="14"/>
      <c r="R23" s="22"/>
      <c r="S23" s="22"/>
      <c r="T23" s="22"/>
      <c r="U23" s="22"/>
      <c r="V23" s="22"/>
      <c r="W23" s="22"/>
      <c r="X23" s="22"/>
    </row>
    <row r="24" spans="1:25" x14ac:dyDescent="0.25">
      <c r="A24" s="11"/>
      <c r="B24" s="11" t="s">
        <v>55</v>
      </c>
      <c r="C24" s="11" t="s">
        <v>56</v>
      </c>
      <c r="D24" s="11" t="s">
        <v>57</v>
      </c>
      <c r="E24" s="11" t="s">
        <v>58</v>
      </c>
      <c r="F24" s="11" t="s">
        <v>59</v>
      </c>
      <c r="G24"/>
      <c r="H24"/>
      <c r="I24"/>
      <c r="J24"/>
      <c r="K24" s="27"/>
      <c r="L24" s="8"/>
      <c r="M24" s="8"/>
      <c r="N24" s="8"/>
      <c r="O24" s="8"/>
      <c r="P24" s="8"/>
      <c r="Q24" s="8"/>
      <c r="R24" s="22"/>
      <c r="S24" s="22"/>
      <c r="T24" s="22"/>
      <c r="U24" s="22"/>
      <c r="V24" s="22"/>
      <c r="W24" s="14"/>
      <c r="X24" s="14"/>
      <c r="Y24" s="14"/>
    </row>
    <row r="25" spans="1:25" x14ac:dyDescent="0.25">
      <c r="A25" s="8" t="s">
        <v>60</v>
      </c>
      <c r="B25" s="8">
        <v>1</v>
      </c>
      <c r="C25" s="8">
        <v>800155.75962872477</v>
      </c>
      <c r="D25" s="8">
        <v>800155.75962872477</v>
      </c>
      <c r="E25" s="8">
        <v>826.17320163867453</v>
      </c>
      <c r="F25" s="8">
        <v>1.1744656818992979E-7</v>
      </c>
      <c r="G25"/>
      <c r="H25"/>
      <c r="I25"/>
      <c r="J25"/>
      <c r="K25" s="27"/>
      <c r="L25" s="8"/>
      <c r="M25" s="8"/>
      <c r="N25" s="8"/>
      <c r="O25" s="8"/>
      <c r="P25" s="8"/>
      <c r="Q25" s="8"/>
      <c r="R25" s="22"/>
      <c r="S25" s="22"/>
      <c r="T25" s="22"/>
      <c r="U25" s="22"/>
      <c r="V25" s="22"/>
      <c r="W25" s="8"/>
      <c r="X25" s="8"/>
      <c r="Y25" s="8"/>
    </row>
    <row r="26" spans="1:25" ht="15.75" customHeight="1" x14ac:dyDescent="0.25">
      <c r="A26" s="8" t="s">
        <v>61</v>
      </c>
      <c r="B26" s="8">
        <v>6</v>
      </c>
      <c r="C26" s="8">
        <v>5811.0509373215291</v>
      </c>
      <c r="D26" s="8">
        <v>968.50848955358822</v>
      </c>
      <c r="E26" s="8"/>
      <c r="F26" s="8"/>
      <c r="G26"/>
      <c r="H26"/>
      <c r="I26"/>
      <c r="J26"/>
      <c r="K26" s="27"/>
      <c r="L26" s="8"/>
      <c r="M26" s="8"/>
      <c r="N26" s="8"/>
      <c r="O26" s="8"/>
      <c r="P26" s="8"/>
      <c r="Q26" s="8"/>
      <c r="R26" s="22"/>
      <c r="S26" s="22"/>
      <c r="T26" s="22"/>
      <c r="U26" s="22"/>
      <c r="V26" s="22"/>
      <c r="W26" s="8"/>
      <c r="X26" s="8"/>
      <c r="Y26" s="8"/>
    </row>
    <row r="27" spans="1:25" ht="15.75" thickBot="1" x14ac:dyDescent="0.3">
      <c r="A27" s="10" t="s">
        <v>62</v>
      </c>
      <c r="B27" s="10">
        <v>7</v>
      </c>
      <c r="C27" s="10">
        <v>805966.81056604628</v>
      </c>
      <c r="D27" s="10"/>
      <c r="E27" s="10"/>
      <c r="F27" s="10"/>
      <c r="G27"/>
      <c r="H27"/>
      <c r="I27"/>
      <c r="J27"/>
      <c r="K27" s="27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8"/>
      <c r="X27" s="8"/>
      <c r="Y27" s="8"/>
    </row>
    <row r="28" spans="1:25" ht="15.75" thickBot="1" x14ac:dyDescent="0.3">
      <c r="A28"/>
      <c r="B28"/>
      <c r="C28"/>
      <c r="D28"/>
      <c r="E28"/>
      <c r="F28"/>
      <c r="G28"/>
      <c r="H28"/>
      <c r="I28"/>
      <c r="J28"/>
      <c r="K28" s="12"/>
      <c r="L28" s="14"/>
      <c r="M28" s="14"/>
      <c r="N28" s="14"/>
      <c r="O28" s="14"/>
      <c r="P28" s="14"/>
      <c r="Q28" s="14"/>
      <c r="R28" s="14"/>
      <c r="S28" s="14"/>
      <c r="T28" s="14"/>
      <c r="U28" s="22"/>
      <c r="V28" s="22"/>
      <c r="W28" s="22"/>
      <c r="X28" s="22"/>
    </row>
    <row r="29" spans="1:25" x14ac:dyDescent="0.25">
      <c r="A29" s="11"/>
      <c r="B29" s="11" t="s">
        <v>63</v>
      </c>
      <c r="C29" s="11" t="s">
        <v>52</v>
      </c>
      <c r="D29" s="11" t="s">
        <v>64</v>
      </c>
      <c r="E29" s="11" t="s">
        <v>65</v>
      </c>
      <c r="F29" s="11" t="s">
        <v>66</v>
      </c>
      <c r="G29" s="11" t="s">
        <v>67</v>
      </c>
      <c r="H29" s="11" t="s">
        <v>68</v>
      </c>
      <c r="I29" s="11"/>
      <c r="J29" s="11" t="s">
        <v>69</v>
      </c>
      <c r="K29" s="13"/>
      <c r="L29" s="8"/>
      <c r="M29" s="8"/>
      <c r="N29" s="8"/>
      <c r="O29" s="8"/>
      <c r="P29" s="8"/>
      <c r="Q29" s="8"/>
      <c r="R29" s="8"/>
      <c r="S29" s="8"/>
      <c r="T29" s="8"/>
      <c r="U29" s="22"/>
      <c r="V29" s="22"/>
      <c r="W29" s="14"/>
      <c r="X29" s="14"/>
      <c r="Y29" s="14"/>
    </row>
    <row r="30" spans="1:25" ht="15.75" customHeight="1" x14ac:dyDescent="0.25">
      <c r="A30" s="8" t="s">
        <v>70</v>
      </c>
      <c r="B30" s="8">
        <v>13.393878035582304</v>
      </c>
      <c r="C30" s="8">
        <v>12.340172637729504</v>
      </c>
      <c r="D30" s="8">
        <v>1.0853882217685631</v>
      </c>
      <c r="E30" s="8">
        <v>0.31942223025602995</v>
      </c>
      <c r="F30" s="8">
        <v>-16.801436636852898</v>
      </c>
      <c r="G30" s="8">
        <v>43.589192708017507</v>
      </c>
      <c r="H30" s="8">
        <v>-16.801436636852898</v>
      </c>
      <c r="I30" s="8"/>
      <c r="J30" s="8">
        <v>43.589192708017507</v>
      </c>
      <c r="K30" s="13"/>
      <c r="L30" s="8"/>
      <c r="M30" s="8"/>
      <c r="N30" s="8"/>
      <c r="O30" s="8"/>
      <c r="P30" s="8"/>
      <c r="Q30" s="8"/>
      <c r="R30" s="8"/>
      <c r="S30" s="8"/>
      <c r="T30" s="8"/>
      <c r="U30" s="22"/>
      <c r="V30" s="22"/>
      <c r="W30" s="8"/>
      <c r="X30" s="8"/>
      <c r="Y30" s="8"/>
    </row>
    <row r="31" spans="1:25" ht="15.75" thickBot="1" x14ac:dyDescent="0.3">
      <c r="A31" s="10" t="s">
        <v>71</v>
      </c>
      <c r="B31" s="10">
        <v>0.17324937524782774</v>
      </c>
      <c r="C31" s="10">
        <v>6.0274848200038023E-3</v>
      </c>
      <c r="D31" s="10">
        <v>28.743228796338709</v>
      </c>
      <c r="E31" s="10">
        <v>1.1744656818992979E-7</v>
      </c>
      <c r="F31" s="10">
        <v>0.15850065120916404</v>
      </c>
      <c r="G31" s="10">
        <v>0.18799809928649144</v>
      </c>
      <c r="H31" s="10">
        <v>0.15850065120916404</v>
      </c>
      <c r="I31" s="10"/>
      <c r="J31" s="10">
        <v>0.18799809928649144</v>
      </c>
      <c r="K31" s="27"/>
      <c r="L31" s="22"/>
      <c r="M31" s="22"/>
      <c r="N31" s="22"/>
      <c r="O31" s="22"/>
      <c r="P31" s="22"/>
      <c r="Q31" s="22"/>
      <c r="R31" s="22"/>
      <c r="S31" s="22"/>
      <c r="T31" s="22"/>
      <c r="U31" s="14"/>
      <c r="V31" s="22"/>
      <c r="W31" s="8"/>
      <c r="X31" s="8"/>
      <c r="Y31" s="8"/>
    </row>
    <row r="32" spans="1:25" x14ac:dyDescent="0.25">
      <c r="A32"/>
      <c r="B32"/>
      <c r="C32"/>
      <c r="D32"/>
      <c r="E32"/>
      <c r="F32"/>
      <c r="G32"/>
      <c r="H32"/>
      <c r="I32"/>
      <c r="J32"/>
      <c r="K32" s="27"/>
      <c r="L32" s="22"/>
      <c r="M32" s="22"/>
      <c r="N32" s="22"/>
      <c r="O32" s="22"/>
      <c r="P32" s="22"/>
      <c r="Q32" s="22"/>
      <c r="R32" s="22"/>
      <c r="S32" s="22"/>
      <c r="T32" s="22"/>
      <c r="U32" s="8"/>
      <c r="V32" s="22"/>
      <c r="W32" s="22"/>
      <c r="X32" s="22"/>
    </row>
    <row r="33" spans="1:25" x14ac:dyDescent="0.25">
      <c r="A33"/>
      <c r="B33"/>
      <c r="C33"/>
      <c r="D33"/>
      <c r="E33"/>
      <c r="F33"/>
      <c r="G33"/>
      <c r="H33"/>
      <c r="I33"/>
      <c r="J33"/>
      <c r="K33" s="27"/>
      <c r="L33" s="22"/>
      <c r="M33" s="22"/>
      <c r="N33" s="22"/>
      <c r="O33" s="22"/>
      <c r="P33" s="22"/>
      <c r="Q33" s="22"/>
      <c r="R33" s="22"/>
      <c r="S33" s="22"/>
      <c r="T33" s="22"/>
      <c r="U33" s="8"/>
      <c r="V33" s="22"/>
      <c r="W33" s="22"/>
      <c r="X33" s="22"/>
    </row>
    <row r="34" spans="1:25" x14ac:dyDescent="0.25">
      <c r="A34"/>
      <c r="B34"/>
      <c r="C34"/>
      <c r="D34"/>
      <c r="E34"/>
      <c r="F34"/>
      <c r="G34"/>
      <c r="H34"/>
      <c r="I34"/>
      <c r="J34"/>
      <c r="K34" s="27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</row>
    <row r="35" spans="1:25" x14ac:dyDescent="0.25">
      <c r="A35" t="s">
        <v>72</v>
      </c>
      <c r="B35"/>
      <c r="C35"/>
      <c r="D35"/>
      <c r="E35"/>
      <c r="F35"/>
      <c r="G35"/>
      <c r="H35"/>
      <c r="I35"/>
      <c r="J35"/>
      <c r="K35" s="27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</row>
    <row r="36" spans="1:25" ht="15.75" thickBot="1" x14ac:dyDescent="0.3">
      <c r="A36"/>
      <c r="B36"/>
      <c r="C36"/>
      <c r="D36"/>
      <c r="E36"/>
      <c r="F36"/>
      <c r="G36"/>
      <c r="H36"/>
      <c r="I36"/>
      <c r="J36"/>
      <c r="K36" s="27"/>
      <c r="L36" s="14"/>
      <c r="M36" s="14"/>
      <c r="N36" s="14"/>
      <c r="O36" s="22"/>
      <c r="P36" s="22"/>
      <c r="Q36" s="22"/>
      <c r="R36" s="22"/>
      <c r="S36" s="22"/>
      <c r="T36" s="22"/>
      <c r="U36" s="22"/>
      <c r="V36" s="22"/>
      <c r="W36" s="22"/>
      <c r="X36" s="22"/>
    </row>
    <row r="37" spans="1:25" x14ac:dyDescent="0.25">
      <c r="A37" s="11" t="s">
        <v>73</v>
      </c>
      <c r="B37" s="11" t="s">
        <v>74</v>
      </c>
      <c r="C37" s="11" t="s">
        <v>75</v>
      </c>
      <c r="D37"/>
      <c r="E37"/>
      <c r="F37"/>
      <c r="G37"/>
      <c r="H37"/>
      <c r="I37"/>
      <c r="J37"/>
      <c r="K37" s="27"/>
      <c r="L37" s="8"/>
      <c r="M37" s="8"/>
      <c r="N37" s="8"/>
      <c r="O37" s="22"/>
      <c r="P37" s="22"/>
      <c r="Q37" s="22"/>
      <c r="R37" s="22"/>
      <c r="S37" s="22"/>
      <c r="T37" s="22"/>
      <c r="U37" s="22"/>
      <c r="V37" s="22"/>
      <c r="W37" s="14"/>
      <c r="X37" s="14"/>
      <c r="Y37" s="14"/>
    </row>
    <row r="38" spans="1:25" x14ac:dyDescent="0.25">
      <c r="A38" s="8">
        <v>1</v>
      </c>
      <c r="B38" s="8">
        <v>13.59388481434063</v>
      </c>
      <c r="C38" s="8">
        <v>-13.59388481434063</v>
      </c>
      <c r="D38"/>
      <c r="E38"/>
      <c r="F38"/>
      <c r="G38"/>
      <c r="H38"/>
      <c r="I38"/>
      <c r="J38"/>
      <c r="K38" s="27"/>
      <c r="L38" s="8"/>
      <c r="M38" s="8"/>
      <c r="N38" s="8"/>
      <c r="O38" s="22"/>
      <c r="P38" s="22"/>
      <c r="Q38" s="22"/>
      <c r="R38" s="22"/>
      <c r="S38" s="22"/>
      <c r="T38" s="22"/>
      <c r="U38" s="22"/>
      <c r="V38" s="22"/>
      <c r="W38" s="8"/>
      <c r="X38" s="8"/>
      <c r="Y38" s="8"/>
    </row>
    <row r="39" spans="1:25" x14ac:dyDescent="0.25">
      <c r="A39" s="8">
        <v>2</v>
      </c>
      <c r="B39" s="8">
        <v>14.01045331215874</v>
      </c>
      <c r="C39" s="8">
        <v>-13.378903312158739</v>
      </c>
      <c r="D39"/>
      <c r="E39"/>
      <c r="F39"/>
      <c r="G39"/>
      <c r="H39"/>
      <c r="I39"/>
      <c r="J39"/>
      <c r="K39" s="27"/>
      <c r="L39" s="8"/>
      <c r="M39" s="8"/>
      <c r="N39" s="8"/>
      <c r="O39" s="22"/>
      <c r="P39" s="22"/>
      <c r="Q39" s="22"/>
      <c r="R39" s="22"/>
      <c r="S39" s="22"/>
      <c r="T39" s="22"/>
      <c r="U39" s="22"/>
      <c r="V39" s="22"/>
      <c r="W39" s="8"/>
      <c r="X39" s="8"/>
      <c r="Y39" s="8"/>
    </row>
    <row r="40" spans="1:25" x14ac:dyDescent="0.25">
      <c r="A40" s="8">
        <v>3</v>
      </c>
      <c r="B40" s="8">
        <v>15.852190420696065</v>
      </c>
      <c r="C40" s="8">
        <v>-12.694440420696065</v>
      </c>
      <c r="D40"/>
      <c r="E40"/>
      <c r="F40"/>
      <c r="G40"/>
      <c r="H40"/>
      <c r="I40"/>
      <c r="J40"/>
      <c r="K40" s="27"/>
      <c r="L40" s="8"/>
      <c r="M40" s="8"/>
      <c r="N40" s="8"/>
      <c r="O40" s="22"/>
      <c r="P40" s="22"/>
      <c r="Q40" s="22"/>
      <c r="R40" s="22"/>
      <c r="S40" s="22"/>
      <c r="T40" s="22"/>
      <c r="U40" s="22"/>
      <c r="V40" s="22"/>
      <c r="W40" s="8"/>
      <c r="X40" s="8"/>
      <c r="Y40" s="8"/>
    </row>
    <row r="41" spans="1:25" x14ac:dyDescent="0.25">
      <c r="A41" s="8">
        <v>4</v>
      </c>
      <c r="B41" s="8">
        <v>18.116944753796837</v>
      </c>
      <c r="C41" s="8">
        <v>-11.801444753796837</v>
      </c>
      <c r="D41"/>
      <c r="E41"/>
      <c r="F41"/>
      <c r="G41"/>
      <c r="H41"/>
      <c r="I41"/>
      <c r="J41"/>
      <c r="K41" s="27"/>
      <c r="L41" s="8"/>
      <c r="M41" s="8"/>
      <c r="N41" s="8"/>
      <c r="O41" s="22"/>
      <c r="P41" s="22"/>
      <c r="Q41" s="22"/>
      <c r="R41" s="22"/>
      <c r="S41" s="22"/>
      <c r="T41" s="22"/>
      <c r="U41" s="22"/>
      <c r="V41" s="22"/>
      <c r="W41" s="8"/>
      <c r="X41" s="8"/>
      <c r="Y41" s="8"/>
    </row>
    <row r="42" spans="1:25" ht="15.75" customHeight="1" x14ac:dyDescent="0.25">
      <c r="A42" s="8">
        <v>5</v>
      </c>
      <c r="B42" s="8">
        <v>36.490425997440632</v>
      </c>
      <c r="C42" s="8">
        <v>-4.912925997440631</v>
      </c>
      <c r="D42"/>
      <c r="E42"/>
      <c r="F42"/>
      <c r="G42"/>
      <c r="H42"/>
      <c r="I42"/>
      <c r="J42"/>
      <c r="K42" s="27"/>
      <c r="L42" s="8"/>
      <c r="M42" s="8"/>
      <c r="N42" s="8"/>
      <c r="O42" s="22"/>
      <c r="P42" s="22"/>
      <c r="Q42" s="22"/>
      <c r="R42" s="22"/>
      <c r="S42" s="22"/>
      <c r="T42" s="22"/>
      <c r="U42" s="22"/>
      <c r="V42" s="22"/>
      <c r="W42" s="8"/>
      <c r="X42" s="8"/>
      <c r="Y42" s="8"/>
    </row>
    <row r="43" spans="1:25" ht="15.75" customHeight="1" x14ac:dyDescent="0.25">
      <c r="A43" s="8">
        <v>6</v>
      </c>
      <c r="B43" s="8">
        <v>59.758683340100134</v>
      </c>
      <c r="C43" s="8">
        <v>3.3963166598998669</v>
      </c>
      <c r="D43"/>
      <c r="E43"/>
      <c r="F43"/>
      <c r="G43"/>
      <c r="H43"/>
      <c r="I43"/>
      <c r="J43"/>
      <c r="K43" s="27"/>
      <c r="L43" s="8"/>
      <c r="M43" s="8"/>
      <c r="N43" s="8"/>
      <c r="O43" s="8"/>
      <c r="P43" s="22"/>
      <c r="Q43" s="22"/>
      <c r="R43" s="22"/>
      <c r="S43" s="22"/>
      <c r="T43" s="22"/>
      <c r="U43" s="22"/>
      <c r="V43" s="22"/>
      <c r="W43" s="8"/>
      <c r="X43" s="8"/>
      <c r="Y43" s="8"/>
    </row>
    <row r="44" spans="1:25" x14ac:dyDescent="0.25">
      <c r="A44" s="8">
        <v>7</v>
      </c>
      <c r="B44" s="8">
        <v>246.2274671676017</v>
      </c>
      <c r="C44" s="8">
        <v>69.547532832398275</v>
      </c>
      <c r="D44"/>
      <c r="E44"/>
      <c r="F44"/>
      <c r="G44"/>
      <c r="H44"/>
      <c r="I44"/>
      <c r="J44"/>
      <c r="K44" s="27"/>
      <c r="L44" s="8"/>
      <c r="M44" s="8"/>
      <c r="N44" s="8"/>
      <c r="O44" s="8"/>
      <c r="P44" s="22"/>
      <c r="Q44" s="22"/>
      <c r="R44" s="22"/>
      <c r="S44" s="22"/>
      <c r="T44" s="22"/>
      <c r="U44" s="22"/>
      <c r="V44" s="22"/>
      <c r="W44" s="8"/>
      <c r="X44" s="8"/>
      <c r="Y44" s="8"/>
    </row>
    <row r="45" spans="1:25" ht="15.75" thickBot="1" x14ac:dyDescent="0.3">
      <c r="A45" s="10">
        <v>8</v>
      </c>
      <c r="B45" s="10">
        <v>987.8439403347104</v>
      </c>
      <c r="C45" s="10">
        <v>-16.562250193865225</v>
      </c>
      <c r="D45"/>
      <c r="E45"/>
      <c r="F45"/>
      <c r="G45"/>
      <c r="H45"/>
      <c r="I45"/>
      <c r="J45"/>
      <c r="K45" s="27"/>
      <c r="L45" s="8"/>
      <c r="M45" s="8"/>
      <c r="N45" s="8"/>
      <c r="O45" s="8"/>
      <c r="P45" s="22"/>
      <c r="Q45" s="22"/>
      <c r="R45" s="22"/>
      <c r="S45" s="22"/>
      <c r="T45" s="22"/>
      <c r="U45" s="22"/>
      <c r="V45" s="22"/>
      <c r="W45" s="22"/>
      <c r="X45" s="22"/>
    </row>
    <row r="46" spans="1:25" x14ac:dyDescent="0.25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4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2"/>
      <c r="W46" s="22"/>
      <c r="X46" s="22"/>
    </row>
    <row r="47" spans="1:25" x14ac:dyDescent="0.25">
      <c r="A47" s="22" t="s">
        <v>146</v>
      </c>
      <c r="B47" s="22"/>
      <c r="C47" s="22"/>
      <c r="D47" s="22"/>
      <c r="E47" s="22"/>
      <c r="F47" s="22"/>
      <c r="G47" s="22"/>
      <c r="H47" s="22"/>
      <c r="I47" s="22"/>
      <c r="J47" s="22"/>
      <c r="K47" s="27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</row>
    <row r="48" spans="1:25" x14ac:dyDescent="0.25">
      <c r="A48" t="s">
        <v>47</v>
      </c>
      <c r="B48"/>
      <c r="C48"/>
      <c r="D48"/>
      <c r="E48"/>
      <c r="F48"/>
      <c r="G48"/>
      <c r="H48"/>
      <c r="I48"/>
      <c r="J48"/>
      <c r="K48" s="27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</row>
    <row r="49" spans="1:24" ht="15.75" thickBot="1" x14ac:dyDescent="0.3">
      <c r="A49"/>
      <c r="B49"/>
      <c r="C49"/>
      <c r="D49"/>
      <c r="E49"/>
      <c r="F49"/>
      <c r="G49"/>
      <c r="H49"/>
      <c r="I49"/>
      <c r="J49"/>
      <c r="K49" s="27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</row>
    <row r="50" spans="1:24" x14ac:dyDescent="0.25">
      <c r="A50" s="7" t="s">
        <v>48</v>
      </c>
      <c r="B50" s="7"/>
      <c r="C50"/>
      <c r="D50"/>
      <c r="E50"/>
      <c r="F50"/>
      <c r="G50"/>
      <c r="H50"/>
      <c r="I50"/>
      <c r="J50"/>
      <c r="K50" s="27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</row>
    <row r="51" spans="1:24" x14ac:dyDescent="0.25">
      <c r="A51" s="8" t="s">
        <v>49</v>
      </c>
      <c r="B51" s="8">
        <v>0.99999829960800468</v>
      </c>
      <c r="C51"/>
      <c r="D51"/>
      <c r="E51"/>
      <c r="F51"/>
      <c r="G51"/>
      <c r="H51"/>
      <c r="I51"/>
      <c r="J51"/>
      <c r="K51" s="27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</row>
    <row r="52" spans="1:24" x14ac:dyDescent="0.25">
      <c r="A52" s="8" t="s">
        <v>50</v>
      </c>
      <c r="B52" s="8">
        <v>0.99999659921890061</v>
      </c>
      <c r="C52"/>
      <c r="D52"/>
      <c r="E52"/>
      <c r="F52"/>
      <c r="G52"/>
      <c r="H52"/>
      <c r="I52"/>
      <c r="J52"/>
      <c r="K52" s="27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</row>
    <row r="53" spans="1:24" x14ac:dyDescent="0.25">
      <c r="A53" s="8" t="s">
        <v>51</v>
      </c>
      <c r="B53" s="8">
        <v>0.9999959190626807</v>
      </c>
      <c r="C53"/>
      <c r="D53"/>
      <c r="E53"/>
      <c r="F53"/>
      <c r="G53"/>
      <c r="H53"/>
      <c r="I53"/>
      <c r="J53"/>
      <c r="K53" s="27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</row>
    <row r="54" spans="1:24" x14ac:dyDescent="0.25">
      <c r="A54" s="8" t="s">
        <v>52</v>
      </c>
      <c r="B54" s="8">
        <v>0.23250006226253306</v>
      </c>
      <c r="C54"/>
      <c r="D54"/>
      <c r="E54"/>
      <c r="F54"/>
      <c r="G54"/>
      <c r="H54"/>
      <c r="I54"/>
      <c r="J54"/>
      <c r="K54" s="27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</row>
    <row r="55" spans="1:24" ht="15.75" thickBot="1" x14ac:dyDescent="0.3">
      <c r="A55" s="10" t="s">
        <v>53</v>
      </c>
      <c r="B55" s="10">
        <v>7</v>
      </c>
      <c r="C55"/>
      <c r="D55"/>
      <c r="E55"/>
      <c r="F55"/>
      <c r="G55"/>
      <c r="H55"/>
      <c r="I55"/>
      <c r="J55"/>
      <c r="K55" s="27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</row>
    <row r="56" spans="1:24" x14ac:dyDescent="0.25">
      <c r="A56"/>
      <c r="B56"/>
      <c r="C56"/>
      <c r="D56"/>
      <c r="E56"/>
      <c r="F56"/>
      <c r="G56"/>
      <c r="H56"/>
      <c r="I56"/>
      <c r="J56"/>
      <c r="K56" s="27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</row>
    <row r="57" spans="1:24" ht="15.75" customHeight="1" thickBot="1" x14ac:dyDescent="0.3">
      <c r="A57" t="s">
        <v>54</v>
      </c>
      <c r="B57"/>
      <c r="C57"/>
      <c r="D57"/>
      <c r="E57"/>
      <c r="F57"/>
      <c r="G57"/>
      <c r="H57"/>
      <c r="I57"/>
      <c r="J57"/>
      <c r="K57" s="27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</row>
    <row r="58" spans="1:24" x14ac:dyDescent="0.25">
      <c r="A58" s="11"/>
      <c r="B58" s="11" t="s">
        <v>55</v>
      </c>
      <c r="C58" s="11" t="s">
        <v>56</v>
      </c>
      <c r="D58" s="11" t="s">
        <v>57</v>
      </c>
      <c r="E58" s="11" t="s">
        <v>58</v>
      </c>
      <c r="F58" s="11" t="s">
        <v>59</v>
      </c>
      <c r="G58"/>
      <c r="H58"/>
      <c r="I58"/>
      <c r="J58"/>
      <c r="K58" s="27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</row>
    <row r="59" spans="1:24" x14ac:dyDescent="0.25">
      <c r="A59" s="8" t="s">
        <v>60</v>
      </c>
      <c r="B59" s="8">
        <v>1</v>
      </c>
      <c r="C59" s="8">
        <v>79475.999096814514</v>
      </c>
      <c r="D59" s="8">
        <v>79475.999096814514</v>
      </c>
      <c r="E59" s="8">
        <v>1470245.4670856295</v>
      </c>
      <c r="F59" s="8">
        <v>7.2414589665769559E-15</v>
      </c>
      <c r="G59"/>
      <c r="H59"/>
      <c r="I59"/>
      <c r="J59"/>
      <c r="K59" s="27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</row>
    <row r="60" spans="1:24" x14ac:dyDescent="0.25">
      <c r="A60" s="8" t="s">
        <v>61</v>
      </c>
      <c r="B60" s="8">
        <v>5</v>
      </c>
      <c r="C60" s="8">
        <v>0.27028139476040874</v>
      </c>
      <c r="D60" s="8">
        <v>5.4056278952081746E-2</v>
      </c>
      <c r="E60" s="8"/>
      <c r="F60" s="8"/>
      <c r="G60"/>
      <c r="H60"/>
      <c r="I60"/>
      <c r="J60"/>
    </row>
    <row r="61" spans="1:24" ht="15.75" thickBot="1" x14ac:dyDescent="0.3">
      <c r="A61" s="10" t="s">
        <v>62</v>
      </c>
      <c r="B61" s="10">
        <v>6</v>
      </c>
      <c r="C61" s="10">
        <v>79476.269378209268</v>
      </c>
      <c r="D61" s="10"/>
      <c r="E61" s="10"/>
      <c r="F61" s="10"/>
      <c r="G61"/>
      <c r="H61"/>
      <c r="I61"/>
      <c r="J61"/>
    </row>
    <row r="62" spans="1:24" ht="15.75" thickBot="1" x14ac:dyDescent="0.3">
      <c r="A62"/>
      <c r="B62"/>
      <c r="C62"/>
      <c r="D62"/>
      <c r="E62"/>
      <c r="F62"/>
      <c r="G62"/>
      <c r="H62"/>
      <c r="I62"/>
      <c r="J62"/>
    </row>
    <row r="63" spans="1:24" x14ac:dyDescent="0.25">
      <c r="A63" s="11"/>
      <c r="B63" s="11" t="s">
        <v>63</v>
      </c>
      <c r="C63" s="11" t="s">
        <v>52</v>
      </c>
      <c r="D63" s="11" t="s">
        <v>64</v>
      </c>
      <c r="E63" s="11" t="s">
        <v>65</v>
      </c>
      <c r="F63" s="11" t="s">
        <v>66</v>
      </c>
      <c r="G63" s="11" t="s">
        <v>67</v>
      </c>
      <c r="H63" s="11" t="s">
        <v>68</v>
      </c>
      <c r="I63" s="11"/>
      <c r="J63" s="11" t="s">
        <v>69</v>
      </c>
    </row>
    <row r="64" spans="1:24" x14ac:dyDescent="0.25">
      <c r="A64" s="8" t="s">
        <v>70</v>
      </c>
      <c r="B64" s="8">
        <v>-5.8488439285376614E-2</v>
      </c>
      <c r="C64" s="8">
        <v>0.10090997906807501</v>
      </c>
      <c r="D64" s="8">
        <v>-0.57961006260758063</v>
      </c>
      <c r="E64" s="8">
        <v>0.58731182151226236</v>
      </c>
      <c r="F64" s="8">
        <v>-0.31788579851221099</v>
      </c>
      <c r="G64" s="8">
        <v>0.20090891994145776</v>
      </c>
      <c r="H64" s="8">
        <v>-0.31788579851221099</v>
      </c>
      <c r="I64" s="8"/>
      <c r="J64" s="8">
        <v>0.20090891994145776</v>
      </c>
    </row>
    <row r="65" spans="1:10" ht="15.75" thickBot="1" x14ac:dyDescent="0.3">
      <c r="A65" s="10" t="s">
        <v>71</v>
      </c>
      <c r="B65" s="10">
        <v>0.23507385750475854</v>
      </c>
      <c r="C65" s="10">
        <v>1.9386946395761538E-4</v>
      </c>
      <c r="D65" s="10">
        <v>1212.5367899926284</v>
      </c>
      <c r="E65" s="10">
        <v>7.2414589665769812E-15</v>
      </c>
      <c r="F65" s="10">
        <v>0.23457550018222453</v>
      </c>
      <c r="G65" s="10">
        <v>0.23557221482729254</v>
      </c>
      <c r="H65" s="10">
        <v>0.23457550018222453</v>
      </c>
      <c r="I65" s="10"/>
      <c r="J65" s="10">
        <v>0.23557221482729254</v>
      </c>
    </row>
    <row r="66" spans="1:10" x14ac:dyDescent="0.25">
      <c r="A66"/>
      <c r="B66"/>
      <c r="C66"/>
      <c r="D66"/>
      <c r="E66"/>
      <c r="F66"/>
      <c r="G66"/>
      <c r="H66"/>
      <c r="I66"/>
      <c r="J66"/>
    </row>
    <row r="67" spans="1:10" x14ac:dyDescent="0.25">
      <c r="A67"/>
      <c r="B67"/>
      <c r="C67"/>
      <c r="D67"/>
      <c r="E67"/>
      <c r="F67"/>
      <c r="G67"/>
      <c r="H67"/>
      <c r="I67"/>
      <c r="J67"/>
    </row>
    <row r="68" spans="1:10" x14ac:dyDescent="0.25">
      <c r="A68"/>
      <c r="B68"/>
      <c r="C68"/>
      <c r="D68"/>
      <c r="E68"/>
      <c r="F68"/>
      <c r="G68"/>
      <c r="H68"/>
      <c r="I68"/>
      <c r="J68"/>
    </row>
    <row r="69" spans="1:10" x14ac:dyDescent="0.25">
      <c r="A69" t="s">
        <v>72</v>
      </c>
      <c r="B69"/>
      <c r="C69"/>
      <c r="D69"/>
      <c r="E69"/>
      <c r="F69"/>
      <c r="G69"/>
      <c r="H69"/>
      <c r="I69"/>
      <c r="J69"/>
    </row>
    <row r="70" spans="1:10" ht="15.75" thickBot="1" x14ac:dyDescent="0.3">
      <c r="A70"/>
      <c r="B70"/>
      <c r="C70"/>
      <c r="D70"/>
      <c r="E70"/>
      <c r="F70"/>
      <c r="G70"/>
      <c r="H70"/>
      <c r="I70"/>
      <c r="J70"/>
    </row>
    <row r="71" spans="1:10" x14ac:dyDescent="0.25">
      <c r="A71" s="11" t="s">
        <v>73</v>
      </c>
      <c r="B71" s="11" t="s">
        <v>74</v>
      </c>
      <c r="C71" s="11" t="s">
        <v>75</v>
      </c>
      <c r="D71"/>
      <c r="E71"/>
      <c r="F71"/>
      <c r="G71"/>
      <c r="H71"/>
      <c r="I71"/>
      <c r="J71"/>
    </row>
    <row r="72" spans="1:10" x14ac:dyDescent="0.25">
      <c r="A72" s="8">
        <v>1</v>
      </c>
      <c r="B72" s="8">
        <v>0.21289126954511683</v>
      </c>
      <c r="C72" s="8">
        <v>-0.21289126954511683</v>
      </c>
      <c r="D72"/>
      <c r="E72"/>
      <c r="F72"/>
      <c r="G72"/>
      <c r="H72"/>
      <c r="I72"/>
      <c r="J72"/>
    </row>
    <row r="73" spans="1:10" x14ac:dyDescent="0.25">
      <c r="A73" s="8">
        <v>2</v>
      </c>
      <c r="B73" s="8">
        <v>0.77811330025655845</v>
      </c>
      <c r="C73" s="8">
        <v>-0.14656330025655839</v>
      </c>
      <c r="D73"/>
      <c r="E73"/>
      <c r="F73"/>
      <c r="G73"/>
      <c r="H73"/>
      <c r="I73"/>
      <c r="J73"/>
    </row>
    <row r="74" spans="1:10" x14ac:dyDescent="0.25">
      <c r="A74" s="8">
        <v>3</v>
      </c>
      <c r="B74" s="8">
        <v>3.2770790021196445</v>
      </c>
      <c r="C74" s="8">
        <v>-0.11932900211964448</v>
      </c>
      <c r="D74"/>
      <c r="E74"/>
      <c r="F74"/>
      <c r="G74"/>
      <c r="H74"/>
      <c r="I74"/>
      <c r="J74"/>
    </row>
    <row r="75" spans="1:10" x14ac:dyDescent="0.25">
      <c r="A75" s="8">
        <v>4</v>
      </c>
      <c r="B75" s="8">
        <v>6.3500167060568486</v>
      </c>
      <c r="C75" s="8">
        <v>-3.4516706056848534E-2</v>
      </c>
      <c r="D75"/>
      <c r="E75"/>
      <c r="F75"/>
      <c r="G75"/>
      <c r="H75"/>
      <c r="I75"/>
      <c r="J75"/>
    </row>
    <row r="76" spans="1:10" x14ac:dyDescent="0.25">
      <c r="A76" s="8">
        <v>5</v>
      </c>
      <c r="B76" s="8">
        <v>31.280121680786504</v>
      </c>
      <c r="C76" s="8">
        <v>0.29737831921349667</v>
      </c>
      <c r="D76"/>
      <c r="E76"/>
      <c r="F76"/>
      <c r="G76"/>
      <c r="H76"/>
      <c r="I76"/>
      <c r="J76"/>
    </row>
    <row r="77" spans="1:10" x14ac:dyDescent="0.25">
      <c r="A77" s="8">
        <v>6</v>
      </c>
      <c r="B77" s="8">
        <v>62.851716112963096</v>
      </c>
      <c r="C77" s="8">
        <v>0.30328388703690479</v>
      </c>
      <c r="D77"/>
      <c r="E77"/>
      <c r="F77"/>
      <c r="G77"/>
      <c r="H77"/>
      <c r="I77"/>
      <c r="J77"/>
    </row>
    <row r="78" spans="1:10" ht="15.75" thickBot="1" x14ac:dyDescent="0.3">
      <c r="A78" s="10">
        <v>7</v>
      </c>
      <c r="B78" s="10">
        <v>315.86236192827221</v>
      </c>
      <c r="C78" s="10">
        <v>-8.7361928272230216E-2</v>
      </c>
      <c r="D78"/>
      <c r="E78"/>
      <c r="F78"/>
      <c r="G78"/>
      <c r="H78"/>
      <c r="I78"/>
      <c r="J78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C23" sqref="C23"/>
    </sheetView>
  </sheetViews>
  <sheetFormatPr defaultRowHeight="15" x14ac:dyDescent="0.25"/>
  <cols>
    <col min="1" max="1" width="14.85546875" bestFit="1" customWidth="1"/>
    <col min="6" max="6" width="12.7109375" bestFit="1" customWidth="1"/>
  </cols>
  <sheetData>
    <row r="1" spans="1:6" x14ac:dyDescent="0.25">
      <c r="A1" t="s">
        <v>14</v>
      </c>
      <c r="B1" t="s">
        <v>15</v>
      </c>
      <c r="C1" t="s">
        <v>16</v>
      </c>
      <c r="D1" t="s">
        <v>11</v>
      </c>
      <c r="E1" t="s">
        <v>17</v>
      </c>
      <c r="F1" t="s">
        <v>18</v>
      </c>
    </row>
    <row r="2" spans="1:6" x14ac:dyDescent="0.25">
      <c r="A2" s="19">
        <v>42459.724305555559</v>
      </c>
      <c r="B2" t="s">
        <v>110</v>
      </c>
      <c r="C2">
        <v>75.400000000000006</v>
      </c>
      <c r="D2">
        <v>7.28</v>
      </c>
      <c r="E2">
        <v>0.11</v>
      </c>
      <c r="F2">
        <v>181.09</v>
      </c>
    </row>
    <row r="3" spans="1:6" x14ac:dyDescent="0.25">
      <c r="A3" s="19">
        <v>42459.724305555559</v>
      </c>
      <c r="B3" t="s">
        <v>111</v>
      </c>
      <c r="C3">
        <v>91.1</v>
      </c>
      <c r="D3">
        <v>6.63</v>
      </c>
      <c r="E3">
        <v>25.26</v>
      </c>
      <c r="F3">
        <v>191.98</v>
      </c>
    </row>
    <row r="4" spans="1:6" x14ac:dyDescent="0.25">
      <c r="A4" s="19">
        <v>42459.724305555559</v>
      </c>
      <c r="B4" t="s">
        <v>112</v>
      </c>
      <c r="C4">
        <v>64.599999999999994</v>
      </c>
      <c r="D4">
        <v>7.87</v>
      </c>
      <c r="E4">
        <v>0.14000000000000001</v>
      </c>
      <c r="F4">
        <v>202.6</v>
      </c>
    </row>
    <row r="5" spans="1:6" x14ac:dyDescent="0.25">
      <c r="A5" s="19">
        <v>42459.724305555559</v>
      </c>
      <c r="B5" t="s">
        <v>113</v>
      </c>
      <c r="C5">
        <v>104.4</v>
      </c>
      <c r="D5">
        <v>6.19</v>
      </c>
      <c r="E5">
        <v>0.1</v>
      </c>
      <c r="F5">
        <v>213.24</v>
      </c>
    </row>
    <row r="6" spans="1:6" x14ac:dyDescent="0.25">
      <c r="A6" s="19">
        <v>42459.724305555559</v>
      </c>
      <c r="B6" t="s">
        <v>114</v>
      </c>
      <c r="C6">
        <v>103.9</v>
      </c>
      <c r="D6">
        <v>6.2</v>
      </c>
      <c r="E6">
        <v>0.09</v>
      </c>
      <c r="F6">
        <v>223.87</v>
      </c>
    </row>
    <row r="7" spans="1:6" x14ac:dyDescent="0.25">
      <c r="A7" s="19">
        <v>42459.724305555559</v>
      </c>
      <c r="B7" t="s">
        <v>115</v>
      </c>
      <c r="C7">
        <v>109.7</v>
      </c>
      <c r="D7">
        <v>6.04</v>
      </c>
      <c r="E7">
        <v>7.0000000000000007E-2</v>
      </c>
      <c r="F7">
        <v>234.51</v>
      </c>
    </row>
    <row r="8" spans="1:6" x14ac:dyDescent="0.25">
      <c r="A8" s="19">
        <v>42459.724305555559</v>
      </c>
      <c r="B8" t="s">
        <v>116</v>
      </c>
      <c r="C8">
        <v>265.8</v>
      </c>
      <c r="D8">
        <v>3.88</v>
      </c>
      <c r="E8">
        <v>0.04</v>
      </c>
      <c r="F8">
        <v>245.14</v>
      </c>
    </row>
    <row r="9" spans="1:6" x14ac:dyDescent="0.25">
      <c r="A9" s="19">
        <v>42459.724305555559</v>
      </c>
      <c r="B9" t="s">
        <v>117</v>
      </c>
      <c r="C9">
        <v>230.2</v>
      </c>
      <c r="D9">
        <v>4.17</v>
      </c>
      <c r="E9">
        <v>0.04</v>
      </c>
      <c r="F9">
        <v>255.77</v>
      </c>
    </row>
    <row r="10" spans="1:6" x14ac:dyDescent="0.25">
      <c r="A10" s="19">
        <v>42459.724305555559</v>
      </c>
      <c r="B10" t="s">
        <v>118</v>
      </c>
      <c r="C10">
        <v>273.5</v>
      </c>
      <c r="D10">
        <v>3.82</v>
      </c>
      <c r="E10">
        <v>0.02</v>
      </c>
      <c r="F10">
        <v>266.5</v>
      </c>
    </row>
    <row r="11" spans="1:6" x14ac:dyDescent="0.25">
      <c r="A11" s="19">
        <v>42459.724305555559</v>
      </c>
      <c r="B11" t="s">
        <v>119</v>
      </c>
      <c r="C11">
        <v>492.7</v>
      </c>
      <c r="D11">
        <v>2.85</v>
      </c>
      <c r="E11">
        <v>0.02</v>
      </c>
      <c r="F11">
        <v>277.13</v>
      </c>
    </row>
    <row r="12" spans="1:6" x14ac:dyDescent="0.25">
      <c r="A12" s="19">
        <v>42459.724305555559</v>
      </c>
      <c r="B12" t="s">
        <v>120</v>
      </c>
      <c r="C12">
        <v>507.9</v>
      </c>
      <c r="D12">
        <v>2.81</v>
      </c>
      <c r="E12">
        <v>0.01</v>
      </c>
      <c r="F12">
        <v>287.76</v>
      </c>
    </row>
    <row r="13" spans="1:6" x14ac:dyDescent="0.25">
      <c r="A13" s="19">
        <v>42459.724305555559</v>
      </c>
      <c r="B13" t="s">
        <v>121</v>
      </c>
      <c r="C13">
        <v>469.8</v>
      </c>
      <c r="D13">
        <v>2.92</v>
      </c>
      <c r="E13">
        <v>0.01</v>
      </c>
      <c r="F13">
        <v>298.39</v>
      </c>
    </row>
    <row r="14" spans="1:6" x14ac:dyDescent="0.25">
      <c r="A14" s="19">
        <v>42459.724305555559</v>
      </c>
      <c r="B14" t="s">
        <v>122</v>
      </c>
      <c r="C14">
        <v>1112.8</v>
      </c>
      <c r="D14">
        <v>1.9</v>
      </c>
      <c r="E14">
        <v>0.01</v>
      </c>
      <c r="F14">
        <v>309.02</v>
      </c>
    </row>
    <row r="15" spans="1:6" x14ac:dyDescent="0.25">
      <c r="A15" s="19">
        <v>42459.724305555559</v>
      </c>
      <c r="B15" t="s">
        <v>123</v>
      </c>
      <c r="C15">
        <v>1090.9000000000001</v>
      </c>
      <c r="D15">
        <v>1.91</v>
      </c>
      <c r="E15">
        <v>0.01</v>
      </c>
      <c r="F15">
        <v>319.66000000000003</v>
      </c>
    </row>
    <row r="16" spans="1:6" x14ac:dyDescent="0.25">
      <c r="A16" s="19">
        <v>42459.724305555559</v>
      </c>
      <c r="B16" t="s">
        <v>124</v>
      </c>
      <c r="C16">
        <v>1203.8</v>
      </c>
      <c r="D16">
        <v>1.82</v>
      </c>
      <c r="E16">
        <v>0.01</v>
      </c>
      <c r="F16">
        <v>330.29</v>
      </c>
    </row>
    <row r="17" spans="1:6" x14ac:dyDescent="0.25">
      <c r="A17" s="19">
        <v>42459.724305555559</v>
      </c>
      <c r="B17" t="s">
        <v>125</v>
      </c>
      <c r="C17">
        <v>2420.1</v>
      </c>
      <c r="D17">
        <v>1.29</v>
      </c>
      <c r="E17">
        <v>0</v>
      </c>
      <c r="F17">
        <v>340.93</v>
      </c>
    </row>
    <row r="18" spans="1:6" x14ac:dyDescent="0.25">
      <c r="A18" s="19">
        <v>42459.724305555559</v>
      </c>
      <c r="B18" t="s">
        <v>126</v>
      </c>
      <c r="C18">
        <v>2166.8000000000002</v>
      </c>
      <c r="D18">
        <v>1.36</v>
      </c>
      <c r="E18">
        <v>0</v>
      </c>
      <c r="F18">
        <v>351.55</v>
      </c>
    </row>
    <row r="19" spans="1:6" x14ac:dyDescent="0.25">
      <c r="A19" s="19">
        <v>42459.724305555559</v>
      </c>
      <c r="B19" t="s">
        <v>127</v>
      </c>
      <c r="C19">
        <v>2342.6</v>
      </c>
      <c r="D19">
        <v>1.31</v>
      </c>
      <c r="E19">
        <v>0</v>
      </c>
      <c r="F19">
        <v>362.2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H29" sqref="H29"/>
    </sheetView>
  </sheetViews>
  <sheetFormatPr defaultRowHeight="15" x14ac:dyDescent="0.25"/>
  <cols>
    <col min="1" max="1" width="9.85546875" bestFit="1" customWidth="1"/>
    <col min="2" max="2" width="9.85546875" customWidth="1"/>
    <col min="3" max="4" width="12" bestFit="1" customWidth="1"/>
    <col min="5" max="5" width="18.42578125" bestFit="1" customWidth="1"/>
    <col min="6" max="6" width="11.85546875" bestFit="1" customWidth="1"/>
    <col min="7" max="7" width="16.7109375" bestFit="1" customWidth="1"/>
    <col min="8" max="8" width="30.85546875" bestFit="1" customWidth="1"/>
  </cols>
  <sheetData>
    <row r="1" spans="1:7" x14ac:dyDescent="0.25">
      <c r="A1" t="s">
        <v>10</v>
      </c>
      <c r="B1" t="s">
        <v>107</v>
      </c>
      <c r="C1" t="s">
        <v>24</v>
      </c>
      <c r="D1" t="s">
        <v>21</v>
      </c>
      <c r="E1" t="s">
        <v>104</v>
      </c>
      <c r="F1" t="s">
        <v>105</v>
      </c>
      <c r="G1" t="s">
        <v>106</v>
      </c>
    </row>
    <row r="2" spans="1:7" x14ac:dyDescent="0.25">
      <c r="A2" t="s">
        <v>110</v>
      </c>
      <c r="B2" s="16" t="s">
        <v>108</v>
      </c>
      <c r="C2">
        <f>'Scintillation Counter Results'!C2/60</f>
        <v>1.2566666666666668</v>
      </c>
      <c r="E2" s="1" t="s">
        <v>46</v>
      </c>
      <c r="F2" s="1">
        <f>C2*'Calibration Data'!$B$65+'Calibration Data'!$B$64</f>
        <v>0.23692104164560329</v>
      </c>
      <c r="G2" s="18">
        <f>'Calibration Data'!$B$54</f>
        <v>0.23250006226253306</v>
      </c>
    </row>
    <row r="3" spans="1:7" x14ac:dyDescent="0.25">
      <c r="A3" t="s">
        <v>111</v>
      </c>
      <c r="B3" s="16" t="s">
        <v>108</v>
      </c>
      <c r="C3">
        <f>'Scintillation Counter Results'!C3/60</f>
        <v>1.5183333333333333</v>
      </c>
      <c r="E3" s="1" t="s">
        <v>46</v>
      </c>
      <c r="F3" s="1">
        <f>C3*'Calibration Data'!$B$65+'Calibration Data'!$B$64</f>
        <v>0.29843203435934845</v>
      </c>
      <c r="G3" s="18">
        <f>'Calibration Data'!$B$54</f>
        <v>0.23250006226253306</v>
      </c>
    </row>
    <row r="4" spans="1:7" x14ac:dyDescent="0.25">
      <c r="A4" t="s">
        <v>112</v>
      </c>
      <c r="B4" s="16" t="s">
        <v>108</v>
      </c>
      <c r="C4">
        <f>'Scintillation Counter Results'!C4/60</f>
        <v>1.0766666666666667</v>
      </c>
      <c r="E4" s="1" t="s">
        <v>46</v>
      </c>
      <c r="F4" s="1">
        <f>C4*'Calibration Data'!$B$65+'Calibration Data'!$B$64</f>
        <v>0.19460774729474672</v>
      </c>
      <c r="G4" s="18">
        <f>'Calibration Data'!$B$54</f>
        <v>0.23250006226253306</v>
      </c>
    </row>
    <row r="5" spans="1:7" x14ac:dyDescent="0.25">
      <c r="A5" t="s">
        <v>113</v>
      </c>
      <c r="B5" s="16" t="s">
        <v>108</v>
      </c>
      <c r="C5">
        <f>'Scintillation Counter Results'!C5/60</f>
        <v>1.74</v>
      </c>
      <c r="E5" s="1" t="s">
        <v>46</v>
      </c>
      <c r="F5" s="1">
        <f>C5*'Calibration Data'!$B$65+'Calibration Data'!$B$64</f>
        <v>0.35054007277290322</v>
      </c>
      <c r="G5" s="18">
        <f>'Calibration Data'!$B$54</f>
        <v>0.23250006226253306</v>
      </c>
    </row>
    <row r="6" spans="1:7" x14ac:dyDescent="0.25">
      <c r="A6" t="s">
        <v>114</v>
      </c>
      <c r="B6" s="16" t="s">
        <v>108</v>
      </c>
      <c r="C6">
        <f>'Scintillation Counter Results'!C6/60</f>
        <v>1.7316666666666667</v>
      </c>
      <c r="E6" s="1" t="s">
        <v>46</v>
      </c>
      <c r="F6" s="1">
        <f>C6*'Calibration Data'!$B$65+'Calibration Data'!$B$64</f>
        <v>0.34858112396036361</v>
      </c>
      <c r="G6" s="18">
        <f>'Calibration Data'!$B$54</f>
        <v>0.23250006226253306</v>
      </c>
    </row>
    <row r="7" spans="1:7" x14ac:dyDescent="0.25">
      <c r="A7" t="s">
        <v>115</v>
      </c>
      <c r="B7" s="16" t="s">
        <v>108</v>
      </c>
      <c r="C7">
        <f>'Scintillation Counter Results'!C7/60</f>
        <v>1.8283333333333334</v>
      </c>
      <c r="E7" s="1" t="s">
        <v>46</v>
      </c>
      <c r="F7" s="1">
        <f>C7*'Calibration Data'!$B$65+'Calibration Data'!$B$64</f>
        <v>0.37130493018582361</v>
      </c>
      <c r="G7" s="18">
        <f>'Calibration Data'!$B$54</f>
        <v>0.23250006226253306</v>
      </c>
    </row>
    <row r="8" spans="1:7" ht="15.75" customHeight="1" x14ac:dyDescent="0.25">
      <c r="A8" t="s">
        <v>116</v>
      </c>
      <c r="B8" s="16" t="s">
        <v>108</v>
      </c>
      <c r="C8">
        <f>'Scintillation Counter Results'!C8/60</f>
        <v>4.4300000000000006</v>
      </c>
      <c r="E8" s="1" t="s">
        <v>46</v>
      </c>
      <c r="F8" s="1">
        <f>C8*'Calibration Data'!$B$65+'Calibration Data'!$B$64</f>
        <v>0.98288874946070393</v>
      </c>
      <c r="G8" s="18">
        <f>'Calibration Data'!$B$54</f>
        <v>0.23250006226253306</v>
      </c>
    </row>
    <row r="9" spans="1:7" x14ac:dyDescent="0.25">
      <c r="A9" t="s">
        <v>117</v>
      </c>
      <c r="B9" s="16" t="s">
        <v>108</v>
      </c>
      <c r="C9">
        <f>'Scintillation Counter Results'!C9/60</f>
        <v>3.8366666666666664</v>
      </c>
      <c r="E9" s="1" t="s">
        <v>46</v>
      </c>
      <c r="F9" s="1">
        <f>C9*'Calibration Data'!$B$65+'Calibration Data'!$B$64</f>
        <v>0.84341159400788024</v>
      </c>
      <c r="G9" s="18">
        <f>'Calibration Data'!$B$54</f>
        <v>0.23250006226253306</v>
      </c>
    </row>
    <row r="10" spans="1:7" x14ac:dyDescent="0.25">
      <c r="A10" t="s">
        <v>118</v>
      </c>
      <c r="B10" s="16" t="s">
        <v>108</v>
      </c>
      <c r="C10">
        <f>'Scintillation Counter Results'!C10/60</f>
        <v>4.5583333333333336</v>
      </c>
      <c r="E10" s="1" t="s">
        <v>46</v>
      </c>
      <c r="F10" s="1">
        <f>C10*'Calibration Data'!$B$65+'Calibration Data'!$B$64</f>
        <v>1.0130565611738145</v>
      </c>
      <c r="G10" s="18">
        <f>'Calibration Data'!$B$54</f>
        <v>0.23250006226253306</v>
      </c>
    </row>
    <row r="11" spans="1:7" x14ac:dyDescent="0.25">
      <c r="A11" t="s">
        <v>119</v>
      </c>
      <c r="B11" s="16" t="s">
        <v>108</v>
      </c>
      <c r="C11">
        <f>'Scintillation Counter Results'!C11/60</f>
        <v>8.211666666666666</v>
      </c>
      <c r="E11" s="1" t="s">
        <v>46</v>
      </c>
      <c r="F11" s="1">
        <f>C11*'Calibration Data'!$B$65+'Calibration Data'!$B$64</f>
        <v>1.8718597205911987</v>
      </c>
      <c r="G11" s="18">
        <f>'Calibration Data'!$B$54</f>
        <v>0.23250006226253306</v>
      </c>
    </row>
    <row r="12" spans="1:7" x14ac:dyDescent="0.25">
      <c r="A12" t="s">
        <v>120</v>
      </c>
      <c r="B12" s="16" t="s">
        <v>108</v>
      </c>
      <c r="C12">
        <f>'Scintillation Counter Results'!C12/60</f>
        <v>8.4649999999999999</v>
      </c>
      <c r="E12" s="1" t="s">
        <v>46</v>
      </c>
      <c r="F12" s="1">
        <f>C12*'Calibration Data'!$B$65+'Calibration Data'!$B$64</f>
        <v>1.9314117644924045</v>
      </c>
      <c r="G12" s="18">
        <f>'Calibration Data'!$B$54</f>
        <v>0.23250006226253306</v>
      </c>
    </row>
    <row r="13" spans="1:7" x14ac:dyDescent="0.25">
      <c r="A13" t="s">
        <v>121</v>
      </c>
      <c r="B13" s="16" t="s">
        <v>108</v>
      </c>
      <c r="C13">
        <f>'Scintillation Counter Results'!C13/60</f>
        <v>7.83</v>
      </c>
      <c r="E13" s="1" t="s">
        <v>46</v>
      </c>
      <c r="F13" s="1">
        <f>C13*'Calibration Data'!$B$65+'Calibration Data'!$B$64</f>
        <v>1.7821398649768827</v>
      </c>
      <c r="G13" s="18">
        <f>'Calibration Data'!$B$54</f>
        <v>0.23250006226253306</v>
      </c>
    </row>
    <row r="14" spans="1:7" x14ac:dyDescent="0.25">
      <c r="A14" t="s">
        <v>122</v>
      </c>
      <c r="B14" s="16" t="s">
        <v>108</v>
      </c>
      <c r="C14">
        <f>'Scintillation Counter Results'!C14/60</f>
        <v>18.546666666666667</v>
      </c>
      <c r="E14" s="1" t="s">
        <v>46</v>
      </c>
      <c r="F14" s="1">
        <f>C14*'Calibration Data'!$B$65+'Calibration Data'!$B$64</f>
        <v>4.3013480379028781</v>
      </c>
      <c r="G14" s="18">
        <f>'Calibration Data'!$B$54</f>
        <v>0.23250006226253306</v>
      </c>
    </row>
    <row r="15" spans="1:7" x14ac:dyDescent="0.25">
      <c r="A15" t="s">
        <v>123</v>
      </c>
      <c r="B15" s="16" t="s">
        <v>108</v>
      </c>
      <c r="C15">
        <f>'Scintillation Counter Results'!C15/60</f>
        <v>18.181666666666668</v>
      </c>
      <c r="E15" s="1" t="s">
        <v>46</v>
      </c>
      <c r="F15" s="1">
        <f>C15*'Calibration Data'!$B$65+'Calibration Data'!$B$64</f>
        <v>4.2155460799136417</v>
      </c>
      <c r="G15" s="18">
        <f>'Calibration Data'!$B$54</f>
        <v>0.23250006226253306</v>
      </c>
    </row>
    <row r="16" spans="1:7" x14ac:dyDescent="0.25">
      <c r="A16" t="s">
        <v>124</v>
      </c>
      <c r="B16" s="16" t="s">
        <v>108</v>
      </c>
      <c r="C16">
        <f>'Scintillation Counter Results'!C16/60</f>
        <v>20.063333333333333</v>
      </c>
      <c r="E16" s="1" t="s">
        <v>46</v>
      </c>
      <c r="F16" s="1">
        <f>C16*'Calibration Data'!$B$65+'Calibration Data'!$B$64</f>
        <v>4.6578767217850956</v>
      </c>
      <c r="G16" s="18">
        <f>'Calibration Data'!$B$54</f>
        <v>0.23250006226253306</v>
      </c>
    </row>
    <row r="17" spans="1:7" x14ac:dyDescent="0.25">
      <c r="A17" t="s">
        <v>125</v>
      </c>
      <c r="B17" s="16" t="s">
        <v>108</v>
      </c>
      <c r="C17">
        <f>'Scintillation Counter Results'!C17/60</f>
        <v>40.335000000000001</v>
      </c>
      <c r="E17" s="1" t="s">
        <v>46</v>
      </c>
      <c r="F17" s="1">
        <f>C17*'Calibration Data'!$B$65+'Calibration Data'!$B$64</f>
        <v>9.4232156031690586</v>
      </c>
      <c r="G17" s="18">
        <f>'Calibration Data'!$B$54</f>
        <v>0.23250006226253306</v>
      </c>
    </row>
    <row r="18" spans="1:7" x14ac:dyDescent="0.25">
      <c r="A18" t="s">
        <v>126</v>
      </c>
      <c r="B18" s="16" t="s">
        <v>108</v>
      </c>
      <c r="C18">
        <f>'Scintillation Counter Results'!C18/60</f>
        <v>36.113333333333337</v>
      </c>
      <c r="E18" s="1" t="s">
        <v>46</v>
      </c>
      <c r="F18" s="1">
        <f>C18*'Calibration Data'!$B$65+'Calibration Data'!$B$64</f>
        <v>8.4308121347364704</v>
      </c>
      <c r="G18" s="18">
        <f>'Calibration Data'!$B$54</f>
        <v>0.23250006226253306</v>
      </c>
    </row>
    <row r="19" spans="1:7" x14ac:dyDescent="0.25">
      <c r="A19" t="s">
        <v>127</v>
      </c>
      <c r="B19" s="16" t="s">
        <v>108</v>
      </c>
      <c r="C19">
        <f>'Scintillation Counter Results'!C19/60</f>
        <v>39.043333333333329</v>
      </c>
      <c r="E19" s="1" t="s">
        <v>46</v>
      </c>
      <c r="F19" s="1">
        <f>C19*'Calibration Data'!$B$65+'Calibration Data'!$B$64</f>
        <v>9.1195785372254115</v>
      </c>
      <c r="G19" s="18">
        <f>'Calibration Data'!$B$54</f>
        <v>0.23250006226253306</v>
      </c>
    </row>
    <row r="20" spans="1:7" x14ac:dyDescent="0.25">
      <c r="A20" s="16" t="s">
        <v>86</v>
      </c>
      <c r="B20" s="17" t="s">
        <v>109</v>
      </c>
    </row>
    <row r="21" spans="1:7" x14ac:dyDescent="0.25">
      <c r="A21" s="16" t="s">
        <v>87</v>
      </c>
      <c r="B21" s="17" t="s">
        <v>109</v>
      </c>
    </row>
    <row r="22" spans="1:7" x14ac:dyDescent="0.25">
      <c r="A22" s="16" t="s">
        <v>88</v>
      </c>
      <c r="B22" s="17" t="s">
        <v>109</v>
      </c>
    </row>
    <row r="23" spans="1:7" x14ac:dyDescent="0.25">
      <c r="A23" s="16" t="s">
        <v>89</v>
      </c>
      <c r="B23" s="17" t="s">
        <v>109</v>
      </c>
    </row>
    <row r="24" spans="1:7" x14ac:dyDescent="0.25">
      <c r="A24" s="16" t="s">
        <v>90</v>
      </c>
      <c r="B24" s="17" t="s">
        <v>109</v>
      </c>
    </row>
    <row r="25" spans="1:7" x14ac:dyDescent="0.25">
      <c r="A25" s="16" t="s">
        <v>91</v>
      </c>
      <c r="B25" s="17" t="s">
        <v>109</v>
      </c>
    </row>
    <row r="26" spans="1:7" x14ac:dyDescent="0.25">
      <c r="A26" s="16" t="s">
        <v>92</v>
      </c>
      <c r="B26" s="17" t="s">
        <v>109</v>
      </c>
    </row>
    <row r="27" spans="1:7" x14ac:dyDescent="0.25">
      <c r="A27" s="16" t="s">
        <v>93</v>
      </c>
      <c r="B27" s="17" t="s">
        <v>109</v>
      </c>
    </row>
    <row r="28" spans="1:7" x14ac:dyDescent="0.25">
      <c r="A28" s="16" t="s">
        <v>94</v>
      </c>
      <c r="B28" s="17" t="s">
        <v>109</v>
      </c>
    </row>
    <row r="29" spans="1:7" x14ac:dyDescent="0.25">
      <c r="A29" s="16" t="s">
        <v>95</v>
      </c>
      <c r="B29" s="17" t="s">
        <v>109</v>
      </c>
    </row>
    <row r="30" spans="1:7" x14ac:dyDescent="0.25">
      <c r="A30" s="16" t="s">
        <v>96</v>
      </c>
      <c r="B30" s="17" t="s">
        <v>109</v>
      </c>
    </row>
    <row r="31" spans="1:7" x14ac:dyDescent="0.25">
      <c r="A31" s="16" t="s">
        <v>97</v>
      </c>
      <c r="B31" s="17" t="s">
        <v>109</v>
      </c>
    </row>
    <row r="32" spans="1:7" x14ac:dyDescent="0.25">
      <c r="A32" s="16" t="s">
        <v>98</v>
      </c>
      <c r="B32" s="17" t="s">
        <v>109</v>
      </c>
    </row>
    <row r="33" spans="1:2" x14ac:dyDescent="0.25">
      <c r="A33" s="16" t="s">
        <v>99</v>
      </c>
      <c r="B33" s="17" t="s">
        <v>109</v>
      </c>
    </row>
    <row r="34" spans="1:2" x14ac:dyDescent="0.25">
      <c r="A34" s="16" t="s">
        <v>100</v>
      </c>
      <c r="B34" s="17" t="s">
        <v>109</v>
      </c>
    </row>
    <row r="35" spans="1:2" x14ac:dyDescent="0.25">
      <c r="A35" s="16" t="s">
        <v>101</v>
      </c>
      <c r="B35" s="17" t="s">
        <v>109</v>
      </c>
    </row>
    <row r="36" spans="1:2" x14ac:dyDescent="0.25">
      <c r="A36" s="16" t="s">
        <v>102</v>
      </c>
      <c r="B36" s="17" t="s">
        <v>109</v>
      </c>
    </row>
    <row r="37" spans="1:2" x14ac:dyDescent="0.25">
      <c r="A37" s="16" t="s">
        <v>103</v>
      </c>
      <c r="B37" s="17" t="s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2" sqref="J2"/>
    </sheetView>
  </sheetViews>
  <sheetFormatPr defaultRowHeight="15" x14ac:dyDescent="0.25"/>
  <cols>
    <col min="1" max="1" width="9.85546875" bestFit="1" customWidth="1"/>
    <col min="2" max="2" width="24.28515625" bestFit="1" customWidth="1"/>
    <col min="3" max="3" width="16.5703125" bestFit="1" customWidth="1"/>
    <col min="4" max="4" width="8.140625" bestFit="1" customWidth="1"/>
    <col min="5" max="5" width="15.7109375" bestFit="1" customWidth="1"/>
    <col min="6" max="6" width="20.5703125" bestFit="1" customWidth="1"/>
    <col min="7" max="7" width="17.5703125" bestFit="1" customWidth="1"/>
    <col min="8" max="8" width="22.42578125" bestFit="1" customWidth="1"/>
    <col min="9" max="9" width="19.140625" bestFit="1" customWidth="1"/>
    <col min="10" max="10" width="24.42578125" bestFit="1" customWidth="1"/>
    <col min="11" max="11" width="24.7109375" bestFit="1" customWidth="1"/>
    <col min="12" max="12" width="29.85546875" bestFit="1" customWidth="1"/>
    <col min="13" max="13" width="16.28515625" bestFit="1" customWidth="1"/>
    <col min="14" max="14" width="21.140625" bestFit="1" customWidth="1"/>
    <col min="15" max="15" width="24.7109375" bestFit="1" customWidth="1"/>
    <col min="16" max="16" width="29.85546875" bestFit="1" customWidth="1"/>
    <col min="17" max="17" width="11.28515625" bestFit="1" customWidth="1"/>
    <col min="18" max="18" width="12.42578125" bestFit="1" customWidth="1"/>
    <col min="19" max="19" width="16.85546875" bestFit="1" customWidth="1"/>
    <col min="20" max="20" width="18.140625" bestFit="1" customWidth="1"/>
    <col min="21" max="21" width="9" bestFit="1" customWidth="1"/>
    <col min="22" max="22" width="10.140625" bestFit="1" customWidth="1"/>
    <col min="23" max="23" width="13.140625" bestFit="1" customWidth="1"/>
    <col min="24" max="24" width="14.28515625" bestFit="1" customWidth="1"/>
  </cols>
  <sheetData>
    <row r="1" spans="1:23" x14ac:dyDescent="0.25">
      <c r="A1" t="s">
        <v>10</v>
      </c>
      <c r="B1" t="s">
        <v>28</v>
      </c>
      <c r="C1" t="s">
        <v>29</v>
      </c>
      <c r="D1" t="s">
        <v>12</v>
      </c>
      <c r="E1" t="s">
        <v>26</v>
      </c>
      <c r="F1" t="s">
        <v>27</v>
      </c>
      <c r="G1" t="s">
        <v>80</v>
      </c>
      <c r="H1" t="s">
        <v>81</v>
      </c>
      <c r="I1" t="s">
        <v>76</v>
      </c>
      <c r="J1" t="s">
        <v>77</v>
      </c>
      <c r="K1" t="s">
        <v>82</v>
      </c>
      <c r="L1" t="s">
        <v>83</v>
      </c>
      <c r="M1" t="s">
        <v>78</v>
      </c>
      <c r="N1" t="s">
        <v>79</v>
      </c>
      <c r="O1" t="s">
        <v>84</v>
      </c>
      <c r="P1" t="s">
        <v>85</v>
      </c>
      <c r="Q1" t="s">
        <v>30</v>
      </c>
      <c r="R1" t="s">
        <v>31</v>
      </c>
      <c r="S1" t="s">
        <v>34</v>
      </c>
      <c r="T1" t="s">
        <v>35</v>
      </c>
      <c r="U1" t="s">
        <v>32</v>
      </c>
      <c r="V1" t="s">
        <v>33</v>
      </c>
      <c r="W1" t="s">
        <v>132</v>
      </c>
    </row>
    <row r="2" spans="1:23" x14ac:dyDescent="0.25">
      <c r="A2" t="s">
        <v>110</v>
      </c>
      <c r="D2" s="1"/>
      <c r="E2" s="1"/>
      <c r="F2" s="1"/>
      <c r="G2" s="1">
        <v>100</v>
      </c>
      <c r="H2" s="1">
        <v>5</v>
      </c>
      <c r="I2" s="1">
        <f>'Count-&gt;Actual Activity'!F2</f>
        <v>0.23692104164560329</v>
      </c>
      <c r="J2" s="1">
        <f>'Count-&gt;Actual Activity'!G2</f>
        <v>0.23250006226253306</v>
      </c>
      <c r="K2" s="1"/>
      <c r="L2" s="1"/>
      <c r="M2" s="1"/>
      <c r="N2" s="1"/>
      <c r="O2" s="1"/>
      <c r="P2" s="1"/>
      <c r="Q2" t="e">
        <f>I2/K2</f>
        <v>#DIV/0!</v>
      </c>
      <c r="R2" t="e">
        <f>SQRT((L2/K2)^2+(J2/I2)^2)*Q2</f>
        <v>#DIV/0!</v>
      </c>
      <c r="S2">
        <f>B2*Parameters!$B$6</f>
        <v>0</v>
      </c>
      <c r="T2" t="e">
        <f>SQRT((C2/B2)^2+(Parameters!$C$6/Parameters!$B$6)^2)*'Bottle Results'!S2</f>
        <v>#DIV/0!</v>
      </c>
      <c r="U2" t="e">
        <f t="shared" ref="U2:U19" si="0">(S2-Q2*G2)/E2</f>
        <v>#DIV/0!</v>
      </c>
      <c r="W2" t="e">
        <f t="shared" ref="W2:W19" si="1">(S2-Q2*G2)/S2</f>
        <v>#DIV/0!</v>
      </c>
    </row>
    <row r="3" spans="1:23" x14ac:dyDescent="0.25">
      <c r="A3" t="s">
        <v>111</v>
      </c>
      <c r="D3" s="1"/>
      <c r="E3" s="1"/>
      <c r="F3" s="1"/>
      <c r="G3" s="1">
        <v>100</v>
      </c>
      <c r="H3" s="1">
        <v>5</v>
      </c>
      <c r="I3" s="1">
        <f>'Count-&gt;Actual Activity'!F3</f>
        <v>0.29843203435934845</v>
      </c>
      <c r="J3" s="1">
        <f>'Count-&gt;Actual Activity'!G3</f>
        <v>0.23250006226253306</v>
      </c>
      <c r="K3" s="1"/>
      <c r="L3" s="1"/>
      <c r="M3" s="1"/>
      <c r="N3" s="1"/>
      <c r="O3" s="1"/>
      <c r="P3" s="1"/>
      <c r="Q3" t="e">
        <f t="shared" ref="Q3:Q19" si="2">I3/K3</f>
        <v>#DIV/0!</v>
      </c>
      <c r="R3" t="e">
        <f t="shared" ref="R3:R19" si="3">SQRT((L3/K3)^2+(J3/I3)^2)*Q3</f>
        <v>#DIV/0!</v>
      </c>
      <c r="S3">
        <f>B3*Parameters!$B$6</f>
        <v>0</v>
      </c>
      <c r="T3" t="e">
        <f>SQRT((C3/B3)^2+(Parameters!$C$6/Parameters!$B$6)^2)*'Bottle Results'!S3</f>
        <v>#DIV/0!</v>
      </c>
      <c r="U3" t="e">
        <f t="shared" si="0"/>
        <v>#DIV/0!</v>
      </c>
      <c r="W3" t="e">
        <f t="shared" si="1"/>
        <v>#DIV/0!</v>
      </c>
    </row>
    <row r="4" spans="1:23" x14ac:dyDescent="0.25">
      <c r="A4" t="s">
        <v>112</v>
      </c>
      <c r="D4" s="1"/>
      <c r="E4" s="1"/>
      <c r="F4" s="1"/>
      <c r="G4" s="1">
        <v>100</v>
      </c>
      <c r="H4" s="1">
        <v>5</v>
      </c>
      <c r="I4" s="1">
        <f>'Count-&gt;Actual Activity'!F4</f>
        <v>0.19460774729474672</v>
      </c>
      <c r="J4" s="1">
        <f>'Count-&gt;Actual Activity'!G4</f>
        <v>0.23250006226253306</v>
      </c>
      <c r="K4" s="1"/>
      <c r="L4" s="1"/>
      <c r="M4" s="1"/>
      <c r="N4" s="1"/>
      <c r="O4" s="1"/>
      <c r="P4" s="1"/>
      <c r="Q4" t="e">
        <f t="shared" si="2"/>
        <v>#DIV/0!</v>
      </c>
      <c r="R4" t="e">
        <f t="shared" si="3"/>
        <v>#DIV/0!</v>
      </c>
      <c r="S4">
        <f>B4*Parameters!$B$6</f>
        <v>0</v>
      </c>
      <c r="T4" t="e">
        <f>SQRT((C4/B4)^2+(Parameters!$C$6/Parameters!$B$6)^2)*'Bottle Results'!S4</f>
        <v>#DIV/0!</v>
      </c>
      <c r="U4" t="e">
        <f t="shared" si="0"/>
        <v>#DIV/0!</v>
      </c>
      <c r="W4" t="e">
        <f t="shared" si="1"/>
        <v>#DIV/0!</v>
      </c>
    </row>
    <row r="5" spans="1:23" x14ac:dyDescent="0.25">
      <c r="A5" t="s">
        <v>113</v>
      </c>
      <c r="D5" s="1"/>
      <c r="E5" s="1"/>
      <c r="F5" s="1"/>
      <c r="G5" s="1">
        <v>100</v>
      </c>
      <c r="H5" s="1">
        <v>5</v>
      </c>
      <c r="I5" s="1">
        <f>'Count-&gt;Actual Activity'!F5</f>
        <v>0.35054007277290322</v>
      </c>
      <c r="J5" s="1">
        <f>'Count-&gt;Actual Activity'!G5</f>
        <v>0.23250006226253306</v>
      </c>
      <c r="K5" s="1"/>
      <c r="L5" s="1"/>
      <c r="M5" s="1"/>
      <c r="N5" s="1"/>
      <c r="O5" s="1"/>
      <c r="P5" s="1"/>
      <c r="Q5" t="e">
        <f t="shared" si="2"/>
        <v>#DIV/0!</v>
      </c>
      <c r="R5" t="e">
        <f t="shared" si="3"/>
        <v>#DIV/0!</v>
      </c>
      <c r="S5">
        <f>B5*Parameters!$B$6</f>
        <v>0</v>
      </c>
      <c r="T5" t="e">
        <f>SQRT((C5/B5)^2+(Parameters!$C$6/Parameters!$B$6)^2)*'Bottle Results'!S5</f>
        <v>#DIV/0!</v>
      </c>
      <c r="U5" t="e">
        <f t="shared" si="0"/>
        <v>#DIV/0!</v>
      </c>
      <c r="W5" t="e">
        <f t="shared" si="1"/>
        <v>#DIV/0!</v>
      </c>
    </row>
    <row r="6" spans="1:23" x14ac:dyDescent="0.25">
      <c r="A6" t="s">
        <v>114</v>
      </c>
      <c r="D6" s="1"/>
      <c r="E6" s="1"/>
      <c r="F6" s="1"/>
      <c r="G6" s="1">
        <v>100</v>
      </c>
      <c r="H6" s="1">
        <v>5</v>
      </c>
      <c r="I6" s="1">
        <f>'Count-&gt;Actual Activity'!F6</f>
        <v>0.34858112396036361</v>
      </c>
      <c r="J6" s="1">
        <f>'Count-&gt;Actual Activity'!G6</f>
        <v>0.23250006226253306</v>
      </c>
      <c r="K6" s="1"/>
      <c r="L6" s="1"/>
      <c r="M6" s="1"/>
      <c r="N6" s="1"/>
      <c r="O6" s="1"/>
      <c r="P6" s="1"/>
      <c r="Q6" t="e">
        <f t="shared" si="2"/>
        <v>#DIV/0!</v>
      </c>
      <c r="R6" t="e">
        <f t="shared" si="3"/>
        <v>#DIV/0!</v>
      </c>
      <c r="S6">
        <f>B6*Parameters!$B$6</f>
        <v>0</v>
      </c>
      <c r="T6" t="e">
        <f>SQRT((C6/B6)^2+(Parameters!$C$6/Parameters!$B$6)^2)*'Bottle Results'!S6</f>
        <v>#DIV/0!</v>
      </c>
      <c r="U6" t="e">
        <f t="shared" si="0"/>
        <v>#DIV/0!</v>
      </c>
      <c r="W6" t="e">
        <f t="shared" si="1"/>
        <v>#DIV/0!</v>
      </c>
    </row>
    <row r="7" spans="1:23" x14ac:dyDescent="0.25">
      <c r="A7" t="s">
        <v>115</v>
      </c>
      <c r="D7" s="1"/>
      <c r="E7" s="1"/>
      <c r="F7" s="1"/>
      <c r="G7" s="1">
        <v>100</v>
      </c>
      <c r="H7" s="1">
        <v>5</v>
      </c>
      <c r="I7" s="1">
        <f>'Count-&gt;Actual Activity'!F7</f>
        <v>0.37130493018582361</v>
      </c>
      <c r="J7" s="1">
        <f>'Count-&gt;Actual Activity'!G7</f>
        <v>0.23250006226253306</v>
      </c>
      <c r="K7" s="1"/>
      <c r="L7" s="1"/>
      <c r="M7" s="1"/>
      <c r="N7" s="1"/>
      <c r="O7" s="1"/>
      <c r="P7" s="1"/>
      <c r="Q7" t="e">
        <f t="shared" si="2"/>
        <v>#DIV/0!</v>
      </c>
      <c r="R7" t="e">
        <f t="shared" si="3"/>
        <v>#DIV/0!</v>
      </c>
      <c r="S7">
        <f>B7*Parameters!$B$6</f>
        <v>0</v>
      </c>
      <c r="T7" t="e">
        <f>SQRT((C7/B7)^2+(Parameters!$C$6/Parameters!$B$6)^2)*'Bottle Results'!S7</f>
        <v>#DIV/0!</v>
      </c>
      <c r="U7" t="e">
        <f t="shared" si="0"/>
        <v>#DIV/0!</v>
      </c>
      <c r="W7" t="e">
        <f t="shared" si="1"/>
        <v>#DIV/0!</v>
      </c>
    </row>
    <row r="8" spans="1:23" ht="15.75" customHeight="1" x14ac:dyDescent="0.25">
      <c r="A8" t="s">
        <v>116</v>
      </c>
      <c r="D8" s="1"/>
      <c r="E8" s="1"/>
      <c r="F8" s="1"/>
      <c r="G8" s="1">
        <v>100</v>
      </c>
      <c r="H8" s="1">
        <v>5</v>
      </c>
      <c r="I8" s="1">
        <f>'Count-&gt;Actual Activity'!F8</f>
        <v>0.98288874946070393</v>
      </c>
      <c r="J8" s="1">
        <f>'Count-&gt;Actual Activity'!G8</f>
        <v>0.23250006226253306</v>
      </c>
      <c r="K8" s="1"/>
      <c r="L8" s="1"/>
      <c r="M8" s="1"/>
      <c r="N8" s="1"/>
      <c r="O8" s="1"/>
      <c r="P8" s="1"/>
      <c r="Q8" t="e">
        <f t="shared" si="2"/>
        <v>#DIV/0!</v>
      </c>
      <c r="R8" t="e">
        <f t="shared" si="3"/>
        <v>#DIV/0!</v>
      </c>
      <c r="S8">
        <f>B8*Parameters!$B$6</f>
        <v>0</v>
      </c>
      <c r="T8" t="e">
        <f>SQRT((C8/B8)^2+(Parameters!$C$6/Parameters!$B$6)^2)*'Bottle Results'!S8</f>
        <v>#DIV/0!</v>
      </c>
      <c r="U8" t="e">
        <f t="shared" si="0"/>
        <v>#DIV/0!</v>
      </c>
      <c r="W8" t="e">
        <f t="shared" si="1"/>
        <v>#DIV/0!</v>
      </c>
    </row>
    <row r="9" spans="1:23" x14ac:dyDescent="0.25">
      <c r="A9" t="s">
        <v>117</v>
      </c>
      <c r="D9" s="1"/>
      <c r="E9" s="1"/>
      <c r="F9" s="1"/>
      <c r="G9" s="1">
        <v>100</v>
      </c>
      <c r="H9" s="1">
        <v>5</v>
      </c>
      <c r="I9" s="1">
        <f>'Count-&gt;Actual Activity'!F9</f>
        <v>0.84341159400788024</v>
      </c>
      <c r="J9" s="1">
        <f>'Count-&gt;Actual Activity'!G9</f>
        <v>0.23250006226253306</v>
      </c>
      <c r="K9" s="1"/>
      <c r="L9" s="1"/>
      <c r="M9" s="1"/>
      <c r="N9" s="1"/>
      <c r="O9" s="1"/>
      <c r="P9" s="1"/>
      <c r="Q9" t="e">
        <f t="shared" si="2"/>
        <v>#DIV/0!</v>
      </c>
      <c r="R9" t="e">
        <f t="shared" si="3"/>
        <v>#DIV/0!</v>
      </c>
      <c r="S9">
        <f>B9*Parameters!$B$6</f>
        <v>0</v>
      </c>
      <c r="T9" t="e">
        <f>SQRT((C9/B9)^2+(Parameters!$C$6/Parameters!$B$6)^2)*'Bottle Results'!S9</f>
        <v>#DIV/0!</v>
      </c>
      <c r="U9" t="e">
        <f t="shared" si="0"/>
        <v>#DIV/0!</v>
      </c>
      <c r="W9" t="e">
        <f t="shared" si="1"/>
        <v>#DIV/0!</v>
      </c>
    </row>
    <row r="10" spans="1:23" x14ac:dyDescent="0.25">
      <c r="A10" t="s">
        <v>118</v>
      </c>
      <c r="D10" s="1"/>
      <c r="E10" s="1"/>
      <c r="F10" s="1"/>
      <c r="G10" s="1">
        <v>100</v>
      </c>
      <c r="H10" s="1">
        <v>5</v>
      </c>
      <c r="I10" s="1">
        <f>'Count-&gt;Actual Activity'!F10</f>
        <v>1.0130565611738145</v>
      </c>
      <c r="J10" s="1">
        <f>'Count-&gt;Actual Activity'!G10</f>
        <v>0.23250006226253306</v>
      </c>
      <c r="K10" s="1"/>
      <c r="L10" s="1"/>
      <c r="M10" s="1"/>
      <c r="N10" s="1"/>
      <c r="O10" s="1"/>
      <c r="P10" s="1"/>
      <c r="Q10" t="e">
        <f t="shared" si="2"/>
        <v>#DIV/0!</v>
      </c>
      <c r="R10" t="e">
        <f t="shared" si="3"/>
        <v>#DIV/0!</v>
      </c>
      <c r="S10">
        <f>B10*Parameters!$B$6</f>
        <v>0</v>
      </c>
      <c r="T10" t="e">
        <f>SQRT((C10/B10)^2+(Parameters!$C$6/Parameters!$B$6)^2)*'Bottle Results'!S10</f>
        <v>#DIV/0!</v>
      </c>
      <c r="U10" t="e">
        <f t="shared" si="0"/>
        <v>#DIV/0!</v>
      </c>
      <c r="W10" t="e">
        <f t="shared" si="1"/>
        <v>#DIV/0!</v>
      </c>
    </row>
    <row r="11" spans="1:23" x14ac:dyDescent="0.25">
      <c r="A11" t="s">
        <v>119</v>
      </c>
      <c r="D11" s="1"/>
      <c r="E11" s="1"/>
      <c r="F11" s="1"/>
      <c r="G11" s="1">
        <v>100</v>
      </c>
      <c r="H11" s="1">
        <v>5</v>
      </c>
      <c r="I11" s="1">
        <f>'Count-&gt;Actual Activity'!F11</f>
        <v>1.8718597205911987</v>
      </c>
      <c r="J11" s="1">
        <f>'Count-&gt;Actual Activity'!G11</f>
        <v>0.23250006226253306</v>
      </c>
      <c r="K11" s="1"/>
      <c r="L11" s="1"/>
      <c r="M11" s="1"/>
      <c r="N11" s="1"/>
      <c r="O11" s="1"/>
      <c r="P11" s="1"/>
      <c r="Q11" t="e">
        <f t="shared" si="2"/>
        <v>#DIV/0!</v>
      </c>
      <c r="R11" t="e">
        <f t="shared" si="3"/>
        <v>#DIV/0!</v>
      </c>
      <c r="S11">
        <f>B11*Parameters!$B$6</f>
        <v>0</v>
      </c>
      <c r="T11" t="e">
        <f>SQRT((C11/B11)^2+(Parameters!$C$6/Parameters!$B$6)^2)*'Bottle Results'!S11</f>
        <v>#DIV/0!</v>
      </c>
      <c r="U11" t="e">
        <f t="shared" si="0"/>
        <v>#DIV/0!</v>
      </c>
      <c r="W11" t="e">
        <f t="shared" si="1"/>
        <v>#DIV/0!</v>
      </c>
    </row>
    <row r="12" spans="1:23" x14ac:dyDescent="0.25">
      <c r="A12" t="s">
        <v>120</v>
      </c>
      <c r="D12" s="1"/>
      <c r="E12" s="1"/>
      <c r="F12" s="1"/>
      <c r="G12" s="1">
        <v>100</v>
      </c>
      <c r="H12" s="1">
        <v>5</v>
      </c>
      <c r="I12" s="1">
        <f>'Count-&gt;Actual Activity'!F12</f>
        <v>1.9314117644924045</v>
      </c>
      <c r="J12" s="1">
        <f>'Count-&gt;Actual Activity'!G12</f>
        <v>0.23250006226253306</v>
      </c>
      <c r="K12" s="1"/>
      <c r="L12" s="1"/>
      <c r="M12" s="1"/>
      <c r="N12" s="1"/>
      <c r="O12" s="1"/>
      <c r="P12" s="1"/>
      <c r="Q12" t="e">
        <f t="shared" si="2"/>
        <v>#DIV/0!</v>
      </c>
      <c r="R12" t="e">
        <f t="shared" si="3"/>
        <v>#DIV/0!</v>
      </c>
      <c r="S12">
        <f>B12*Parameters!$B$6</f>
        <v>0</v>
      </c>
      <c r="T12" t="e">
        <f>SQRT((C12/B12)^2+(Parameters!$C$6/Parameters!$B$6)^2)*'Bottle Results'!S12</f>
        <v>#DIV/0!</v>
      </c>
      <c r="U12" t="e">
        <f t="shared" si="0"/>
        <v>#DIV/0!</v>
      </c>
      <c r="W12" t="e">
        <f t="shared" si="1"/>
        <v>#DIV/0!</v>
      </c>
    </row>
    <row r="13" spans="1:23" x14ac:dyDescent="0.25">
      <c r="A13" t="s">
        <v>121</v>
      </c>
      <c r="D13" s="1"/>
      <c r="E13" s="1"/>
      <c r="F13" s="1"/>
      <c r="G13" s="1">
        <v>100</v>
      </c>
      <c r="H13" s="1">
        <v>5</v>
      </c>
      <c r="I13" s="1">
        <f>'Count-&gt;Actual Activity'!F13</f>
        <v>1.7821398649768827</v>
      </c>
      <c r="J13" s="1">
        <f>'Count-&gt;Actual Activity'!G13</f>
        <v>0.23250006226253306</v>
      </c>
      <c r="K13" s="1"/>
      <c r="L13" s="1"/>
      <c r="M13" s="1"/>
      <c r="N13" s="1"/>
      <c r="O13" s="1"/>
      <c r="P13" s="1"/>
      <c r="Q13" t="e">
        <f t="shared" si="2"/>
        <v>#DIV/0!</v>
      </c>
      <c r="R13" t="e">
        <f t="shared" si="3"/>
        <v>#DIV/0!</v>
      </c>
      <c r="S13">
        <f>B13*Parameters!$B$6</f>
        <v>0</v>
      </c>
      <c r="T13" t="e">
        <f>SQRT((C13/B13)^2+(Parameters!$C$6/Parameters!$B$6)^2)*'Bottle Results'!S13</f>
        <v>#DIV/0!</v>
      </c>
      <c r="U13" t="e">
        <f t="shared" si="0"/>
        <v>#DIV/0!</v>
      </c>
      <c r="W13" t="e">
        <f t="shared" si="1"/>
        <v>#DIV/0!</v>
      </c>
    </row>
    <row r="14" spans="1:23" x14ac:dyDescent="0.25">
      <c r="A14" t="s">
        <v>122</v>
      </c>
      <c r="D14" s="1"/>
      <c r="E14" s="1"/>
      <c r="F14" s="1"/>
      <c r="G14" s="1">
        <v>100</v>
      </c>
      <c r="H14" s="1">
        <v>5</v>
      </c>
      <c r="I14" s="1">
        <f>'Count-&gt;Actual Activity'!F14</f>
        <v>4.3013480379028781</v>
      </c>
      <c r="J14" s="1">
        <f>'Count-&gt;Actual Activity'!G14</f>
        <v>0.23250006226253306</v>
      </c>
      <c r="K14" s="1"/>
      <c r="L14" s="1"/>
      <c r="M14" s="1"/>
      <c r="N14" s="1"/>
      <c r="O14" s="1"/>
      <c r="P14" s="1"/>
      <c r="Q14" t="e">
        <f t="shared" si="2"/>
        <v>#DIV/0!</v>
      </c>
      <c r="R14" t="e">
        <f t="shared" si="3"/>
        <v>#DIV/0!</v>
      </c>
      <c r="S14">
        <f>B14*Parameters!$B$6</f>
        <v>0</v>
      </c>
      <c r="T14" t="e">
        <f>SQRT((C14/B14)^2+(Parameters!$C$6/Parameters!$B$6)^2)*'Bottle Results'!S14</f>
        <v>#DIV/0!</v>
      </c>
      <c r="U14" t="e">
        <f t="shared" si="0"/>
        <v>#DIV/0!</v>
      </c>
      <c r="W14" t="e">
        <f t="shared" si="1"/>
        <v>#DIV/0!</v>
      </c>
    </row>
    <row r="15" spans="1:23" x14ac:dyDescent="0.25">
      <c r="A15" t="s">
        <v>123</v>
      </c>
      <c r="D15" s="1"/>
      <c r="E15" s="1"/>
      <c r="F15" s="1"/>
      <c r="G15" s="1">
        <v>100</v>
      </c>
      <c r="H15" s="1">
        <v>5</v>
      </c>
      <c r="I15" s="1">
        <f>'Count-&gt;Actual Activity'!F15</f>
        <v>4.2155460799136417</v>
      </c>
      <c r="J15" s="1">
        <f>'Count-&gt;Actual Activity'!G15</f>
        <v>0.23250006226253306</v>
      </c>
      <c r="K15" s="1"/>
      <c r="L15" s="1"/>
      <c r="M15" s="1"/>
      <c r="N15" s="1"/>
      <c r="O15" s="1"/>
      <c r="P15" s="1"/>
      <c r="Q15" t="e">
        <f t="shared" si="2"/>
        <v>#DIV/0!</v>
      </c>
      <c r="R15" t="e">
        <f t="shared" si="3"/>
        <v>#DIV/0!</v>
      </c>
      <c r="S15">
        <f>B15*Parameters!$B$6</f>
        <v>0</v>
      </c>
      <c r="T15" t="e">
        <f>SQRT((C15/B15)^2+(Parameters!$C$6/Parameters!$B$6)^2)*'Bottle Results'!S15</f>
        <v>#DIV/0!</v>
      </c>
      <c r="U15" t="e">
        <f t="shared" si="0"/>
        <v>#DIV/0!</v>
      </c>
      <c r="W15" t="e">
        <f t="shared" si="1"/>
        <v>#DIV/0!</v>
      </c>
    </row>
    <row r="16" spans="1:23" x14ac:dyDescent="0.25">
      <c r="A16" t="s">
        <v>124</v>
      </c>
      <c r="D16" s="1"/>
      <c r="E16" s="1"/>
      <c r="F16" s="1"/>
      <c r="G16" s="1">
        <v>100</v>
      </c>
      <c r="H16" s="1">
        <v>5</v>
      </c>
      <c r="I16" s="1">
        <f>'Count-&gt;Actual Activity'!F16</f>
        <v>4.6578767217850956</v>
      </c>
      <c r="J16" s="1">
        <f>'Count-&gt;Actual Activity'!G16</f>
        <v>0.23250006226253306</v>
      </c>
      <c r="K16" s="1"/>
      <c r="L16" s="1"/>
      <c r="M16" s="1"/>
      <c r="N16" s="1"/>
      <c r="O16" s="1"/>
      <c r="P16" s="1"/>
      <c r="Q16" t="e">
        <f t="shared" si="2"/>
        <v>#DIV/0!</v>
      </c>
      <c r="R16" t="e">
        <f t="shared" si="3"/>
        <v>#DIV/0!</v>
      </c>
      <c r="S16">
        <f>B16*Parameters!$B$6</f>
        <v>0</v>
      </c>
      <c r="T16" t="e">
        <f>SQRT((C16/B16)^2+(Parameters!$C$6/Parameters!$B$6)^2)*'Bottle Results'!S16</f>
        <v>#DIV/0!</v>
      </c>
      <c r="U16" t="e">
        <f t="shared" si="0"/>
        <v>#DIV/0!</v>
      </c>
      <c r="W16" t="e">
        <f t="shared" si="1"/>
        <v>#DIV/0!</v>
      </c>
    </row>
    <row r="17" spans="1:23" x14ac:dyDescent="0.25">
      <c r="A17" t="s">
        <v>125</v>
      </c>
      <c r="G17" s="1">
        <v>100</v>
      </c>
      <c r="H17" s="1">
        <v>5</v>
      </c>
      <c r="I17" s="1">
        <f>'Count-&gt;Actual Activity'!F17</f>
        <v>9.4232156031690586</v>
      </c>
      <c r="J17" s="1">
        <f>'Count-&gt;Actual Activity'!G17</f>
        <v>0.23250006226253306</v>
      </c>
      <c r="K17" s="1"/>
      <c r="L17" s="1"/>
      <c r="Q17" t="e">
        <f t="shared" si="2"/>
        <v>#DIV/0!</v>
      </c>
      <c r="R17" t="e">
        <f t="shared" si="3"/>
        <v>#DIV/0!</v>
      </c>
      <c r="S17">
        <f>B17*Parameters!$B$6</f>
        <v>0</v>
      </c>
      <c r="T17" t="e">
        <f>SQRT((C17/B17)^2+(Parameters!$C$6/Parameters!$B$6)^2)*'Bottle Results'!S17</f>
        <v>#DIV/0!</v>
      </c>
      <c r="U17" t="e">
        <f t="shared" si="0"/>
        <v>#DIV/0!</v>
      </c>
      <c r="W17" t="e">
        <f t="shared" si="1"/>
        <v>#DIV/0!</v>
      </c>
    </row>
    <row r="18" spans="1:23" x14ac:dyDescent="0.25">
      <c r="A18" t="s">
        <v>126</v>
      </c>
      <c r="G18" s="1">
        <v>100</v>
      </c>
      <c r="H18" s="1">
        <v>5</v>
      </c>
      <c r="I18" s="1">
        <f>'Count-&gt;Actual Activity'!F18</f>
        <v>8.4308121347364704</v>
      </c>
      <c r="J18" s="1">
        <f>'Count-&gt;Actual Activity'!G18</f>
        <v>0.23250006226253306</v>
      </c>
      <c r="K18" s="1"/>
      <c r="L18" s="1"/>
      <c r="Q18" t="e">
        <f t="shared" si="2"/>
        <v>#DIV/0!</v>
      </c>
      <c r="R18" t="e">
        <f t="shared" si="3"/>
        <v>#DIV/0!</v>
      </c>
      <c r="S18">
        <f>B18*Parameters!$B$6</f>
        <v>0</v>
      </c>
      <c r="T18" t="e">
        <f>SQRT((C18/B18)^2+(Parameters!$C$6/Parameters!$B$6)^2)*'Bottle Results'!S18</f>
        <v>#DIV/0!</v>
      </c>
      <c r="U18" t="e">
        <f t="shared" si="0"/>
        <v>#DIV/0!</v>
      </c>
      <c r="W18" t="e">
        <f t="shared" si="1"/>
        <v>#DIV/0!</v>
      </c>
    </row>
    <row r="19" spans="1:23" x14ac:dyDescent="0.25">
      <c r="A19" t="s">
        <v>127</v>
      </c>
      <c r="D19" s="1"/>
      <c r="F19" s="1"/>
      <c r="G19" s="1">
        <v>100</v>
      </c>
      <c r="H19" s="1">
        <v>5</v>
      </c>
      <c r="I19" s="1">
        <f>'Count-&gt;Actual Activity'!F19</f>
        <v>9.1195785372254115</v>
      </c>
      <c r="J19" s="1">
        <f>'Count-&gt;Actual Activity'!G19</f>
        <v>0.23250006226253306</v>
      </c>
      <c r="K19" s="1"/>
      <c r="L19" s="1"/>
      <c r="Q19" t="e">
        <f t="shared" si="2"/>
        <v>#DIV/0!</v>
      </c>
      <c r="R19" t="e">
        <f t="shared" si="3"/>
        <v>#DIV/0!</v>
      </c>
      <c r="S19">
        <f>B19*Parameters!$B$6</f>
        <v>0</v>
      </c>
      <c r="T19" t="e">
        <f>SQRT((C19/B19)^2+(Parameters!$C$6/Parameters!$B$6)^2)*'Bottle Results'!S19</f>
        <v>#DIV/0!</v>
      </c>
      <c r="U19" t="e">
        <f t="shared" si="0"/>
        <v>#DIV/0!</v>
      </c>
      <c r="W19" t="e">
        <f t="shared" si="1"/>
        <v>#DIV/0!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J9" sqref="J9"/>
    </sheetView>
  </sheetViews>
  <sheetFormatPr defaultRowHeight="15" x14ac:dyDescent="0.25"/>
  <sheetData>
    <row r="1" spans="1:10" x14ac:dyDescent="0.25">
      <c r="A1" t="s">
        <v>15</v>
      </c>
      <c r="B1" t="s">
        <v>30</v>
      </c>
      <c r="C1" t="s">
        <v>129</v>
      </c>
      <c r="D1" t="s">
        <v>32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</row>
    <row r="2" spans="1:10" x14ac:dyDescent="0.25">
      <c r="A2">
        <v>0</v>
      </c>
      <c r="B2" t="e">
        <f>AVERAGE('Bottle Results'!Q2:Q4)</f>
        <v>#DIV/0!</v>
      </c>
      <c r="C2" t="e">
        <f>_xlfn.STDEV.S('Bottle Results'!Q2:Q4)</f>
        <v>#DIV/0!</v>
      </c>
      <c r="D2" t="e">
        <f>AVERAGE('Bottle Results'!U2:U4)</f>
        <v>#DIV/0!</v>
      </c>
      <c r="E2" t="e">
        <f>_xlfn.STDEV.S('Bottle Results'!U2:U4)</f>
        <v>#DIV/0!</v>
      </c>
      <c r="F2">
        <f>AVERAGE('Bottle Results'!S2:S4)</f>
        <v>0</v>
      </c>
      <c r="G2" t="e">
        <f>AVERAGE('Bottle Results'!W2:W4)</f>
        <v>#DIV/0!</v>
      </c>
      <c r="I2" t="e">
        <f>AVERAGE('Bottle Results'!D2:D4)</f>
        <v>#DIV/0!</v>
      </c>
      <c r="J2" t="e">
        <f>_xlfn.STDEV.S('Bottle Results'!D2:D4)</f>
        <v>#DIV/0!</v>
      </c>
    </row>
    <row r="3" spans="1:10" x14ac:dyDescent="0.25">
      <c r="A3">
        <v>10</v>
      </c>
      <c r="B3" t="e">
        <f>AVERAGE('Bottle Results'!Q5:Q7)</f>
        <v>#DIV/0!</v>
      </c>
      <c r="C3" t="e">
        <f>_xlfn.STDEV.S('Bottle Results'!Q5:Q7)</f>
        <v>#DIV/0!</v>
      </c>
      <c r="D3" t="e">
        <f>AVERAGE('Bottle Results'!U5:U7)</f>
        <v>#DIV/0!</v>
      </c>
      <c r="E3" t="e">
        <f>_xlfn.STDEV.S('Bottle Results'!U5:U7)</f>
        <v>#DIV/0!</v>
      </c>
      <c r="F3">
        <f>AVERAGE('Bottle Results'!S5:S7)</f>
        <v>0</v>
      </c>
      <c r="G3" t="e">
        <f>AVERAGE('Bottle Results'!W5:W7)</f>
        <v>#DIV/0!</v>
      </c>
      <c r="H3" t="e">
        <f>_xlfn.STDEV.S('Bottle Results'!W5:W7)</f>
        <v>#DIV/0!</v>
      </c>
      <c r="I3" t="e">
        <f>AVERAGE('Bottle Results'!D5:D7)</f>
        <v>#DIV/0!</v>
      </c>
      <c r="J3" t="e">
        <f>_xlfn.STDEV.S('Bottle Results'!D5:D7)</f>
        <v>#DIV/0!</v>
      </c>
    </row>
    <row r="4" spans="1:10" x14ac:dyDescent="0.25">
      <c r="A4">
        <v>50</v>
      </c>
      <c r="B4" t="e">
        <f>AVERAGE('Bottle Results'!Q8:Q10)</f>
        <v>#DIV/0!</v>
      </c>
      <c r="C4" t="e">
        <f>_xlfn.STDEV.S('Bottle Results'!Q8:Q10)</f>
        <v>#DIV/0!</v>
      </c>
      <c r="D4" t="e">
        <f>AVERAGE('Bottle Results'!U8:U10)</f>
        <v>#DIV/0!</v>
      </c>
      <c r="E4" t="e">
        <f>_xlfn.STDEV.S('Bottle Results'!U8:U10)</f>
        <v>#DIV/0!</v>
      </c>
      <c r="F4">
        <f>AVERAGE('Bottle Results'!S8:S10)</f>
        <v>0</v>
      </c>
      <c r="G4" t="e">
        <f>AVERAGE('Bottle Results'!W8:W10)</f>
        <v>#DIV/0!</v>
      </c>
      <c r="H4" t="e">
        <f>_xlfn.STDEV.S('Bottle Results'!W8:W10)</f>
        <v>#DIV/0!</v>
      </c>
      <c r="I4" t="e">
        <f>AVERAGE('Bottle Results'!D8:D10)</f>
        <v>#DIV/0!</v>
      </c>
      <c r="J4" t="e">
        <f>_xlfn.STDEV.S('Bottle Results'!D8:D10)</f>
        <v>#DIV/0!</v>
      </c>
    </row>
    <row r="5" spans="1:10" x14ac:dyDescent="0.25">
      <c r="A5">
        <v>100</v>
      </c>
      <c r="B5" t="e">
        <f>AVERAGE('Bottle Results'!Q11:Q13)</f>
        <v>#DIV/0!</v>
      </c>
      <c r="C5" t="e">
        <f>_xlfn.STDEV.S('Bottle Results'!Q11:Q13)</f>
        <v>#DIV/0!</v>
      </c>
      <c r="D5" t="e">
        <f>AVERAGE('Bottle Results'!U11:U13)</f>
        <v>#DIV/0!</v>
      </c>
      <c r="E5" t="e">
        <f>_xlfn.STDEV.S('Bottle Results'!U11:U13)</f>
        <v>#DIV/0!</v>
      </c>
      <c r="F5">
        <f>AVERAGE('Bottle Results'!S11:S13)</f>
        <v>0</v>
      </c>
      <c r="G5" t="e">
        <f>AVERAGE('Bottle Results'!W11:W13)</f>
        <v>#DIV/0!</v>
      </c>
      <c r="H5" t="e">
        <f>_xlfn.STDEV.S('Bottle Results'!W11:W13)</f>
        <v>#DIV/0!</v>
      </c>
      <c r="I5" t="e">
        <f>AVERAGE('Bottle Results'!D11:D13)</f>
        <v>#DIV/0!</v>
      </c>
      <c r="J5" t="e">
        <f>_xlfn.STDEV.S('Bottle Results'!D3:D11)</f>
        <v>#DIV/0!</v>
      </c>
    </row>
    <row r="6" spans="1:10" x14ac:dyDescent="0.25">
      <c r="A6">
        <v>250</v>
      </c>
      <c r="B6" t="e">
        <f>AVERAGE('Bottle Results'!Q14:Q16)</f>
        <v>#DIV/0!</v>
      </c>
      <c r="C6" t="e">
        <f>_xlfn.STDEV.S('Bottle Results'!Q14:Q16)</f>
        <v>#DIV/0!</v>
      </c>
      <c r="D6" t="e">
        <f>AVERAGE('Bottle Results'!U14:U16)</f>
        <v>#DIV/0!</v>
      </c>
      <c r="E6" t="e">
        <f>_xlfn.STDEV.S('Bottle Results'!U14:U16)</f>
        <v>#DIV/0!</v>
      </c>
      <c r="F6">
        <f>AVERAGE('Bottle Results'!S14:S16)</f>
        <v>0</v>
      </c>
      <c r="G6" t="e">
        <f>AVERAGE('Bottle Results'!W14:W16)</f>
        <v>#DIV/0!</v>
      </c>
      <c r="H6" t="e">
        <f>_xlfn.STDEV.S('Bottle Results'!W14:W16)</f>
        <v>#DIV/0!</v>
      </c>
      <c r="I6" t="e">
        <f>AVERAGE('Bottle Results'!D14:D16)</f>
        <v>#DIV/0!</v>
      </c>
      <c r="J6" t="e">
        <f>_xlfn.STDEV.S('Bottle Results'!D14:D16)</f>
        <v>#DIV/0!</v>
      </c>
    </row>
    <row r="7" spans="1:10" x14ac:dyDescent="0.25">
      <c r="A7">
        <v>500</v>
      </c>
      <c r="B7" t="e">
        <f>AVERAGE('Bottle Results'!Q17:Q19)</f>
        <v>#DIV/0!</v>
      </c>
      <c r="C7" t="e">
        <f>_xlfn.STDEV.S('Bottle Results'!Q17:Q19)</f>
        <v>#DIV/0!</v>
      </c>
      <c r="D7" t="e">
        <f>AVERAGE('Bottle Results'!U17:U19)</f>
        <v>#DIV/0!</v>
      </c>
      <c r="E7" t="e">
        <f>_xlfn.STDEV.S('Bottle Results'!U17:U19)</f>
        <v>#DIV/0!</v>
      </c>
      <c r="F7">
        <f>AVERAGE('Bottle Results'!S17:S19)</f>
        <v>0</v>
      </c>
      <c r="G7" t="e">
        <f>AVERAGE('Bottle Results'!W17:W19)</f>
        <v>#DIV/0!</v>
      </c>
      <c r="H7" t="e">
        <f>_xlfn.STDEV.S('Bottle Results'!W17:W19)</f>
        <v>#DIV/0!</v>
      </c>
      <c r="I7" t="e">
        <f>AVERAGE('Bottle Results'!D17:D19)</f>
        <v>#DIV/0!</v>
      </c>
      <c r="J7" t="e">
        <f>_xlfn.STDEV.S('Bottle Results'!D17:D19)</f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Parameters</vt:lpstr>
      <vt:lpstr>Calibration Data</vt:lpstr>
      <vt:lpstr>Scintillation Counter Results</vt:lpstr>
      <vt:lpstr>Count-&gt;Actual Activity</vt:lpstr>
      <vt:lpstr>Bottle Results</vt:lpstr>
      <vt:lpstr>Averaged Results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Chen</dc:creator>
  <cp:lastModifiedBy>Michael Chen</cp:lastModifiedBy>
  <dcterms:created xsi:type="dcterms:W3CDTF">2015-08-25T20:19:30Z</dcterms:created>
  <dcterms:modified xsi:type="dcterms:W3CDTF">2017-07-05T17:42:20Z</dcterms:modified>
</cp:coreProperties>
</file>