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CaMont_pH7\"/>
    </mc:Choice>
  </mc:AlternateContent>
  <bookViews>
    <workbookView xWindow="0" yWindow="0" windowWidth="7470" windowHeight="12285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8" l="1"/>
  <c r="M4" i="8"/>
  <c r="M3" i="8"/>
  <c r="M2" i="8"/>
  <c r="O13" i="5"/>
  <c r="O12" i="5"/>
  <c r="O11" i="5"/>
  <c r="C6" i="1"/>
  <c r="B6" i="1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D10" i="9"/>
  <c r="C10" i="9"/>
  <c r="E10" i="9" s="1"/>
  <c r="H9" i="9"/>
  <c r="F9" i="9"/>
  <c r="G9" i="9" s="1"/>
  <c r="I9" i="9" s="1"/>
  <c r="D9" i="9"/>
  <c r="J9" i="9" s="1"/>
  <c r="C9" i="9"/>
  <c r="E9" i="9" s="1"/>
  <c r="J8" i="9"/>
  <c r="H8" i="9"/>
  <c r="E8" i="9"/>
  <c r="D8" i="9"/>
  <c r="H7" i="9"/>
  <c r="F7" i="9"/>
  <c r="G5" i="9" s="1"/>
  <c r="E7" i="9"/>
  <c r="D7" i="9"/>
  <c r="J7" i="9" s="1"/>
  <c r="H6" i="9"/>
  <c r="E6" i="9"/>
  <c r="D6" i="9"/>
  <c r="J6" i="9" s="1"/>
  <c r="E5" i="9"/>
  <c r="D5" i="9"/>
  <c r="H5" i="9" s="1"/>
  <c r="E4" i="9"/>
  <c r="D4" i="9"/>
  <c r="J4" i="9" s="1"/>
  <c r="E3" i="9"/>
  <c r="D3" i="9"/>
  <c r="J3" i="9" s="1"/>
  <c r="J2" i="9"/>
  <c r="K2" i="9" s="1"/>
  <c r="G2" i="9"/>
  <c r="E2" i="9"/>
  <c r="D2" i="9"/>
  <c r="H2" i="9" s="1"/>
  <c r="I2" i="9" s="1"/>
  <c r="K9" i="9" l="1"/>
  <c r="I5" i="9"/>
  <c r="K8" i="9"/>
  <c r="K4" i="9"/>
  <c r="G3" i="9"/>
  <c r="K3" i="9" s="1"/>
  <c r="H4" i="9"/>
  <c r="I4" i="9" s="1"/>
  <c r="H3" i="9"/>
  <c r="J5" i="9"/>
  <c r="K5" i="9" s="1"/>
  <c r="G4" i="9"/>
  <c r="G8" i="9"/>
  <c r="I8" i="9" s="1"/>
  <c r="G6" i="9"/>
  <c r="K6" i="9" s="1"/>
  <c r="G7" i="9"/>
  <c r="I7" i="9" s="1"/>
  <c r="I6" i="9" l="1"/>
  <c r="K7" i="9"/>
  <c r="K11" i="9" s="1"/>
  <c r="I3" i="9"/>
  <c r="L5" i="8"/>
  <c r="L4" i="8"/>
  <c r="L3" i="8"/>
  <c r="L2" i="8"/>
  <c r="V3" i="5"/>
  <c r="V4" i="5"/>
  <c r="V5" i="5"/>
  <c r="V6" i="5"/>
  <c r="V7" i="5"/>
  <c r="V8" i="5"/>
  <c r="V9" i="5"/>
  <c r="V10" i="5"/>
  <c r="V11" i="5"/>
  <c r="V12" i="5"/>
  <c r="V13" i="5"/>
  <c r="V2" i="5"/>
  <c r="K2" i="8" s="1"/>
  <c r="I11" i="9" l="1"/>
  <c r="K3" i="8"/>
  <c r="K5" i="8"/>
  <c r="K4" i="8"/>
  <c r="J5" i="8"/>
  <c r="J4" i="8"/>
  <c r="J3" i="8"/>
  <c r="I5" i="8"/>
  <c r="I4" i="8"/>
  <c r="I3" i="8"/>
  <c r="J2" i="8"/>
  <c r="I2" i="8"/>
  <c r="O3" i="5" l="1"/>
  <c r="P3" i="5" s="1"/>
  <c r="O4" i="5"/>
  <c r="P4" i="5" s="1"/>
  <c r="O5" i="5"/>
  <c r="O6" i="5"/>
  <c r="P6" i="5" s="1"/>
  <c r="O7" i="5"/>
  <c r="P7" i="5" s="1"/>
  <c r="O8" i="5"/>
  <c r="P8" i="5" s="1"/>
  <c r="O9" i="5"/>
  <c r="P9" i="5" s="1"/>
  <c r="O10" i="5"/>
  <c r="O2" i="5"/>
  <c r="P2" i="5" s="1"/>
  <c r="I10" i="5"/>
  <c r="M10" i="5" s="1"/>
  <c r="J11" i="5"/>
  <c r="P10" i="5" l="1"/>
  <c r="P5" i="5"/>
  <c r="F3" i="8"/>
  <c r="S10" i="5"/>
  <c r="F4" i="8"/>
  <c r="Q10" i="5"/>
  <c r="F2" i="8"/>
  <c r="J12" i="5"/>
  <c r="I12" i="5"/>
  <c r="M12" i="5" s="1"/>
  <c r="J10" i="5"/>
  <c r="N10" i="5" s="1"/>
  <c r="J13" i="5"/>
  <c r="I13" i="5"/>
  <c r="M13" i="5" s="1"/>
  <c r="J3" i="5"/>
  <c r="I3" i="5"/>
  <c r="M3" i="5" s="1"/>
  <c r="Q3" i="5" s="1"/>
  <c r="J9" i="5"/>
  <c r="I9" i="5"/>
  <c r="M9" i="5" s="1"/>
  <c r="Q9" i="5" s="1"/>
  <c r="I8" i="5"/>
  <c r="M8" i="5" s="1"/>
  <c r="J8" i="5"/>
  <c r="J7" i="5"/>
  <c r="I7" i="5"/>
  <c r="M7" i="5" s="1"/>
  <c r="S7" i="5" s="1"/>
  <c r="J6" i="5"/>
  <c r="I6" i="5"/>
  <c r="J5" i="5"/>
  <c r="I5" i="5"/>
  <c r="M5" i="5" s="1"/>
  <c r="I4" i="5"/>
  <c r="M4" i="5" s="1"/>
  <c r="Q4" i="5" s="1"/>
  <c r="J4" i="5"/>
  <c r="N4" i="5" s="1"/>
  <c r="I11" i="5"/>
  <c r="M11" i="5" s="1"/>
  <c r="J2" i="5"/>
  <c r="N12" i="5" l="1"/>
  <c r="S5" i="5"/>
  <c r="C3" i="8"/>
  <c r="B3" i="8"/>
  <c r="M6" i="5"/>
  <c r="Q6" i="5" s="1"/>
  <c r="N8" i="5"/>
  <c r="N11" i="5"/>
  <c r="N13" i="5"/>
  <c r="N5" i="5"/>
  <c r="N7" i="5"/>
  <c r="N9" i="5"/>
  <c r="N3" i="5"/>
  <c r="S4" i="5"/>
  <c r="Q5" i="5"/>
  <c r="B5" i="8"/>
  <c r="C5" i="8"/>
  <c r="B4" i="8"/>
  <c r="C4" i="8"/>
  <c r="S3" i="5"/>
  <c r="S6" i="5"/>
  <c r="Q8" i="5"/>
  <c r="S8" i="5"/>
  <c r="S9" i="5"/>
  <c r="Q7" i="5"/>
  <c r="Q11" i="5"/>
  <c r="I2" i="5"/>
  <c r="M2" i="5" s="1"/>
  <c r="Q12" i="5" l="1"/>
  <c r="S12" i="5"/>
  <c r="S11" i="5"/>
  <c r="N6" i="5"/>
  <c r="Q13" i="5"/>
  <c r="E5" i="8" s="1"/>
  <c r="N2" i="5"/>
  <c r="B2" i="8"/>
  <c r="F5" i="8"/>
  <c r="S13" i="5"/>
  <c r="E3" i="8"/>
  <c r="D3" i="8"/>
  <c r="H3" i="8"/>
  <c r="G3" i="8"/>
  <c r="G4" i="8"/>
  <c r="H4" i="8"/>
  <c r="C2" i="8"/>
  <c r="Q2" i="5"/>
  <c r="S2" i="5"/>
  <c r="G2" i="8" s="1"/>
  <c r="D4" i="8"/>
  <c r="E4" i="8"/>
  <c r="D5" i="8" l="1"/>
  <c r="G5" i="8"/>
  <c r="H5" i="8"/>
  <c r="E2" i="8"/>
  <c r="D2" i="8"/>
</calcChain>
</file>

<file path=xl/sharedStrings.xml><?xml version="1.0" encoding="utf-8"?>
<sst xmlns="http://schemas.openxmlformats.org/spreadsheetml/2006/main" count="224" uniqueCount="128">
  <si>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</si>
  <si>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</si>
  <si>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</si>
  <si>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</si>
  <si>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</si>
  <si>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</si>
  <si>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</si>
  <si>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</si>
  <si>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</si>
  <si>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</si>
  <si>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</si>
  <si>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</si>
  <si>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</si>
  <si>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</si>
  <si>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</si>
  <si>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</si>
  <si>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</si>
  <si>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</si>
  <si>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</si>
  <si>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</si>
  <si>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</si>
  <si>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</si>
  <si>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</si>
  <si>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</si>
  <si>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</si>
  <si>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</si>
  <si>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</si>
  <si>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</si>
  <si>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</si>
  <si>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</si>
  <si>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</si>
  <si>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</si>
  <si>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</si>
  <si>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</si>
  <si>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</si>
  <si>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</si>
  <si>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</si>
  <si>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</si>
  <si>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</si>
  <si>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</si>
  <si>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</si>
  <si>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</si>
  <si>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</si>
  <si>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</si>
  <si>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</si>
  <si>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</si>
  <si>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</si>
  <si>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</si>
  <si>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</si>
  <si>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</si>
  <si>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</si>
  <si>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</si>
  <si>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</si>
  <si>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</si>
  <si>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</si>
  <si>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</si>
  <si>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</si>
  <si>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</si>
  <si>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</si>
  <si>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</si>
  <si>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</si>
  <si>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</si>
  <si>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</si>
  <si>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</si>
  <si>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</si>
  <si>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</si>
  <si>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</si>
  <si>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</si>
  <si>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</si>
  <si>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</si>
  <si>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</si>
  <si>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</si>
  <si>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</si>
  <si>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</si>
  <si>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</si>
  <si>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</si>
  <si>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</si>
  <si>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</si>
  <si>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</si>
  <si>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</si>
  <si>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</si>
  <si>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</si>
  <si>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</si>
  <si>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</si>
  <si>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</si>
  <si>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</si>
  <si>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Na Montmorillonite</t>
  </si>
  <si>
    <t>sCw (Bq/mL)</t>
  </si>
  <si>
    <t>sCs (Bq/g)</t>
  </si>
  <si>
    <t>TotAct</t>
  </si>
  <si>
    <t>fSorb</t>
  </si>
  <si>
    <t>sfsorb</t>
  </si>
  <si>
    <t>pH</t>
  </si>
  <si>
    <t>spH</t>
  </si>
  <si>
    <t>T1_A</t>
  </si>
  <si>
    <t>T1_B</t>
  </si>
  <si>
    <t>T1_C</t>
  </si>
  <si>
    <t>T2_A</t>
  </si>
  <si>
    <t>T2_B</t>
  </si>
  <si>
    <t>T3_C</t>
  </si>
  <si>
    <t>T2_C</t>
  </si>
  <si>
    <t>T3_A</t>
  </si>
  <si>
    <t>T3_B</t>
  </si>
  <si>
    <t>Desorb_A</t>
  </si>
  <si>
    <t>Desorb_B</t>
  </si>
  <si>
    <t>Desorb_C</t>
  </si>
  <si>
    <t>Ra_Stock_5</t>
  </si>
  <si>
    <t>Sample start</t>
  </si>
  <si>
    <t>Sample end</t>
  </si>
  <si>
    <t>Experiment Length</t>
  </si>
  <si>
    <t>Experiment Length (min)</t>
  </si>
  <si>
    <t>T1</t>
  </si>
  <si>
    <t>T2</t>
  </si>
  <si>
    <t>T3</t>
  </si>
  <si>
    <t>Desorb</t>
  </si>
  <si>
    <t>Mass (g)</t>
  </si>
  <si>
    <t>Kd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</si>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</sst>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m]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8632"/>
        <c:axId val="201131504"/>
      </c:scatterChart>
      <c:valAx>
        <c:axId val="206108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31504"/>
        <c:crosses val="autoZero"/>
        <c:crossBetween val="midCat"/>
      </c:valAx>
      <c:valAx>
        <c:axId val="201131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086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30720"/>
        <c:axId val="201131112"/>
      </c:scatterChart>
      <c:valAx>
        <c:axId val="2011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31112"/>
        <c:crosses val="autoZero"/>
        <c:crossBetween val="midCat"/>
      </c:valAx>
      <c:valAx>
        <c:axId val="201131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1130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3466503956378151E-2"/>
          <c:y val="0.15782407407407409"/>
          <c:w val="0.8648912948381452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Time series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'Averaged Results'!$K$2:$K$4</c:f>
              <c:numCache>
                <c:formatCode>[m]</c:formatCode>
                <c:ptCount val="3"/>
                <c:pt idx="0">
                  <c:v>1.0078703703717717</c:v>
                </c:pt>
                <c:pt idx="1">
                  <c:v>11.141898148149872</c:v>
                </c:pt>
                <c:pt idx="2">
                  <c:v>11.154398148149388</c:v>
                </c:pt>
              </c:numCache>
            </c:numRef>
          </c:xVal>
          <c:yVal>
            <c:numRef>
              <c:f>'Averaged Results'!$B$2:$B$4</c:f>
              <c:numCache>
                <c:formatCode>General</c:formatCode>
                <c:ptCount val="3"/>
                <c:pt idx="0">
                  <c:v>2.396741531887074</c:v>
                </c:pt>
                <c:pt idx="1">
                  <c:v>2.2669168852597754</c:v>
                </c:pt>
                <c:pt idx="2">
                  <c:v>2.4000713327594059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7976"/>
        <c:axId val="201130328"/>
      </c:scatterChart>
      <c:valAx>
        <c:axId val="2011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m]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30328"/>
        <c:crosses val="autoZero"/>
        <c:crossBetween val="midCat"/>
      </c:valAx>
      <c:valAx>
        <c:axId val="20113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476249</xdr:colOff>
      <xdr:row>7</xdr:row>
      <xdr:rowOff>114299</xdr:rowOff>
    </xdr:from>
    <xdr:to>
      <xdr:col>10</xdr:col>
      <xdr:colOff>752474</xdr:colOff>
      <xdr:row>27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37" sqref="F37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8">
        <v>42541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86</v>
      </c>
    </row>
    <row r="5" spans="1:5" x14ac:dyDescent="0.25">
      <c r="A5" t="s">
        <v>22</v>
      </c>
      <c r="B5" t="s">
        <v>106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H37" sqref="H37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7">
        <v>42583.413194444445</v>
      </c>
      <c r="B2" t="s">
        <v>94</v>
      </c>
      <c r="C2">
        <v>9299.2999999999993</v>
      </c>
      <c r="D2">
        <v>0.66</v>
      </c>
      <c r="E2">
        <v>0</v>
      </c>
      <c r="F2">
        <v>202.08</v>
      </c>
    </row>
    <row r="3" spans="1:6" x14ac:dyDescent="0.25">
      <c r="A3" s="17">
        <v>42583.413194444445</v>
      </c>
      <c r="B3" t="s">
        <v>95</v>
      </c>
      <c r="C3">
        <v>9161.2000000000007</v>
      </c>
      <c r="D3">
        <v>0.66</v>
      </c>
      <c r="E3">
        <v>0</v>
      </c>
      <c r="F3">
        <v>212.77</v>
      </c>
    </row>
    <row r="4" spans="1:6" x14ac:dyDescent="0.25">
      <c r="A4" s="17">
        <v>42583.413194444445</v>
      </c>
      <c r="B4" t="s">
        <v>96</v>
      </c>
      <c r="C4">
        <v>9281.7999999999993</v>
      </c>
      <c r="D4">
        <v>0.66</v>
      </c>
      <c r="E4">
        <v>0</v>
      </c>
      <c r="F4">
        <v>223.43</v>
      </c>
    </row>
    <row r="5" spans="1:6" x14ac:dyDescent="0.25">
      <c r="A5" s="17">
        <v>42583.413194444445</v>
      </c>
      <c r="B5" t="s">
        <v>97</v>
      </c>
      <c r="C5">
        <v>8770.4</v>
      </c>
      <c r="D5">
        <v>0.68</v>
      </c>
      <c r="E5">
        <v>0</v>
      </c>
      <c r="F5">
        <v>234.1</v>
      </c>
    </row>
    <row r="6" spans="1:6" x14ac:dyDescent="0.25">
      <c r="A6" s="17">
        <v>42583.413194444445</v>
      </c>
      <c r="B6" t="s">
        <v>98</v>
      </c>
      <c r="C6">
        <v>8717.6</v>
      </c>
      <c r="D6">
        <v>0.68</v>
      </c>
      <c r="E6">
        <v>0</v>
      </c>
      <c r="F6">
        <v>244.76</v>
      </c>
    </row>
    <row r="7" spans="1:6" x14ac:dyDescent="0.25">
      <c r="A7" s="17">
        <v>42583.413194444445</v>
      </c>
      <c r="B7" t="s">
        <v>100</v>
      </c>
      <c r="C7">
        <v>8565.6</v>
      </c>
      <c r="D7">
        <v>0.68</v>
      </c>
      <c r="E7">
        <v>0</v>
      </c>
      <c r="F7">
        <v>255.43</v>
      </c>
    </row>
    <row r="8" spans="1:6" x14ac:dyDescent="0.25">
      <c r="A8" s="17">
        <v>42583.413194444445</v>
      </c>
      <c r="B8" t="s">
        <v>101</v>
      </c>
      <c r="C8">
        <v>9282.7999999999993</v>
      </c>
      <c r="D8">
        <v>0.66</v>
      </c>
      <c r="E8">
        <v>0</v>
      </c>
      <c r="F8">
        <v>266.2</v>
      </c>
    </row>
    <row r="9" spans="1:6" x14ac:dyDescent="0.25">
      <c r="A9" s="17">
        <v>42583.413194444445</v>
      </c>
      <c r="B9" t="s">
        <v>102</v>
      </c>
      <c r="C9">
        <v>9115.7999999999993</v>
      </c>
      <c r="D9">
        <v>0.66</v>
      </c>
      <c r="E9">
        <v>0</v>
      </c>
      <c r="F9">
        <v>276.86</v>
      </c>
    </row>
    <row r="10" spans="1:6" x14ac:dyDescent="0.25">
      <c r="A10" s="17">
        <v>42583.413194444445</v>
      </c>
      <c r="B10" t="s">
        <v>99</v>
      </c>
      <c r="C10">
        <v>9201.4</v>
      </c>
      <c r="D10">
        <v>0.66</v>
      </c>
      <c r="E10">
        <v>0</v>
      </c>
      <c r="F10">
        <v>287.52999999999997</v>
      </c>
    </row>
    <row r="11" spans="1:6" x14ac:dyDescent="0.25">
      <c r="A11" s="17">
        <v>42583.413194444445</v>
      </c>
      <c r="B11" t="s">
        <v>103</v>
      </c>
      <c r="C11">
        <v>1193.3</v>
      </c>
      <c r="D11">
        <v>1.83</v>
      </c>
      <c r="E11">
        <v>0.01</v>
      </c>
      <c r="F11">
        <v>298.16000000000003</v>
      </c>
    </row>
    <row r="12" spans="1:6" x14ac:dyDescent="0.25">
      <c r="A12" s="17">
        <v>42583.413194444445</v>
      </c>
      <c r="B12" t="s">
        <v>104</v>
      </c>
      <c r="C12">
        <v>1943.1</v>
      </c>
      <c r="D12">
        <v>1.43</v>
      </c>
      <c r="E12">
        <v>0.01</v>
      </c>
      <c r="F12">
        <v>308.82</v>
      </c>
    </row>
    <row r="13" spans="1:6" x14ac:dyDescent="0.25">
      <c r="A13" s="17">
        <v>42583.413194444445</v>
      </c>
      <c r="B13" t="s">
        <v>105</v>
      </c>
      <c r="C13">
        <v>1041</v>
      </c>
      <c r="D13">
        <v>1.96</v>
      </c>
      <c r="E13">
        <v>0.02</v>
      </c>
      <c r="F13">
        <v>319.45</v>
      </c>
    </row>
    <row r="14" spans="1:6" x14ac:dyDescent="0.25">
      <c r="A14" s="17">
        <v>42612.703472222223</v>
      </c>
      <c r="B14" t="s">
        <v>94</v>
      </c>
      <c r="C14">
        <v>8828.4</v>
      </c>
      <c r="D14">
        <v>0.67</v>
      </c>
      <c r="E14">
        <v>0</v>
      </c>
      <c r="F14">
        <v>202.23</v>
      </c>
    </row>
    <row r="15" spans="1:6" x14ac:dyDescent="0.25">
      <c r="A15" s="17">
        <v>42612.703472222223</v>
      </c>
      <c r="B15" t="s">
        <v>95</v>
      </c>
      <c r="C15">
        <v>8664</v>
      </c>
      <c r="D15">
        <v>0.68</v>
      </c>
      <c r="E15">
        <v>0</v>
      </c>
      <c r="F15">
        <v>212.89</v>
      </c>
    </row>
    <row r="16" spans="1:6" x14ac:dyDescent="0.25">
      <c r="A16" s="17">
        <v>42612.703472222223</v>
      </c>
      <c r="B16" t="s">
        <v>96</v>
      </c>
      <c r="C16">
        <v>9054.7000000000007</v>
      </c>
      <c r="D16">
        <v>0.66</v>
      </c>
      <c r="E16">
        <v>0</v>
      </c>
      <c r="F16">
        <v>223.54</v>
      </c>
    </row>
    <row r="17" spans="1:6" x14ac:dyDescent="0.25">
      <c r="A17" s="17">
        <v>42612.703472222223</v>
      </c>
      <c r="B17" t="s">
        <v>97</v>
      </c>
      <c r="C17">
        <v>8342.4</v>
      </c>
      <c r="D17">
        <v>0.69</v>
      </c>
      <c r="E17">
        <v>0</v>
      </c>
      <c r="F17">
        <v>234.2</v>
      </c>
    </row>
    <row r="18" spans="1:6" x14ac:dyDescent="0.25">
      <c r="A18" s="17">
        <v>42612.703472222223</v>
      </c>
      <c r="B18" t="s">
        <v>98</v>
      </c>
      <c r="C18">
        <v>8324.5</v>
      </c>
      <c r="D18">
        <v>0.69</v>
      </c>
      <c r="E18">
        <v>0</v>
      </c>
      <c r="F18">
        <v>244.87</v>
      </c>
    </row>
    <row r="19" spans="1:6" x14ac:dyDescent="0.25">
      <c r="A19" s="17">
        <v>42612.703472222223</v>
      </c>
      <c r="B19" t="s">
        <v>100</v>
      </c>
      <c r="C19">
        <v>8557.2999999999993</v>
      </c>
      <c r="D19">
        <v>0.68</v>
      </c>
      <c r="E19">
        <v>0</v>
      </c>
      <c r="F19">
        <v>255.52</v>
      </c>
    </row>
    <row r="20" spans="1:6" x14ac:dyDescent="0.25">
      <c r="A20" s="17">
        <v>42612.703472222223</v>
      </c>
      <c r="B20" t="s">
        <v>101</v>
      </c>
      <c r="C20">
        <v>8994.7000000000007</v>
      </c>
      <c r="D20">
        <v>0.67</v>
      </c>
      <c r="E20">
        <v>0</v>
      </c>
      <c r="F20">
        <v>266.29000000000002</v>
      </c>
    </row>
    <row r="21" spans="1:6" x14ac:dyDescent="0.25">
      <c r="A21" s="17">
        <v>42612.703472222223</v>
      </c>
      <c r="B21" t="s">
        <v>102</v>
      </c>
      <c r="C21">
        <v>8684.6</v>
      </c>
      <c r="D21">
        <v>0.68</v>
      </c>
      <c r="E21">
        <v>0</v>
      </c>
      <c r="F21">
        <v>276.95999999999998</v>
      </c>
    </row>
    <row r="22" spans="1:6" x14ac:dyDescent="0.25">
      <c r="A22" s="17">
        <v>42612.703472222223</v>
      </c>
      <c r="B22" t="s">
        <v>99</v>
      </c>
      <c r="C22">
        <v>9085.4</v>
      </c>
      <c r="D22">
        <v>0.66</v>
      </c>
      <c r="E22">
        <v>0</v>
      </c>
      <c r="F22">
        <v>287.63</v>
      </c>
    </row>
    <row r="23" spans="1:6" x14ac:dyDescent="0.25">
      <c r="A23" s="17">
        <v>42612.703472222223</v>
      </c>
      <c r="B23" t="s">
        <v>103</v>
      </c>
      <c r="C23">
        <v>1145</v>
      </c>
      <c r="D23">
        <v>1.87</v>
      </c>
      <c r="E23">
        <v>0.01</v>
      </c>
      <c r="F23">
        <v>298.26</v>
      </c>
    </row>
    <row r="24" spans="1:6" x14ac:dyDescent="0.25">
      <c r="A24" s="17">
        <v>42612.703472222223</v>
      </c>
      <c r="B24" t="s">
        <v>104</v>
      </c>
      <c r="C24">
        <v>1891.9</v>
      </c>
      <c r="D24">
        <v>1.45</v>
      </c>
      <c r="E24">
        <v>0.01</v>
      </c>
      <c r="F24">
        <v>308.89999999999998</v>
      </c>
    </row>
    <row r="25" spans="1:6" x14ac:dyDescent="0.25">
      <c r="A25" s="17">
        <v>42612.703472222223</v>
      </c>
      <c r="B25" t="s">
        <v>105</v>
      </c>
      <c r="C25">
        <v>1008.9</v>
      </c>
      <c r="D25">
        <v>1.99</v>
      </c>
      <c r="E25">
        <v>0.01</v>
      </c>
      <c r="F25">
        <v>319.52999999999997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9" sqref="D9:E9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1" customWidth="1"/>
    <col min="26" max="16384" width="9.140625" style="21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117</v>
      </c>
      <c r="G1" s="2" t="s">
        <v>118</v>
      </c>
      <c r="H1" s="2" t="s">
        <v>119</v>
      </c>
      <c r="I1" s="20" t="s">
        <v>120</v>
      </c>
      <c r="J1" s="20" t="s">
        <v>121</v>
      </c>
      <c r="K1" s="2" t="s">
        <v>120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122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123</v>
      </c>
      <c r="B10" s="20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124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2" t="s">
        <v>125</v>
      </c>
      <c r="B12" s="23"/>
      <c r="C12" s="23"/>
      <c r="D12" s="23"/>
      <c r="E12" s="23"/>
      <c r="F12" s="23"/>
      <c r="G12" s="23"/>
      <c r="H12" s="23"/>
      <c r="I12" s="23"/>
      <c r="J12" s="24"/>
      <c r="K12" s="23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1"/>
      <c r="W12" s="21"/>
      <c r="X12" s="21"/>
    </row>
    <row r="13" spans="1:24" x14ac:dyDescent="0.25">
      <c r="A13" s="21" t="s">
        <v>126</v>
      </c>
      <c r="B13" s="21"/>
      <c r="C13" s="21"/>
      <c r="D13" s="21"/>
      <c r="E13" s="21"/>
      <c r="F13" s="21"/>
      <c r="G13" s="21"/>
      <c r="H13" s="21"/>
      <c r="I13" s="21"/>
      <c r="J13" s="21"/>
      <c r="K13" s="26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</row>
    <row r="32" spans="1:24" x14ac:dyDescent="0.25">
      <c r="A32"/>
      <c r="B32"/>
      <c r="C32"/>
      <c r="D32"/>
      <c r="E32"/>
      <c r="F32"/>
      <c r="G32"/>
      <c r="H32"/>
      <c r="I32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</row>
    <row r="33" spans="1:24" x14ac:dyDescent="0.25">
      <c r="A33"/>
      <c r="B33"/>
      <c r="C33"/>
      <c r="D33"/>
      <c r="E33"/>
      <c r="F33"/>
      <c r="G33"/>
      <c r="H33"/>
      <c r="I33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</row>
    <row r="34" spans="1:24" x14ac:dyDescent="0.25">
      <c r="A34"/>
      <c r="B34"/>
      <c r="C34"/>
      <c r="D34"/>
      <c r="E34"/>
      <c r="F34"/>
      <c r="G34"/>
      <c r="H34"/>
      <c r="I34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</row>
    <row r="45" spans="1:24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</row>
    <row r="46" spans="1:24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</row>
    <row r="47" spans="1:24" x14ac:dyDescent="0.25">
      <c r="A47" s="21" t="s">
        <v>127</v>
      </c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spans="1:24" x14ac:dyDescent="0.25">
      <c r="A56"/>
      <c r="B56"/>
      <c r="C56"/>
      <c r="D56"/>
      <c r="E56"/>
      <c r="F56"/>
      <c r="G56"/>
      <c r="H56"/>
      <c r="I56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</row>
    <row r="66" spans="1:24" x14ac:dyDescent="0.25">
      <c r="A66"/>
      <c r="B66"/>
      <c r="C66"/>
      <c r="D66"/>
      <c r="E66"/>
      <c r="F66"/>
      <c r="G66"/>
      <c r="H66"/>
      <c r="I66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</row>
    <row r="67" spans="1:24" x14ac:dyDescent="0.25">
      <c r="A67"/>
      <c r="B67"/>
      <c r="C67"/>
      <c r="D67"/>
      <c r="E67"/>
      <c r="F67"/>
      <c r="G67"/>
      <c r="H67"/>
      <c r="I67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</row>
    <row r="68" spans="1:24" x14ac:dyDescent="0.25">
      <c r="A68"/>
      <c r="B68"/>
      <c r="C68"/>
      <c r="D68"/>
      <c r="E68"/>
      <c r="F68"/>
      <c r="G68"/>
      <c r="H68"/>
      <c r="I68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</row>
    <row r="80" spans="1:24" x14ac:dyDescent="0.25">
      <c r="A80"/>
      <c r="B80"/>
      <c r="C80"/>
      <c r="D80"/>
      <c r="E80"/>
      <c r="F80"/>
      <c r="G80"/>
      <c r="H80"/>
      <c r="I80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</row>
    <row r="81" spans="1:24" x14ac:dyDescent="0.25">
      <c r="A81"/>
      <c r="B81"/>
      <c r="C81"/>
      <c r="D81"/>
      <c r="E81"/>
      <c r="F81"/>
      <c r="G81"/>
      <c r="H81"/>
      <c r="I8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</row>
    <row r="82" spans="1:24" x14ac:dyDescent="0.25">
      <c r="A82"/>
      <c r="B82"/>
      <c r="C82"/>
      <c r="D82"/>
      <c r="E82"/>
      <c r="F82"/>
      <c r="G82"/>
      <c r="H82"/>
      <c r="I82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</row>
    <row r="83" spans="1:24" x14ac:dyDescent="0.25">
      <c r="A83"/>
      <c r="B83"/>
      <c r="C83"/>
      <c r="D83"/>
      <c r="E83"/>
      <c r="F83"/>
      <c r="G83"/>
      <c r="H83"/>
      <c r="I83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</row>
    <row r="84" spans="1:24" x14ac:dyDescent="0.25">
      <c r="A84"/>
      <c r="B84"/>
      <c r="C84"/>
      <c r="D84"/>
      <c r="E84"/>
      <c r="F84"/>
      <c r="G84"/>
      <c r="H84"/>
      <c r="I84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</row>
    <row r="85" spans="1:24" x14ac:dyDescent="0.25">
      <c r="A85"/>
      <c r="B85"/>
      <c r="C85"/>
      <c r="D85"/>
      <c r="E85"/>
      <c r="F85"/>
      <c r="G85"/>
      <c r="H85"/>
      <c r="I85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</row>
    <row r="86" spans="1:24" x14ac:dyDescent="0.25">
      <c r="A86"/>
      <c r="B86"/>
      <c r="C86"/>
      <c r="D86"/>
      <c r="E86"/>
      <c r="F86"/>
      <c r="G86"/>
      <c r="H86"/>
      <c r="I86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</row>
    <row r="87" spans="1:24" x14ac:dyDescent="0.25">
      <c r="A87"/>
      <c r="B87"/>
      <c r="C87"/>
      <c r="D87"/>
      <c r="E87"/>
      <c r="F87"/>
      <c r="G87"/>
      <c r="H87"/>
      <c r="I87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</row>
    <row r="88" spans="1:24" x14ac:dyDescent="0.25">
      <c r="A88"/>
      <c r="B88"/>
      <c r="C88"/>
      <c r="D88"/>
      <c r="E88"/>
      <c r="F88"/>
      <c r="G88"/>
      <c r="H88"/>
      <c r="I88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</row>
    <row r="89" spans="1:24" x14ac:dyDescent="0.25">
      <c r="A89"/>
      <c r="B89"/>
      <c r="C89"/>
      <c r="D89"/>
      <c r="E89"/>
      <c r="F89"/>
      <c r="G89"/>
      <c r="H89"/>
      <c r="I89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</row>
    <row r="90" spans="1:24" x14ac:dyDescent="0.25">
      <c r="A90"/>
      <c r="B90"/>
      <c r="C90"/>
      <c r="D90"/>
      <c r="E90"/>
      <c r="F90"/>
      <c r="G90"/>
      <c r="H90"/>
      <c r="I90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</row>
    <row r="91" spans="1:24" x14ac:dyDescent="0.25">
      <c r="A91"/>
      <c r="B91"/>
      <c r="C91"/>
      <c r="D91"/>
      <c r="E91"/>
      <c r="F91"/>
      <c r="G91"/>
      <c r="H91"/>
      <c r="I9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</row>
    <row r="92" spans="1:24" x14ac:dyDescent="0.25">
      <c r="A92"/>
      <c r="B92"/>
      <c r="C92"/>
      <c r="D92"/>
      <c r="E92"/>
      <c r="F92"/>
      <c r="G92"/>
      <c r="H92"/>
      <c r="I92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</row>
    <row r="93" spans="1:24" x14ac:dyDescent="0.25">
      <c r="A93"/>
      <c r="B93"/>
      <c r="C93"/>
      <c r="D93"/>
      <c r="E93"/>
      <c r="F93"/>
      <c r="G93"/>
      <c r="H93"/>
      <c r="I93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</row>
    <row r="94" spans="1:24" x14ac:dyDescent="0.25">
      <c r="A94"/>
      <c r="B94"/>
      <c r="C94"/>
      <c r="D94"/>
      <c r="E94"/>
      <c r="F94"/>
      <c r="G94"/>
      <c r="H94"/>
      <c r="I94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</row>
    <row r="95" spans="1:24" x14ac:dyDescent="0.25">
      <c r="A95"/>
      <c r="B95"/>
      <c r="C95"/>
      <c r="D95"/>
      <c r="E95"/>
      <c r="F95"/>
      <c r="G95"/>
      <c r="H95"/>
      <c r="I95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</row>
    <row r="96" spans="1:24" x14ac:dyDescent="0.25">
      <c r="A96"/>
      <c r="B96"/>
      <c r="C96"/>
      <c r="D96"/>
      <c r="E96"/>
      <c r="F96"/>
      <c r="G96"/>
      <c r="H96"/>
      <c r="I96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</row>
    <row r="97" spans="1:24" x14ac:dyDescent="0.25">
      <c r="A97"/>
      <c r="B97"/>
      <c r="C97"/>
      <c r="D97"/>
      <c r="E97"/>
      <c r="F97"/>
      <c r="G97"/>
      <c r="H97"/>
      <c r="I97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</row>
    <row r="98" spans="1:24" x14ac:dyDescent="0.25">
      <c r="A98"/>
      <c r="B98"/>
      <c r="C98"/>
      <c r="D98"/>
      <c r="E98"/>
      <c r="F98"/>
      <c r="G98"/>
      <c r="H98"/>
      <c r="I98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</row>
    <row r="99" spans="1:24" x14ac:dyDescent="0.25">
      <c r="A99"/>
      <c r="B99"/>
      <c r="C99"/>
      <c r="D99"/>
      <c r="E99"/>
      <c r="F99"/>
      <c r="G99"/>
      <c r="H99"/>
      <c r="I99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</row>
    <row r="100" spans="1:24" x14ac:dyDescent="0.25">
      <c r="A100"/>
      <c r="B100"/>
      <c r="C100"/>
      <c r="D100"/>
      <c r="E100"/>
      <c r="F100"/>
      <c r="G100"/>
      <c r="H100"/>
      <c r="I100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</row>
    <row r="101" spans="1:24" x14ac:dyDescent="0.25">
      <c r="A101"/>
      <c r="B101"/>
      <c r="C101"/>
      <c r="D101"/>
      <c r="E101"/>
      <c r="F101"/>
      <c r="G101"/>
      <c r="H101"/>
      <c r="I10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</row>
    <row r="102" spans="1:24" x14ac:dyDescent="0.25">
      <c r="A102"/>
      <c r="B102"/>
      <c r="C102"/>
      <c r="D102"/>
      <c r="E102"/>
      <c r="F102"/>
      <c r="G102"/>
      <c r="H102"/>
      <c r="I102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</row>
    <row r="103" spans="1:24" x14ac:dyDescent="0.25">
      <c r="A103"/>
      <c r="B103"/>
      <c r="C103"/>
      <c r="D103"/>
      <c r="E103"/>
      <c r="F103"/>
      <c r="G103"/>
      <c r="H103"/>
      <c r="I103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</row>
    <row r="104" spans="1:24" x14ac:dyDescent="0.25">
      <c r="A104"/>
      <c r="B104"/>
      <c r="C104"/>
      <c r="D104"/>
      <c r="E104"/>
      <c r="F104"/>
      <c r="G104"/>
      <c r="H104"/>
      <c r="I104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</row>
    <row r="105" spans="1:24" x14ac:dyDescent="0.25">
      <c r="A105"/>
      <c r="B105"/>
      <c r="C105"/>
      <c r="D105"/>
      <c r="E105"/>
      <c r="F105"/>
      <c r="G105"/>
      <c r="H105"/>
      <c r="I105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</row>
    <row r="106" spans="1:24" x14ac:dyDescent="0.25">
      <c r="A106"/>
      <c r="B106"/>
      <c r="C106"/>
      <c r="D106"/>
      <c r="E106"/>
      <c r="F106"/>
      <c r="G106"/>
      <c r="H106"/>
      <c r="I106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</row>
    <row r="107" spans="1:24" x14ac:dyDescent="0.25">
      <c r="A107"/>
      <c r="B107"/>
      <c r="C107"/>
      <c r="D107"/>
      <c r="E107"/>
      <c r="F107"/>
      <c r="G107"/>
      <c r="H107"/>
      <c r="I107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</row>
    <row r="108" spans="1:24" x14ac:dyDescent="0.25">
      <c r="A108"/>
      <c r="B108"/>
      <c r="C108"/>
      <c r="D108"/>
      <c r="E108"/>
      <c r="F108"/>
      <c r="G108"/>
      <c r="H108"/>
      <c r="I108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</row>
    <row r="109" spans="1:24" x14ac:dyDescent="0.25">
      <c r="A109"/>
      <c r="B109"/>
      <c r="C109"/>
      <c r="D109"/>
      <c r="E109"/>
      <c r="F109"/>
      <c r="G109"/>
      <c r="H109"/>
      <c r="I109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</row>
    <row r="110" spans="1:24" x14ac:dyDescent="0.25">
      <c r="A110"/>
      <c r="B110"/>
      <c r="C110"/>
      <c r="D110"/>
      <c r="E110"/>
      <c r="F110"/>
      <c r="G110"/>
      <c r="H110"/>
      <c r="I110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</row>
    <row r="111" spans="1:24" x14ac:dyDescent="0.25">
      <c r="A111"/>
      <c r="B111"/>
      <c r="C111"/>
      <c r="D111"/>
      <c r="E111"/>
      <c r="F111"/>
      <c r="G111"/>
      <c r="H111"/>
      <c r="I11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H37" sqref="H3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94</v>
      </c>
      <c r="B2" s="14" t="s">
        <v>85</v>
      </c>
      <c r="C2">
        <v>151.06416666666701</v>
      </c>
      <c r="D2">
        <v>1.0045767083333299</v>
      </c>
      <c r="E2" s="1" t="s">
        <v>45</v>
      </c>
      <c r="F2" s="1">
        <f>C2*'Calibration Data'!$B$31+'Calibration Data'!$B$30</f>
        <v>24.008849892806698</v>
      </c>
      <c r="G2" s="16">
        <f>'Calibration Data'!$B$20</f>
        <v>0.15745067498955981</v>
      </c>
    </row>
    <row r="3" spans="1:7" x14ac:dyDescent="0.25">
      <c r="A3" t="s">
        <v>95</v>
      </c>
      <c r="B3" s="14" t="s">
        <v>85</v>
      </c>
      <c r="C3">
        <v>148.54333333333301</v>
      </c>
      <c r="D3">
        <v>0.99524033333333395</v>
      </c>
      <c r="E3" s="1" t="s">
        <v>45</v>
      </c>
      <c r="F3" s="1">
        <f>C3*'Calibration Data'!$B$31+'Calibration Data'!$B$30</f>
        <v>23.607549190065406</v>
      </c>
      <c r="G3" s="16">
        <f>'Calibration Data'!$B$20</f>
        <v>0.15745067498955981</v>
      </c>
    </row>
    <row r="4" spans="1:7" x14ac:dyDescent="0.25">
      <c r="A4" t="s">
        <v>96</v>
      </c>
      <c r="B4" s="14" t="s">
        <v>85</v>
      </c>
      <c r="C4">
        <v>152.80416666666699</v>
      </c>
      <c r="D4">
        <v>1.0085074999999999</v>
      </c>
      <c r="E4" s="1" t="s">
        <v>45</v>
      </c>
      <c r="F4" s="1">
        <f>C4*'Calibration Data'!$B$31+'Calibration Data'!$B$30</f>
        <v>24.285846873740116</v>
      </c>
      <c r="G4" s="16">
        <f>'Calibration Data'!$B$20</f>
        <v>0.15745067498955981</v>
      </c>
    </row>
    <row r="5" spans="1:7" x14ac:dyDescent="0.25">
      <c r="A5" t="s">
        <v>97</v>
      </c>
      <c r="B5" s="14" t="s">
        <v>85</v>
      </c>
      <c r="C5">
        <v>142.606666666667</v>
      </c>
      <c r="D5">
        <v>0.97685566666666701</v>
      </c>
      <c r="E5" s="1" t="s">
        <v>45</v>
      </c>
      <c r="F5" s="1">
        <f>C5*'Calibration Data'!$B$31+'Calibration Data'!$B$30</f>
        <v>22.662469452436344</v>
      </c>
      <c r="G5" s="16">
        <f>'Calibration Data'!$B$20</f>
        <v>0.15745067498955981</v>
      </c>
    </row>
    <row r="6" spans="1:7" x14ac:dyDescent="0.25">
      <c r="A6" t="s">
        <v>98</v>
      </c>
      <c r="B6" s="14" t="s">
        <v>85</v>
      </c>
      <c r="C6">
        <v>142.01750000000001</v>
      </c>
      <c r="D6">
        <v>0.972819875</v>
      </c>
      <c r="E6" s="1" t="s">
        <v>45</v>
      </c>
      <c r="F6" s="1">
        <f>C6*'Calibration Data'!$B$31+'Calibration Data'!$B$30</f>
        <v>22.568677850175792</v>
      </c>
      <c r="G6" s="16">
        <f>'Calibration Data'!$B$20</f>
        <v>0.15745067498955981</v>
      </c>
    </row>
    <row r="7" spans="1:7" x14ac:dyDescent="0.25">
      <c r="A7" t="s">
        <v>100</v>
      </c>
      <c r="B7" s="14" t="s">
        <v>85</v>
      </c>
      <c r="C7">
        <v>142.69083333333299</v>
      </c>
      <c r="D7">
        <v>0.97029766666666695</v>
      </c>
      <c r="E7" s="1" t="s">
        <v>45</v>
      </c>
      <c r="F7" s="1">
        <f>C7*'Calibration Data'!$B$31+'Calibration Data'!$B$30</f>
        <v>22.675868252759166</v>
      </c>
      <c r="G7" s="16">
        <f>'Calibration Data'!$B$20</f>
        <v>0.15745067498955981</v>
      </c>
    </row>
    <row r="8" spans="1:7" ht="15.75" customHeight="1" x14ac:dyDescent="0.25">
      <c r="A8" t="s">
        <v>101</v>
      </c>
      <c r="B8" s="14" t="s">
        <v>85</v>
      </c>
      <c r="C8">
        <v>152.3125</v>
      </c>
      <c r="D8">
        <v>1.0128781250000001</v>
      </c>
      <c r="E8" s="1" t="s">
        <v>45</v>
      </c>
      <c r="F8" s="1">
        <f>C8*'Calibration Data'!$B$31+'Calibration Data'!$B$30</f>
        <v>24.207576654031868</v>
      </c>
      <c r="G8" s="16">
        <f>'Calibration Data'!$B$20</f>
        <v>0.15745067498955981</v>
      </c>
    </row>
    <row r="9" spans="1:7" x14ac:dyDescent="0.25">
      <c r="A9" t="s">
        <v>102</v>
      </c>
      <c r="B9" s="14" t="s">
        <v>85</v>
      </c>
      <c r="C9">
        <v>148.33666666666701</v>
      </c>
      <c r="D9">
        <v>0.99385566666666703</v>
      </c>
      <c r="E9" s="1" t="s">
        <v>45</v>
      </c>
      <c r="F9" s="1">
        <f>C9*'Calibration Data'!$B$31+'Calibration Data'!$B$30</f>
        <v>23.574649165510202</v>
      </c>
      <c r="G9" s="16">
        <f>'Calibration Data'!$B$20</f>
        <v>0.15745067498955981</v>
      </c>
    </row>
    <row r="10" spans="1:7" x14ac:dyDescent="0.25">
      <c r="A10" t="s">
        <v>99</v>
      </c>
      <c r="B10" s="14" t="s">
        <v>85</v>
      </c>
      <c r="C10">
        <v>152.38999999999999</v>
      </c>
      <c r="D10">
        <v>1.0057739999999999</v>
      </c>
      <c r="E10" s="1" t="s">
        <v>45</v>
      </c>
      <c r="F10" s="1">
        <f>C10*'Calibration Data'!$B$31+'Calibration Data'!$B$30</f>
        <v>24.219914163240109</v>
      </c>
      <c r="G10" s="16">
        <f>'Calibration Data'!$B$20</f>
        <v>0.15745067498955981</v>
      </c>
    </row>
    <row r="11" spans="1:7" x14ac:dyDescent="0.25">
      <c r="A11" t="s">
        <v>103</v>
      </c>
      <c r="B11" s="14" t="s">
        <v>85</v>
      </c>
      <c r="C11">
        <v>19.4858333333333</v>
      </c>
      <c r="D11">
        <v>0.36048791666666702</v>
      </c>
      <c r="E11" s="1" t="s">
        <v>45</v>
      </c>
      <c r="F11" s="1">
        <f>C11*'Calibration Data'!$B$31+'Calibration Data'!$B$30</f>
        <v>3.0624124849993333</v>
      </c>
      <c r="G11" s="16">
        <f>'Calibration Data'!$B$20</f>
        <v>0.15745067498955981</v>
      </c>
    </row>
    <row r="12" spans="1:7" x14ac:dyDescent="0.25">
      <c r="A12" t="s">
        <v>104</v>
      </c>
      <c r="B12" s="14" t="s">
        <v>85</v>
      </c>
      <c r="C12">
        <v>31.9583333333333</v>
      </c>
      <c r="D12">
        <v>0.4602</v>
      </c>
      <c r="E12" s="1" t="s">
        <v>45</v>
      </c>
      <c r="F12" s="1">
        <f>C12*'Calibration Data'!$B$31+'Calibration Data'!$B$30</f>
        <v>5.0479554991901949</v>
      </c>
      <c r="G12" s="16">
        <f>'Calibration Data'!$B$20</f>
        <v>0.15745067498955981</v>
      </c>
    </row>
    <row r="13" spans="1:7" x14ac:dyDescent="0.25">
      <c r="A13" t="s">
        <v>105</v>
      </c>
      <c r="B13" s="14" t="s">
        <v>85</v>
      </c>
      <c r="C13">
        <v>17.0825</v>
      </c>
      <c r="D13">
        <v>0.33737937499999998</v>
      </c>
      <c r="E13" s="1" t="s">
        <v>45</v>
      </c>
      <c r="F13" s="1">
        <f>C13*'Calibration Data'!$B$31+'Calibration Data'!$B$30</f>
        <v>2.6798170381545168</v>
      </c>
      <c r="G13" s="16">
        <f>'Calibration Data'!$B$20</f>
        <v>0.15745067498955981</v>
      </c>
    </row>
    <row r="14" spans="1:7" x14ac:dyDescent="0.25">
      <c r="A14" s="14"/>
      <c r="B14" s="15"/>
    </row>
    <row r="15" spans="1:7" x14ac:dyDescent="0.25">
      <c r="A15" s="14"/>
      <c r="B15" s="15"/>
    </row>
    <row r="16" spans="1:7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I2" sqref="I2:I13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1" width="14.85546875" bestFit="1" customWidth="1"/>
  </cols>
  <sheetData>
    <row r="1" spans="1:22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90</v>
      </c>
      <c r="T1" t="s">
        <v>107</v>
      </c>
      <c r="U1" t="s">
        <v>108</v>
      </c>
      <c r="V1" t="s">
        <v>110</v>
      </c>
    </row>
    <row r="2" spans="1:22" x14ac:dyDescent="0.25">
      <c r="A2" t="s">
        <v>94</v>
      </c>
      <c r="B2">
        <v>0.34799999999999998</v>
      </c>
      <c r="C2">
        <v>2E-3</v>
      </c>
      <c r="D2" s="1">
        <v>7.08</v>
      </c>
      <c r="E2" s="1">
        <v>2.9700000000000001E-2</v>
      </c>
      <c r="F2" s="1">
        <v>1E-4</v>
      </c>
      <c r="G2" s="1">
        <v>100</v>
      </c>
      <c r="H2" s="1">
        <v>5</v>
      </c>
      <c r="I2" s="1">
        <f>'Count-&gt;Actual Activity'!F2</f>
        <v>24.008849892806698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3" si="0">I2/K2</f>
        <v>2.4008849892806698</v>
      </c>
      <c r="N2">
        <f t="shared" ref="N2:N13" si="1">SQRT((L2/K2)^2+(J2/I2)^2)*M2</f>
        <v>1.6460988593450059E-2</v>
      </c>
      <c r="O2">
        <f>B2*Parameters!$B$6</f>
        <v>320.76777464788734</v>
      </c>
      <c r="P2">
        <f>SQRT((C2/B2)^2+(Parameters!$C$6/Parameters!$B$6)^2)*'Bottle Results'!O2</f>
        <v>14.211622984040488</v>
      </c>
      <c r="Q2">
        <f t="shared" ref="Q2:Q13" si="2">(O2-M2*G2)/E2</f>
        <v>2716.4739299602807</v>
      </c>
      <c r="S2">
        <f t="shared" ref="S2:S13" si="3">(O2-M2*G2)/O2</f>
        <v>0.25151926750866249</v>
      </c>
      <c r="T2" s="17">
        <v>42541.484722222223</v>
      </c>
      <c r="U2" s="17">
        <v>42542.496527777781</v>
      </c>
      <c r="V2" s="19">
        <f>U2-T2</f>
        <v>1.0118055555576575</v>
      </c>
    </row>
    <row r="3" spans="1:22" x14ac:dyDescent="0.25">
      <c r="A3" t="s">
        <v>95</v>
      </c>
      <c r="B3">
        <v>0.34799999999999998</v>
      </c>
      <c r="C3">
        <v>2E-3</v>
      </c>
      <c r="D3" s="1">
        <v>7.03</v>
      </c>
      <c r="E3" s="1">
        <v>3.0099999999999998E-2</v>
      </c>
      <c r="F3" s="1">
        <v>1E-4</v>
      </c>
      <c r="G3" s="1">
        <v>100</v>
      </c>
      <c r="H3" s="1">
        <v>5</v>
      </c>
      <c r="I3" s="1">
        <f>'Count-&gt;Actual Activity'!F3</f>
        <v>23.607549190065406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2.3607549190065407</v>
      </c>
      <c r="N3">
        <f t="shared" si="1"/>
        <v>1.643775549450515E-2</v>
      </c>
      <c r="O3">
        <f>B3*Parameters!$B$6</f>
        <v>320.76777464788734</v>
      </c>
      <c r="P3">
        <f>SQRT((C3/B3)^2+(Parameters!$C$6/Parameters!$B$6)^2)*'Bottle Results'!O3</f>
        <v>14.211622984040488</v>
      </c>
      <c r="Q3">
        <f t="shared" si="2"/>
        <v>2813.6971012369859</v>
      </c>
      <c r="S3">
        <f t="shared" si="3"/>
        <v>0.26402989776701086</v>
      </c>
      <c r="T3" s="17">
        <v>42541.486111111109</v>
      </c>
      <c r="U3" s="17">
        <v>42542.499305555553</v>
      </c>
      <c r="V3" s="19">
        <f t="shared" ref="V3:V13" si="4">U3-T3</f>
        <v>1.0131944444437977</v>
      </c>
    </row>
    <row r="4" spans="1:22" x14ac:dyDescent="0.25">
      <c r="A4" t="s">
        <v>96</v>
      </c>
      <c r="B4">
        <v>0.34799999999999998</v>
      </c>
      <c r="C4">
        <v>2E-3</v>
      </c>
      <c r="D4" s="1">
        <v>7.05</v>
      </c>
      <c r="E4" s="1">
        <v>3.0700000000000002E-2</v>
      </c>
      <c r="F4" s="1">
        <v>1E-4</v>
      </c>
      <c r="G4" s="1">
        <v>100</v>
      </c>
      <c r="H4" s="1">
        <v>5</v>
      </c>
      <c r="I4" s="1">
        <f>'Count-&gt;Actual Activity'!F4</f>
        <v>24.285846873740116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2.4285846873740118</v>
      </c>
      <c r="N4">
        <f t="shared" si="1"/>
        <v>1.6477234139310824E-2</v>
      </c>
      <c r="O4">
        <f>B4*Parameters!$B$6</f>
        <v>320.76777464788734</v>
      </c>
      <c r="P4">
        <f>SQRT((C4/B4)^2+(Parameters!$C$6/Parameters!$B$6)^2)*'Bottle Results'!O4</f>
        <v>14.211622984040488</v>
      </c>
      <c r="Q4">
        <f t="shared" si="2"/>
        <v>2537.7624075076924</v>
      </c>
      <c r="S4">
        <f t="shared" si="3"/>
        <v>0.24288383082124951</v>
      </c>
      <c r="T4" s="17">
        <v>42541.490277777775</v>
      </c>
      <c r="U4" s="17">
        <v>42542.488888888889</v>
      </c>
      <c r="V4" s="19">
        <f t="shared" si="4"/>
        <v>0.99861111111385981</v>
      </c>
    </row>
    <row r="5" spans="1:22" x14ac:dyDescent="0.25">
      <c r="A5" t="s">
        <v>97</v>
      </c>
      <c r="B5">
        <v>0.34799999999999998</v>
      </c>
      <c r="C5">
        <v>2E-3</v>
      </c>
      <c r="D5" s="1">
        <v>7.01</v>
      </c>
      <c r="E5" s="1">
        <v>3.0200000000000001E-2</v>
      </c>
      <c r="F5" s="1">
        <v>1E-4</v>
      </c>
      <c r="G5" s="1">
        <v>100</v>
      </c>
      <c r="H5" s="1">
        <v>5</v>
      </c>
      <c r="I5" s="1">
        <f>'Count-&gt;Actual Activity'!F5</f>
        <v>22.662469452436344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2.2662469452436342</v>
      </c>
      <c r="N5">
        <f t="shared" si="1"/>
        <v>1.6384463720671004E-2</v>
      </c>
      <c r="O5">
        <f>B5*Parameters!$B$6</f>
        <v>320.76777464788734</v>
      </c>
      <c r="P5">
        <f>SQRT((C5/B5)^2+(Parameters!$C$6/Parameters!$B$6)^2)*'Bottle Results'!O5</f>
        <v>14.211622984040488</v>
      </c>
      <c r="Q5">
        <f t="shared" si="2"/>
        <v>3117.32053389152</v>
      </c>
      <c r="S5">
        <f t="shared" si="3"/>
        <v>0.2934929489936029</v>
      </c>
      <c r="T5" s="17">
        <v>42541.492361111108</v>
      </c>
      <c r="U5" s="17">
        <v>42552.631249999999</v>
      </c>
      <c r="V5" s="19">
        <f t="shared" si="4"/>
        <v>11.138888888890506</v>
      </c>
    </row>
    <row r="6" spans="1:22" x14ac:dyDescent="0.25">
      <c r="A6" t="s">
        <v>98</v>
      </c>
      <c r="B6">
        <v>0.34799999999999998</v>
      </c>
      <c r="C6">
        <v>2E-3</v>
      </c>
      <c r="D6" s="1">
        <v>6.97</v>
      </c>
      <c r="E6" s="1">
        <v>3.0800000000000001E-2</v>
      </c>
      <c r="F6" s="1">
        <v>1E-4</v>
      </c>
      <c r="G6" s="1">
        <v>100</v>
      </c>
      <c r="H6" s="1">
        <v>5</v>
      </c>
      <c r="I6" s="1">
        <f>'Count-&gt;Actual Activity'!F6</f>
        <v>22.568677850175792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2.2568677850175791</v>
      </c>
      <c r="N6">
        <f t="shared" si="1"/>
        <v>1.6379284457597055E-2</v>
      </c>
      <c r="O6">
        <f>B6*Parameters!$B$6</f>
        <v>320.76777464788734</v>
      </c>
      <c r="P6">
        <f>SQRT((C6/B6)^2+(Parameters!$C$6/Parameters!$B$6)^2)*'Bottle Results'!O6</f>
        <v>14.211622984040488</v>
      </c>
      <c r="Q6">
        <f t="shared" si="2"/>
        <v>3087.0453294197864</v>
      </c>
      <c r="S6">
        <f t="shared" si="3"/>
        <v>0.29641692109034823</v>
      </c>
      <c r="T6" s="17">
        <v>42541.495138888888</v>
      </c>
      <c r="U6" s="17">
        <v>42552.638194444444</v>
      </c>
      <c r="V6" s="19">
        <f t="shared" si="4"/>
        <v>11.143055555556202</v>
      </c>
    </row>
    <row r="7" spans="1:22" x14ac:dyDescent="0.25">
      <c r="A7" t="s">
        <v>100</v>
      </c>
      <c r="B7">
        <v>0.34799999999999998</v>
      </c>
      <c r="C7">
        <v>2E-3</v>
      </c>
      <c r="D7" s="1">
        <v>6.99</v>
      </c>
      <c r="E7" s="1">
        <v>3.0200000000000001E-2</v>
      </c>
      <c r="F7" s="1">
        <v>1E-4</v>
      </c>
      <c r="G7" s="1">
        <v>100</v>
      </c>
      <c r="H7" s="1">
        <v>5</v>
      </c>
      <c r="I7" s="1">
        <f>'Count-&gt;Actual Activity'!F7</f>
        <v>22.675868252759166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2.2675868252759166</v>
      </c>
      <c r="N7">
        <f t="shared" si="1"/>
        <v>1.6385205234825093E-2</v>
      </c>
      <c r="O7">
        <f>B7*Parameters!$B$6</f>
        <v>320.76777464788734</v>
      </c>
      <c r="P7">
        <f>SQRT((C7/B7)^2+(Parameters!$C$6/Parameters!$B$6)^2)*'Bottle Results'!O7</f>
        <v>14.211622984040488</v>
      </c>
      <c r="Q7">
        <f t="shared" si="2"/>
        <v>3112.8838450429034</v>
      </c>
      <c r="S7">
        <f t="shared" si="3"/>
        <v>0.29307523869407143</v>
      </c>
      <c r="T7" s="17">
        <v>42541.49722222222</v>
      </c>
      <c r="U7" s="17">
        <v>42552.640972222223</v>
      </c>
      <c r="V7" s="19">
        <f t="shared" si="4"/>
        <v>11.14375000000291</v>
      </c>
    </row>
    <row r="8" spans="1:22" ht="15.75" customHeight="1" x14ac:dyDescent="0.25">
      <c r="A8" t="s">
        <v>101</v>
      </c>
      <c r="B8">
        <v>0.34799999999999998</v>
      </c>
      <c r="C8">
        <v>2E-3</v>
      </c>
      <c r="D8" s="1">
        <v>7.01</v>
      </c>
      <c r="E8" s="1">
        <v>3.0300000000000001E-2</v>
      </c>
      <c r="F8" s="1">
        <v>1E-4</v>
      </c>
      <c r="G8" s="1">
        <v>100</v>
      </c>
      <c r="H8" s="1">
        <v>5</v>
      </c>
      <c r="I8" s="1">
        <f>'Count-&gt;Actual Activity'!F8</f>
        <v>24.207576654031868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2.4207576654031868</v>
      </c>
      <c r="N8">
        <f t="shared" si="1"/>
        <v>1.6472626422192459E-2</v>
      </c>
      <c r="O8">
        <f>B8*Parameters!$B$6</f>
        <v>320.76777464788734</v>
      </c>
      <c r="P8">
        <f>SQRT((C8/B8)^2+(Parameters!$C$6/Parameters!$B$6)^2)*'Bottle Results'!O8</f>
        <v>14.211622984040488</v>
      </c>
      <c r="Q8">
        <f t="shared" si="2"/>
        <v>2597.0959771474804</v>
      </c>
      <c r="S8">
        <f t="shared" si="3"/>
        <v>0.2453239206898209</v>
      </c>
      <c r="T8" s="17">
        <v>42541.499305555553</v>
      </c>
      <c r="U8" s="17">
        <v>42552.652777777781</v>
      </c>
      <c r="V8" s="19">
        <f t="shared" si="4"/>
        <v>11.15347222222772</v>
      </c>
    </row>
    <row r="9" spans="1:22" x14ac:dyDescent="0.25">
      <c r="A9" t="s">
        <v>102</v>
      </c>
      <c r="B9">
        <v>0.34799999999999998</v>
      </c>
      <c r="C9">
        <v>2E-3</v>
      </c>
      <c r="D9" s="1">
        <v>7.01</v>
      </c>
      <c r="E9" s="1">
        <v>3.0499999999999999E-2</v>
      </c>
      <c r="F9" s="1">
        <v>1E-4</v>
      </c>
      <c r="G9" s="1">
        <v>100</v>
      </c>
      <c r="H9" s="1">
        <v>5</v>
      </c>
      <c r="I9" s="1">
        <f>'Count-&gt;Actual Activity'!F9</f>
        <v>23.574649165510202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2.3574649165510202</v>
      </c>
      <c r="N9">
        <f t="shared" si="1"/>
        <v>1.6435866690800202E-2</v>
      </c>
      <c r="O9">
        <f>B9*Parameters!$B$6</f>
        <v>320.76777464788734</v>
      </c>
      <c r="P9">
        <f>SQRT((C9/B9)^2+(Parameters!$C$6/Parameters!$B$6)^2)*'Bottle Results'!O9</f>
        <v>14.211622984040488</v>
      </c>
      <c r="Q9">
        <f t="shared" si="2"/>
        <v>2787.5830489437803</v>
      </c>
      <c r="S9">
        <f t="shared" si="3"/>
        <v>0.26505556266091479</v>
      </c>
      <c r="T9" s="17">
        <v>42541.503472222219</v>
      </c>
      <c r="U9" s="17">
        <v>42552.658333333333</v>
      </c>
      <c r="V9" s="19">
        <f t="shared" si="4"/>
        <v>11.15486111111386</v>
      </c>
    </row>
    <row r="10" spans="1:22" x14ac:dyDescent="0.25">
      <c r="A10" t="s">
        <v>99</v>
      </c>
      <c r="B10">
        <v>0.34799999999999998</v>
      </c>
      <c r="C10">
        <v>2E-3</v>
      </c>
      <c r="D10" s="1">
        <v>7.05</v>
      </c>
      <c r="E10" s="1">
        <v>3.04E-2</v>
      </c>
      <c r="F10" s="1">
        <v>1E-4</v>
      </c>
      <c r="G10" s="1">
        <v>100</v>
      </c>
      <c r="H10" s="1">
        <v>5</v>
      </c>
      <c r="I10" s="1">
        <f>'Count-&gt;Actual Activity'!F10</f>
        <v>24.219914163240109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2.421991416324011</v>
      </c>
      <c r="N10">
        <f t="shared" si="1"/>
        <v>1.6473351821340694E-2</v>
      </c>
      <c r="O10">
        <f>B10*Parameters!$B$6</f>
        <v>320.76777464788734</v>
      </c>
      <c r="P10">
        <f>SQRT((C10/B10)^2+(Parameters!$C$6/Parameters!$B$6)^2)*'Bottle Results'!O10</f>
        <v>14.211622984040488</v>
      </c>
      <c r="Q10">
        <f t="shared" si="2"/>
        <v>2584.4945070883628</v>
      </c>
      <c r="S10">
        <f t="shared" si="3"/>
        <v>0.24493929635460562</v>
      </c>
      <c r="T10" s="17">
        <v>42541.507638888892</v>
      </c>
      <c r="U10" s="17">
        <v>42552.662499999999</v>
      </c>
      <c r="V10" s="19">
        <f t="shared" si="4"/>
        <v>11.154861111106584</v>
      </c>
    </row>
    <row r="11" spans="1:22" x14ac:dyDescent="0.25">
      <c r="A11" t="s">
        <v>103</v>
      </c>
      <c r="C11">
        <v>2E-3</v>
      </c>
      <c r="D11" s="1">
        <v>7</v>
      </c>
      <c r="E11" s="1">
        <v>3.0300000000000001E-2</v>
      </c>
      <c r="F11" s="1">
        <v>5.0000000000000001E-4</v>
      </c>
      <c r="G11" s="1">
        <v>100</v>
      </c>
      <c r="H11" s="1">
        <v>5</v>
      </c>
      <c r="I11" s="1">
        <f>'Count-&gt;Actual Activity'!F11</f>
        <v>3.0624124849993333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0.30624124849993334</v>
      </c>
      <c r="N11">
        <f t="shared" si="1"/>
        <v>1.5756975768078441E-2</v>
      </c>
      <c r="O11">
        <f>O8-(M8*90)</f>
        <v>102.89958476160052</v>
      </c>
      <c r="Q11">
        <f t="shared" si="2"/>
        <v>2385.3287099540325</v>
      </c>
      <c r="S11">
        <f t="shared" si="3"/>
        <v>0.70238825626999546</v>
      </c>
      <c r="T11" s="17">
        <v>42552.652777777781</v>
      </c>
      <c r="U11" s="17">
        <v>42553.568749999999</v>
      </c>
      <c r="V11" s="19">
        <f t="shared" si="4"/>
        <v>0.91597222221753327</v>
      </c>
    </row>
    <row r="12" spans="1:22" x14ac:dyDescent="0.25">
      <c r="A12" t="s">
        <v>104</v>
      </c>
      <c r="C12">
        <v>2E-3</v>
      </c>
      <c r="D12" s="1">
        <v>7</v>
      </c>
      <c r="E12" s="1">
        <v>3.0499999999999999E-2</v>
      </c>
      <c r="F12" s="1">
        <v>5.0000000000000001E-4</v>
      </c>
      <c r="G12" s="1">
        <v>100</v>
      </c>
      <c r="H12" s="1">
        <v>5</v>
      </c>
      <c r="I12" s="1">
        <f>'Count-&gt;Actual Activity'!F12</f>
        <v>5.0479554991901949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0.50479554991901954</v>
      </c>
      <c r="N12">
        <f t="shared" si="1"/>
        <v>1.5777402344351626E-2</v>
      </c>
      <c r="O12">
        <f>O9-(M9*90)</f>
        <v>108.59593215829551</v>
      </c>
      <c r="Q12">
        <f t="shared" si="2"/>
        <v>1905.4549890620838</v>
      </c>
      <c r="S12">
        <f t="shared" si="3"/>
        <v>0.53516164014025747</v>
      </c>
      <c r="T12" s="17">
        <v>42552.658333333333</v>
      </c>
      <c r="U12" s="17">
        <v>42553.572222222225</v>
      </c>
      <c r="V12" s="19">
        <f t="shared" si="4"/>
        <v>0.91388888889196096</v>
      </c>
    </row>
    <row r="13" spans="1:22" x14ac:dyDescent="0.25">
      <c r="A13" t="s">
        <v>105</v>
      </c>
      <c r="C13">
        <v>2E-3</v>
      </c>
      <c r="D13" s="1">
        <v>7</v>
      </c>
      <c r="E13" s="1">
        <v>3.04E-2</v>
      </c>
      <c r="F13" s="1">
        <v>5.0000000000000001E-4</v>
      </c>
      <c r="G13" s="1">
        <v>100</v>
      </c>
      <c r="H13" s="1">
        <v>5</v>
      </c>
      <c r="I13" s="1">
        <f>'Count-&gt;Actual Activity'!F13</f>
        <v>2.6798170381545168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0.26798170381545167</v>
      </c>
      <c r="N13">
        <f t="shared" si="1"/>
        <v>1.575418697746727E-2</v>
      </c>
      <c r="O13">
        <f>O10-(M10*90)</f>
        <v>102.78854717872633</v>
      </c>
      <c r="Q13">
        <f t="shared" si="2"/>
        <v>2499.6834472756964</v>
      </c>
      <c r="S13">
        <f t="shared" si="3"/>
        <v>0.73928836317776603</v>
      </c>
      <c r="T13" s="17">
        <v>42552.662499999999</v>
      </c>
      <c r="U13" s="17">
        <v>42553.575694444444</v>
      </c>
      <c r="V13" s="19">
        <f t="shared" si="4"/>
        <v>0.91319444444525288</v>
      </c>
    </row>
  </sheetData>
  <conditionalFormatting sqref="I2:I1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G3" sqref="G3"/>
    </sheetView>
  </sheetViews>
  <sheetFormatPr defaultRowHeight="15" x14ac:dyDescent="0.25"/>
  <cols>
    <col min="11" max="11" width="18" bestFit="1" customWidth="1"/>
    <col min="15" max="15" width="23.5703125" bestFit="1" customWidth="1"/>
  </cols>
  <sheetData>
    <row r="1" spans="1:13" x14ac:dyDescent="0.25">
      <c r="A1" t="s">
        <v>15</v>
      </c>
      <c r="B1" t="s">
        <v>29</v>
      </c>
      <c r="C1" t="s">
        <v>87</v>
      </c>
      <c r="D1" t="s">
        <v>31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109</v>
      </c>
      <c r="L1" t="s">
        <v>115</v>
      </c>
      <c r="M1" t="s">
        <v>116</v>
      </c>
    </row>
    <row r="2" spans="1:13" x14ac:dyDescent="0.25">
      <c r="A2" t="s">
        <v>111</v>
      </c>
      <c r="B2">
        <f>AVERAGE('Bottle Results'!M2:M4)</f>
        <v>2.396741531887074</v>
      </c>
      <c r="C2">
        <f>_xlfn.STDEV.S('Bottle Results'!M2:M4)</f>
        <v>3.4104186672248966E-2</v>
      </c>
      <c r="D2">
        <f>AVERAGE('Bottle Results'!Q2:Q4)</f>
        <v>2689.3111462349862</v>
      </c>
      <c r="E2">
        <f>_xlfn.STDEV.S('Bottle Results'!Q2:Q4)</f>
        <v>139.95839173000698</v>
      </c>
      <c r="F2">
        <f>AVERAGE('Bottle Results'!O2:O4)</f>
        <v>320.76777464788734</v>
      </c>
      <c r="G2">
        <f>AVERAGE('Bottle Results'!S2:S4)</f>
        <v>0.25281099869897433</v>
      </c>
      <c r="I2">
        <f>AVERAGE('Bottle Results'!D2:D4)</f>
        <v>7.0533333333333337</v>
      </c>
      <c r="J2">
        <f>_xlfn.STDEV.S('Bottle Results'!D2:D4)</f>
        <v>2.5166114784235766E-2</v>
      </c>
      <c r="K2" s="19">
        <f>AVERAGE('Bottle Results'!V2:V4)</f>
        <v>1.0078703703717717</v>
      </c>
      <c r="L2" s="1">
        <f>AVERAGE('Bottle Results'!E2:E4)</f>
        <v>3.0166666666666665E-2</v>
      </c>
      <c r="M2">
        <f>D2/B2</f>
        <v>1122.0697394589552</v>
      </c>
    </row>
    <row r="3" spans="1:13" x14ac:dyDescent="0.25">
      <c r="A3" t="s">
        <v>112</v>
      </c>
      <c r="B3">
        <f>AVERAGE('Bottle Results'!M5,'Bottle Results'!M7)</f>
        <v>2.2669168852597754</v>
      </c>
      <c r="C3">
        <f>_xlfn.STDEV.S('Bottle Results'!M5,'Bottle Results'!M7)</f>
        <v>9.4743825680330626E-4</v>
      </c>
      <c r="D3">
        <f>AVERAGE('Bottle Results'!Q5,'Bottle Results'!Q7)</f>
        <v>3115.1021894672117</v>
      </c>
      <c r="E3">
        <f>_xlfn.STDEV.S('Bottle Results'!Q5,'Bottle Results'!Q7)</f>
        <v>3.1372127708714919</v>
      </c>
      <c r="F3">
        <f>AVERAGE('Bottle Results'!O5,'Bottle Results'!O7)</f>
        <v>320.76777464788734</v>
      </c>
      <c r="G3">
        <f>AVERAGE('Bottle Results'!S5,'Bottle Results'!S7)</f>
        <v>0.29328409384383713</v>
      </c>
      <c r="H3">
        <f>_xlfn.STDEV.S('Bottle Results'!S5,'Bottle Results'!S7)</f>
        <v>2.9536578537016692E-4</v>
      </c>
      <c r="I3">
        <f>AVERAGE('Bottle Results'!D5:D7)</f>
        <v>6.9899999999999993</v>
      </c>
      <c r="J3">
        <f>_xlfn.STDEV.S('Bottle Results'!D5:D7)</f>
        <v>2.0000000000000018E-2</v>
      </c>
      <c r="K3" s="19">
        <f>AVERAGE('Bottle Results'!V5:V7)</f>
        <v>11.141898148149872</v>
      </c>
      <c r="L3" s="1">
        <f>AVERAGE('Bottle Results'!E5:E7)</f>
        <v>3.04E-2</v>
      </c>
      <c r="M3">
        <f>D3/B3</f>
        <v>1374.158095394944</v>
      </c>
    </row>
    <row r="4" spans="1:13" x14ac:dyDescent="0.25">
      <c r="A4" t="s">
        <v>113</v>
      </c>
      <c r="B4">
        <f>AVERAGE('Bottle Results'!M8:M10)</f>
        <v>2.4000713327594059</v>
      </c>
      <c r="C4">
        <f>_xlfn.STDEV.S('Bottle Results'!M8:M10)</f>
        <v>3.6903394991860988E-2</v>
      </c>
      <c r="D4">
        <f>AVERAGE('Bottle Results'!Q8:Q10)</f>
        <v>2656.3911777265407</v>
      </c>
      <c r="E4">
        <f>_xlfn.STDEV.S('Bottle Results'!Q8:Q10)</f>
        <v>113.79006796299583</v>
      </c>
      <c r="F4">
        <f>AVERAGE('Bottle Results'!O8:O10)</f>
        <v>320.76777464788734</v>
      </c>
      <c r="G4">
        <f>AVERAGE('Bottle Results'!S8:S10)</f>
        <v>0.25177292656844713</v>
      </c>
      <c r="H4">
        <f>_xlfn.STDEV.S('Bottle Results'!S8:S10)</f>
        <v>1.1504707738291481E-2</v>
      </c>
      <c r="I4">
        <f>AVERAGE('Bottle Results'!D8:D10)</f>
        <v>7.0233333333333334</v>
      </c>
      <c r="J4">
        <f>_xlfn.STDEV.S('Bottle Results'!D8:D10)</f>
        <v>2.3094010767585053E-2</v>
      </c>
      <c r="K4" s="19">
        <f>AVERAGE('Bottle Results'!V8:V10)</f>
        <v>11.154398148149388</v>
      </c>
      <c r="L4" s="1">
        <f>AVERAGE('Bottle Results'!E8:E10)</f>
        <v>3.04E-2</v>
      </c>
      <c r="M4">
        <f>D4/B4</f>
        <v>1106.796761191443</v>
      </c>
    </row>
    <row r="5" spans="1:13" x14ac:dyDescent="0.25">
      <c r="A5" t="s">
        <v>114</v>
      </c>
      <c r="B5">
        <f>AVERAGE('Bottle Results'!M11:M13)</f>
        <v>0.35967283407813483</v>
      </c>
      <c r="C5">
        <f>_xlfn.STDEV.S('Bottle Results'!M11:M13)</f>
        <v>0.12712749576563512</v>
      </c>
      <c r="D5">
        <f>AVERAGE('Bottle Results'!Q11:Q13)</f>
        <v>2263.4890487639373</v>
      </c>
      <c r="E5">
        <f>_xlfn.STDEV.S('Bottle Results'!Q11:Q13)</f>
        <v>315.29437422339282</v>
      </c>
      <c r="F5">
        <f>AVERAGE('Bottle Results'!O11:O13)</f>
        <v>104.76135469954079</v>
      </c>
      <c r="G5">
        <f>AVERAGE('Bottle Results'!S11:S13)</f>
        <v>0.65894608652933961</v>
      </c>
      <c r="H5">
        <f>_xlfn.STDEV.S('Bottle Results'!S11:S13)</f>
        <v>0.10877658915566328</v>
      </c>
      <c r="I5">
        <f>AVERAGE('Bottle Results'!D11:D13)</f>
        <v>7</v>
      </c>
      <c r="J5">
        <f>_xlfn.STDEV.S('Bottle Results'!D11:D13)</f>
        <v>0</v>
      </c>
      <c r="K5" s="19">
        <f>AVERAGE('Bottle Results'!V11:V13)</f>
        <v>0.91435185185158241</v>
      </c>
      <c r="L5" s="1">
        <f>AVERAGE('Bottle Results'!E11:E13)</f>
        <v>3.04E-2</v>
      </c>
      <c r="M5">
        <f>D5/B5</f>
        <v>6293.1887935473605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2017-07-06T21:08:46Z</dcterms:modified>
</cp:coreProperties>
</file>