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chael\Dropbox (Personal)\work\MIT Graduate Work\Research\RadiumSorption\Sorption Experiments\RaFHY_pH9\"/>
    </mc:Choice>
  </mc:AlternateContent>
  <bookViews>
    <workbookView xWindow="0" yWindow="0" windowWidth="28800" windowHeight="11835" firstSheet="3" activeTab="5"/>
  </bookViews>
  <sheets>
    <sheet name="Parameters" sheetId="1" r:id="rId1"/>
    <sheet name="Scintillation Counter Results" sheetId="3" r:id="rId2"/>
    <sheet name="Calibration Data" sheetId="11" r:id="rId3"/>
    <sheet name="Count-&gt;Actual Activity" sheetId="2" r:id="rId4"/>
    <sheet name="Bottle Results" sheetId="5" r:id="rId5"/>
    <sheet name="Averaged Results" sheetId="8" r:id="rId6"/>
    <sheet name="Sheet2" sheetId="10" state="hidden" r:id="rId7"/>
  </sheets>
  <externalReferences>
    <externalReference r:id="rId8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7" i="8" l="1"/>
  <c r="K6" i="8"/>
  <c r="K5" i="8"/>
  <c r="K4" i="8"/>
  <c r="K3" i="8"/>
  <c r="O20" i="5"/>
  <c r="O22" i="5"/>
  <c r="J23" i="5"/>
  <c r="I20" i="5"/>
  <c r="F3" i="2"/>
  <c r="G3" i="2"/>
  <c r="F4" i="2"/>
  <c r="G4" i="2"/>
  <c r="F5" i="2"/>
  <c r="G5" i="2"/>
  <c r="F6" i="2"/>
  <c r="G6" i="2"/>
  <c r="F7" i="2"/>
  <c r="G7" i="2"/>
  <c r="F8" i="2"/>
  <c r="G8" i="2"/>
  <c r="F9" i="2"/>
  <c r="G9" i="2"/>
  <c r="F10" i="2"/>
  <c r="G10" i="2"/>
  <c r="F11" i="2"/>
  <c r="G11" i="2"/>
  <c r="F12" i="2"/>
  <c r="G12" i="2"/>
  <c r="F13" i="2"/>
  <c r="G13" i="2"/>
  <c r="F14" i="2"/>
  <c r="G14" i="2"/>
  <c r="F15" i="2"/>
  <c r="G15" i="2"/>
  <c r="F16" i="2"/>
  <c r="G16" i="2"/>
  <c r="F17" i="2"/>
  <c r="G17" i="2"/>
  <c r="F18" i="2"/>
  <c r="G18" i="2"/>
  <c r="F19" i="2"/>
  <c r="G19" i="2"/>
  <c r="F20" i="2"/>
  <c r="G20" i="2"/>
  <c r="F21" i="2"/>
  <c r="G21" i="2"/>
  <c r="J20" i="5" s="1"/>
  <c r="F22" i="2"/>
  <c r="I22" i="5" s="1"/>
  <c r="G22" i="2"/>
  <c r="J22" i="5" s="1"/>
  <c r="F23" i="2"/>
  <c r="I23" i="5" s="1"/>
  <c r="O23" i="5" s="1"/>
  <c r="G23" i="2"/>
  <c r="G2" i="2"/>
  <c r="F2" i="2"/>
  <c r="D10" i="11"/>
  <c r="C10" i="11"/>
  <c r="E10" i="11" s="1"/>
  <c r="J9" i="11"/>
  <c r="F9" i="11"/>
  <c r="G9" i="11" s="1"/>
  <c r="D9" i="11"/>
  <c r="H9" i="11" s="1"/>
  <c r="C9" i="11"/>
  <c r="E9" i="11" s="1"/>
  <c r="J8" i="11"/>
  <c r="E8" i="11"/>
  <c r="D8" i="11"/>
  <c r="H8" i="11" s="1"/>
  <c r="J7" i="11"/>
  <c r="F7" i="11"/>
  <c r="G5" i="11" s="1"/>
  <c r="E7" i="11"/>
  <c r="D7" i="11"/>
  <c r="H7" i="11" s="1"/>
  <c r="J6" i="11"/>
  <c r="E6" i="11"/>
  <c r="D6" i="11"/>
  <c r="H6" i="11" s="1"/>
  <c r="H5" i="11"/>
  <c r="E5" i="11"/>
  <c r="D5" i="11"/>
  <c r="J5" i="11" s="1"/>
  <c r="H4" i="11"/>
  <c r="E4" i="11"/>
  <c r="D4" i="11"/>
  <c r="J4" i="11" s="1"/>
  <c r="H3" i="11"/>
  <c r="E3" i="11"/>
  <c r="D3" i="11"/>
  <c r="J3" i="11" s="1"/>
  <c r="G2" i="11"/>
  <c r="E2" i="11"/>
  <c r="D2" i="11"/>
  <c r="J2" i="11" s="1"/>
  <c r="K2" i="11" s="1"/>
  <c r="K5" i="11" l="1"/>
  <c r="I5" i="11"/>
  <c r="G3" i="11"/>
  <c r="I3" i="11" s="1"/>
  <c r="G4" i="11"/>
  <c r="K4" i="11" s="1"/>
  <c r="I9" i="11"/>
  <c r="K9" i="11"/>
  <c r="H2" i="11"/>
  <c r="I2" i="11" s="1"/>
  <c r="G8" i="11"/>
  <c r="K8" i="11" s="1"/>
  <c r="G6" i="11"/>
  <c r="I6" i="11" s="1"/>
  <c r="G7" i="11"/>
  <c r="K7" i="11" s="1"/>
  <c r="K6" i="11" l="1"/>
  <c r="I4" i="11"/>
  <c r="K3" i="11"/>
  <c r="I8" i="11"/>
  <c r="K11" i="11"/>
  <c r="I11" i="11"/>
  <c r="I7" i="11"/>
  <c r="I3" i="5" l="1"/>
  <c r="O3" i="5" s="1"/>
  <c r="I4" i="5"/>
  <c r="O4" i="5" s="1"/>
  <c r="I6" i="5"/>
  <c r="O6" i="5" s="1"/>
  <c r="I7" i="5"/>
  <c r="O7" i="5" s="1"/>
  <c r="I8" i="5"/>
  <c r="O8" i="5" s="1"/>
  <c r="J8" i="5"/>
  <c r="I10" i="5"/>
  <c r="O10" i="5" s="1"/>
  <c r="I11" i="5"/>
  <c r="O11" i="5" s="1"/>
  <c r="J11" i="5"/>
  <c r="I12" i="5"/>
  <c r="O12" i="5" s="1"/>
  <c r="I14" i="5"/>
  <c r="O14" i="5" s="1"/>
  <c r="J14" i="5"/>
  <c r="I15" i="5"/>
  <c r="O15" i="5" s="1"/>
  <c r="I16" i="5"/>
  <c r="O16" i="5" s="1"/>
  <c r="I18" i="5"/>
  <c r="O18" i="5" s="1"/>
  <c r="I19" i="5"/>
  <c r="O19" i="5" s="1"/>
  <c r="J21" i="5"/>
  <c r="I2" i="5"/>
  <c r="O2" i="5" s="1"/>
  <c r="J2" i="5" l="1"/>
  <c r="J19" i="5"/>
  <c r="J10" i="5"/>
  <c r="J15" i="5"/>
  <c r="J6" i="5"/>
  <c r="J5" i="5"/>
  <c r="I5" i="5"/>
  <c r="O5" i="5" s="1"/>
  <c r="J18" i="5"/>
  <c r="J9" i="5"/>
  <c r="I9" i="5"/>
  <c r="O9" i="5" s="1"/>
  <c r="J4" i="5"/>
  <c r="J13" i="5"/>
  <c r="I13" i="5"/>
  <c r="O13" i="5" s="1"/>
  <c r="J17" i="5"/>
  <c r="I17" i="5"/>
  <c r="O17" i="5" s="1"/>
  <c r="J12" i="5"/>
  <c r="J3" i="5"/>
  <c r="J16" i="5"/>
  <c r="J7" i="5"/>
  <c r="J7" i="8" l="1"/>
  <c r="J6" i="8"/>
  <c r="J5" i="8"/>
  <c r="J4" i="8"/>
  <c r="J3" i="8"/>
  <c r="J2" i="8"/>
  <c r="I7" i="8"/>
  <c r="I6" i="8"/>
  <c r="I5" i="8"/>
  <c r="I4" i="8"/>
  <c r="I3" i="8"/>
  <c r="I2" i="8"/>
  <c r="N23" i="5" l="1"/>
  <c r="N22" i="5"/>
  <c r="N21" i="5"/>
  <c r="M23" i="5"/>
  <c r="Q23" i="5" s="1"/>
  <c r="M22" i="5"/>
  <c r="Q22" i="5" s="1"/>
  <c r="M21" i="5"/>
  <c r="Q21" i="5" l="1"/>
  <c r="I21" i="5"/>
  <c r="O21" i="5" s="1"/>
  <c r="N20" i="5"/>
  <c r="N19" i="5"/>
  <c r="N18" i="5"/>
  <c r="N17" i="5"/>
  <c r="N16" i="5"/>
  <c r="N15" i="5"/>
  <c r="N14" i="5"/>
  <c r="N13" i="5"/>
  <c r="N12" i="5"/>
  <c r="N11" i="5"/>
  <c r="N10" i="5"/>
  <c r="N9" i="5"/>
  <c r="N8" i="5"/>
  <c r="N7" i="5"/>
  <c r="N6" i="5"/>
  <c r="N5" i="5"/>
  <c r="N4" i="5"/>
  <c r="N3" i="5"/>
  <c r="N2" i="5"/>
  <c r="M3" i="5"/>
  <c r="Q3" i="5" s="1"/>
  <c r="M4" i="5"/>
  <c r="Q4" i="5" s="1"/>
  <c r="M5" i="5"/>
  <c r="Q5" i="5" s="1"/>
  <c r="M6" i="5"/>
  <c r="M7" i="5"/>
  <c r="Q7" i="5" s="1"/>
  <c r="M8" i="5"/>
  <c r="Q8" i="5" s="1"/>
  <c r="M9" i="5"/>
  <c r="M10" i="5"/>
  <c r="Q10" i="5" s="1"/>
  <c r="M11" i="5"/>
  <c r="Q11" i="5" s="1"/>
  <c r="M12" i="5"/>
  <c r="M13" i="5"/>
  <c r="Q13" i="5" s="1"/>
  <c r="M14" i="5"/>
  <c r="Q14" i="5" s="1"/>
  <c r="M15" i="5"/>
  <c r="M16" i="5"/>
  <c r="Q16" i="5" s="1"/>
  <c r="M17" i="5"/>
  <c r="Q17" i="5" s="1"/>
  <c r="M18" i="5"/>
  <c r="Q18" i="5" s="1"/>
  <c r="M19" i="5"/>
  <c r="Q19" i="5" s="1"/>
  <c r="M20" i="5"/>
  <c r="Q20" i="5" s="1"/>
  <c r="M2" i="5"/>
  <c r="Q2" i="5" s="1"/>
  <c r="F5" i="8" l="1"/>
  <c r="Q12" i="5"/>
  <c r="F4" i="8"/>
  <c r="Q9" i="5"/>
  <c r="F6" i="8"/>
  <c r="Q15" i="5"/>
  <c r="F3" i="8"/>
  <c r="Q6" i="5"/>
  <c r="F2" i="8"/>
  <c r="F7" i="8"/>
  <c r="S21" i="5"/>
  <c r="S22" i="5"/>
  <c r="S23" i="5"/>
  <c r="S20" i="5" l="1"/>
  <c r="S17" i="5" l="1"/>
  <c r="S9" i="5"/>
  <c r="S16" i="5"/>
  <c r="S18" i="5"/>
  <c r="B5" i="8"/>
  <c r="D4" i="8"/>
  <c r="S7" i="5"/>
  <c r="S12" i="5"/>
  <c r="S13" i="5"/>
  <c r="S15" i="5"/>
  <c r="S10" i="5"/>
  <c r="S19" i="5"/>
  <c r="E7" i="8"/>
  <c r="D7" i="8"/>
  <c r="S11" i="5"/>
  <c r="S5" i="5"/>
  <c r="S14" i="5"/>
  <c r="S4" i="5" l="1"/>
  <c r="S3" i="5"/>
  <c r="B6" i="8"/>
  <c r="B7" i="8"/>
  <c r="S6" i="5"/>
  <c r="G3" i="8" s="1"/>
  <c r="B4" i="8"/>
  <c r="E3" i="8"/>
  <c r="D6" i="8"/>
  <c r="D3" i="8"/>
  <c r="S8" i="5"/>
  <c r="E4" i="8"/>
  <c r="C3" i="8"/>
  <c r="B3" i="8"/>
  <c r="D5" i="8"/>
  <c r="C6" i="8"/>
  <c r="E5" i="8"/>
  <c r="E6" i="8"/>
  <c r="C5" i="8"/>
  <c r="G5" i="8"/>
  <c r="H5" i="8"/>
  <c r="H6" i="8"/>
  <c r="G6" i="8"/>
  <c r="G7" i="8"/>
  <c r="H7" i="8"/>
  <c r="C7" i="8" l="1"/>
  <c r="H3" i="8"/>
  <c r="C4" i="8"/>
  <c r="G4" i="8"/>
  <c r="H4" i="8"/>
  <c r="S2" i="5"/>
  <c r="D2" i="8"/>
  <c r="E2" i="8"/>
  <c r="B2" i="8"/>
  <c r="C2" i="8"/>
  <c r="H2" i="8" l="1"/>
  <c r="G2" i="8"/>
</calcChain>
</file>

<file path=xl/comments1.xml><?xml version="1.0" encoding="utf-8"?>
<comments xmlns="http://schemas.openxmlformats.org/spreadsheetml/2006/main">
  <authors>
    <author>Michael Chen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Michael Chen:</t>
        </r>
        <r>
          <rPr>
            <sz val="9"/>
            <color indexed="81"/>
            <rFont val="Tahoma"/>
            <family val="2"/>
          </rPr>
          <t xml:space="preserve">
Must match pattern
(something_letter or something_letter_(Cw or Cs))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Michael Chen:</t>
        </r>
        <r>
          <rPr>
            <sz val="9"/>
            <color indexed="81"/>
            <rFont val="Tahoma"/>
            <family val="2"/>
          </rPr>
          <t xml:space="preserve">
Do not fill in, will be filled by data
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Michael Chen:</t>
        </r>
        <r>
          <rPr>
            <sz val="9"/>
            <color indexed="81"/>
            <rFont val="Tahoma"/>
            <family val="2"/>
          </rPr>
          <t xml:space="preserve">
Do not fill in, will be filled in by script</t>
        </r>
      </text>
    </comment>
  </commentList>
</comments>
</file>

<file path=xl/sharedStrings.xml><?xml version="1.0" encoding="utf-8"?>
<sst xmlns="http://schemas.openxmlformats.org/spreadsheetml/2006/main" count="305" uniqueCount="137">
  <si>
    <t>Parameters</t>
  </si>
  <si>
    <t>Value</t>
  </si>
  <si>
    <t>Error</t>
  </si>
  <si>
    <t>Sample Volume</t>
  </si>
  <si>
    <t>Units</t>
  </si>
  <si>
    <t>mL</t>
  </si>
  <si>
    <t>Stock Activity</t>
  </si>
  <si>
    <t>Notes</t>
  </si>
  <si>
    <t>Experiment Date</t>
  </si>
  <si>
    <t>Mineral Type</t>
  </si>
  <si>
    <t>Sample ID</t>
  </si>
  <si>
    <t>% Error</t>
  </si>
  <si>
    <t>Final pH</t>
  </si>
  <si>
    <t>Activity of stock used to add radium (note you should use the actual activity, not the counted activity)</t>
  </si>
  <si>
    <t>Date</t>
  </si>
  <si>
    <t>Sample</t>
  </si>
  <si>
    <t>CPM</t>
  </si>
  <si>
    <t>Lumex %</t>
  </si>
  <si>
    <t>Elapsed Time</t>
  </si>
  <si>
    <t>Liquid volume</t>
  </si>
  <si>
    <t>Bq/mL</t>
  </si>
  <si>
    <t>Error (cps)</t>
  </si>
  <si>
    <t>Radium Stock Used</t>
  </si>
  <si>
    <t>Ra_Stock_4</t>
  </si>
  <si>
    <t>Counts (cps)</t>
  </si>
  <si>
    <t>Mineral Mass (g)</t>
  </si>
  <si>
    <t>Mineral Mass Error (g)</t>
  </si>
  <si>
    <t>Stock Volume Added (mL)</t>
  </si>
  <si>
    <t>Stock Vol Err (mL)</t>
  </si>
  <si>
    <t>Cw (Bq/mL)</t>
  </si>
  <si>
    <t>dCw (Bq/mL)</t>
  </si>
  <si>
    <t>Cs (Bq/g)</t>
  </si>
  <si>
    <t>dCs (Bq/g)</t>
  </si>
  <si>
    <t>Total Activity (Bq)</t>
  </si>
  <si>
    <t>dTotal Activity (Bq)</t>
  </si>
  <si>
    <t>RaStd_0.01mL</t>
  </si>
  <si>
    <t>RaStd_0.05mL</t>
  </si>
  <si>
    <t>RaStd_0.1mL</t>
  </si>
  <si>
    <t>RaStd_0.5mL</t>
  </si>
  <si>
    <t>RaStd_1mL</t>
  </si>
  <si>
    <t>RaStd_5mL</t>
  </si>
  <si>
    <t>Mean (CPM)</t>
  </si>
  <si>
    <t>Error (CPM)</t>
  </si>
  <si>
    <t>Scintillation Counter (cps)</t>
  </si>
  <si>
    <t>Background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</si>
  <si>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</si>
  <si>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</si>
  <si>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</si>
  <si>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</si>
  <si>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</si>
  <si>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</si>
  <si>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</si>
  <si>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</si>
  <si>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</si>
  <si>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</si>
  <si>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</si>
  <si>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</si>
  <si>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</si>
  <si>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</si>
  <si>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</si>
  <si>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</si>
  <si>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</si>
  <si>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</si>
  <si>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</si>
  <si>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</si>
  <si>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</si>
  <si>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</si>
  <si>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</si>
  <si>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Intercept</t>
  </si>
  <si>
    <t>X Variable 1</t>
  </si>
  <si>
    <t>RESIDUAL OUTPUT</t>
  </si>
  <si>
    <t>Observation</t>
  </si>
  <si>
    <t>Predicted Y</t>
  </si>
  <si>
    <t>Residuals</t>
  </si>
  <si>
    <t>Total Volume (mL)</t>
  </si>
  <si>
    <t>Total Volume Error (mL)</t>
  </si>
  <si>
    <t>Counted Solution Vol (mL)</t>
  </si>
  <si>
    <t>Counted Solution Vol error (mL)</t>
  </si>
  <si>
    <t>0_A</t>
  </si>
  <si>
    <t>0_B</t>
  </si>
  <si>
    <t>0_C</t>
  </si>
  <si>
    <t>5_A</t>
  </si>
  <si>
    <t>5_B</t>
  </si>
  <si>
    <t>5_C</t>
  </si>
  <si>
    <t>10_A</t>
  </si>
  <si>
    <t>10_B</t>
  </si>
  <si>
    <t>10_C</t>
  </si>
  <si>
    <t>50_A</t>
  </si>
  <si>
    <t>50_B</t>
  </si>
  <si>
    <t>50_C</t>
  </si>
  <si>
    <t>100_A</t>
  </si>
  <si>
    <t>100_B</t>
  </si>
  <si>
    <t>100_C</t>
  </si>
  <si>
    <t>500_A</t>
  </si>
  <si>
    <t>500_B</t>
  </si>
  <si>
    <t>500_C</t>
  </si>
  <si>
    <t>Activity (Bq)</t>
  </si>
  <si>
    <t>Activity Error (Bq)</t>
  </si>
  <si>
    <t>Counting Method</t>
  </si>
  <si>
    <t>Phase</t>
  </si>
  <si>
    <t>Water</t>
  </si>
  <si>
    <t>Ferrihydrite</t>
  </si>
  <si>
    <t>Scintillation</t>
  </si>
  <si>
    <t>500_A_T1</t>
  </si>
  <si>
    <t>Solution activity (Bq)</t>
  </si>
  <si>
    <t>Solution activity error (Bq)</t>
  </si>
  <si>
    <t>RaFHY500pH9_DW</t>
  </si>
  <si>
    <t>RaFHY500pH9_T1</t>
  </si>
  <si>
    <t>RaFHY500pH9_T2</t>
  </si>
  <si>
    <t>RaFHY500pH9_T3</t>
  </si>
  <si>
    <t>500_D</t>
  </si>
  <si>
    <t>T1</t>
  </si>
  <si>
    <t>T2</t>
  </si>
  <si>
    <t>T3</t>
  </si>
  <si>
    <t>500_A_T2</t>
  </si>
  <si>
    <t>500_A_T3</t>
  </si>
  <si>
    <t>Total Activity</t>
  </si>
  <si>
    <t>sCw (Bq/mL)</t>
  </si>
  <si>
    <t>sCs (Bq/g)</t>
  </si>
  <si>
    <t>fSorb</t>
  </si>
  <si>
    <t>sfSorb</t>
  </si>
  <si>
    <t>pH</t>
  </si>
  <si>
    <t>spH</t>
  </si>
  <si>
    <t>RaStock5</t>
  </si>
  <si>
    <t>RaStock4</t>
  </si>
  <si>
    <t>TotAct</t>
  </si>
  <si>
    <t>Gamma counter measured activity (Corrected for Geometry, Bq)</t>
  </si>
  <si>
    <t>Expected Activity (Bq)</t>
  </si>
  <si>
    <t>Scint Counter Activity, with RaStock5</t>
  </si>
  <si>
    <t>Error from Expected</t>
  </si>
  <si>
    <t>Scint Counter Activity, without RaStock5</t>
  </si>
  <si>
    <t>Average Rel Error</t>
  </si>
  <si>
    <t>Scintillation Counter Calibration</t>
  </si>
  <si>
    <t>CPS-&gt;Bq w/Background (RaStd only)</t>
  </si>
  <si>
    <t>cps-&gt;Bq (background, Stds, and RaStock 5)</t>
  </si>
  <si>
    <t>Ncount</t>
  </si>
  <si>
    <t>Counts below detection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</si>
</sst>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E+00"/>
  </numFmts>
  <fonts count="10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NumberFormat="1"/>
    <xf numFmtId="0" fontId="3" fillId="0" borderId="0" xfId="0" applyFont="1"/>
    <xf numFmtId="0" fontId="4" fillId="0" borderId="1" xfId="0" applyFont="1" applyBorder="1" applyAlignment="1">
      <alignment horizontal="center" vertical="top"/>
    </xf>
    <xf numFmtId="0" fontId="5" fillId="0" borderId="0" xfId="0" applyFont="1" applyAlignment="1">
      <alignment horizontal="center" vertical="top"/>
    </xf>
    <xf numFmtId="11" fontId="3" fillId="0" borderId="0" xfId="0" applyNumberFormat="1" applyFont="1"/>
    <xf numFmtId="0" fontId="6" fillId="0" borderId="2" xfId="0" applyFont="1" applyFill="1" applyBorder="1" applyAlignment="1">
      <alignment horizontal="centerContinuous"/>
    </xf>
    <xf numFmtId="0" fontId="0" fillId="0" borderId="0" xfId="0" applyFill="1" applyBorder="1" applyAlignment="1"/>
    <xf numFmtId="0" fontId="6" fillId="0" borderId="0" xfId="0" applyFont="1" applyFill="1" applyBorder="1" applyAlignment="1">
      <alignment horizontal="centerContinuous"/>
    </xf>
    <xf numFmtId="0" fontId="0" fillId="0" borderId="3" xfId="0" applyFill="1" applyBorder="1" applyAlignment="1"/>
    <xf numFmtId="0" fontId="6" fillId="0" borderId="2" xfId="0" applyFont="1" applyFill="1" applyBorder="1" applyAlignment="1">
      <alignment horizontal="center"/>
    </xf>
    <xf numFmtId="0" fontId="7" fillId="0" borderId="0" xfId="0" applyFont="1"/>
    <xf numFmtId="0" fontId="0" fillId="0" borderId="0" xfId="0" applyFont="1" applyBorder="1" applyAlignment="1">
      <alignment horizontal="center" vertical="top"/>
    </xf>
    <xf numFmtId="0" fontId="0" fillId="0" borderId="0" xfId="0" applyAlignment="1">
      <alignment horizontal="center" vertical="top"/>
    </xf>
    <xf numFmtId="11" fontId="0" fillId="0" borderId="0" xfId="0" applyNumberFormat="1"/>
    <xf numFmtId="164" fontId="0" fillId="0" borderId="0" xfId="0" applyNumberFormat="1"/>
    <xf numFmtId="0" fontId="3" fillId="0" borderId="4" xfId="0" applyFont="1" applyBorder="1"/>
    <xf numFmtId="0" fontId="0" fillId="0" borderId="4" xfId="0" applyBorder="1"/>
    <xf numFmtId="22" fontId="0" fillId="0" borderId="0" xfId="0" applyNumberFormat="1"/>
    <xf numFmtId="0" fontId="0" fillId="0" borderId="0" xfId="0" applyBorder="1"/>
    <xf numFmtId="18" fontId="0" fillId="0" borderId="0" xfId="0" applyNumberFormat="1"/>
    <xf numFmtId="0" fontId="8" fillId="0" borderId="0" xfId="0" applyFont="1" applyAlignment="1">
      <alignment horizontal="center" vertical="top"/>
    </xf>
    <xf numFmtId="0" fontId="8" fillId="0" borderId="0" xfId="0" applyFont="1"/>
    <xf numFmtId="0" fontId="8" fillId="0" borderId="0" xfId="0" applyNumberFormat="1" applyFont="1"/>
    <xf numFmtId="11" fontId="8" fillId="0" borderId="0" xfId="0" applyNumberFormat="1" applyFont="1"/>
    <xf numFmtId="0" fontId="4" fillId="0" borderId="4" xfId="0" applyFont="1" applyFill="1" applyBorder="1" applyAlignment="1">
      <alignment horizontal="center" vertical="top"/>
    </xf>
    <xf numFmtId="11" fontId="3" fillId="0" borderId="4" xfId="0" applyNumberFormat="1" applyFont="1" applyBorder="1"/>
    <xf numFmtId="0" fontId="3" fillId="0" borderId="0" xfId="0" applyFont="1" applyBorder="1"/>
    <xf numFmtId="0" fontId="6" fillId="0" borderId="0" xfId="0" applyFont="1" applyFill="1" applyBorder="1" applyAlignment="1">
      <alignment horizontal="center"/>
    </xf>
    <xf numFmtId="0" fontId="3" fillId="0" borderId="0" xfId="0" applyFont="1" applyFill="1" applyBorder="1"/>
    <xf numFmtId="0" fontId="9" fillId="0" borderId="0" xfId="0" applyFont="1"/>
    <xf numFmtId="14" fontId="0" fillId="0" borderId="0" xfId="0" applyNumberForma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28575">
              <a:noFill/>
            </a:ln>
          </c:spPr>
          <c:xVal>
            <c:numRef>
              <c:f>'Calibration Data'!$D$2:$D$8</c:f>
              <c:numCache>
                <c:formatCode>General</c:formatCode>
                <c:ptCount val="7"/>
                <c:pt idx="0">
                  <c:v>1.1544444444444444</c:v>
                </c:pt>
                <c:pt idx="1">
                  <c:v>3.5588888888888888</c:v>
                </c:pt>
                <c:pt idx="2">
                  <c:v>14.189444444444446</c:v>
                </c:pt>
                <c:pt idx="3">
                  <c:v>27.261666666666667</c:v>
                </c:pt>
                <c:pt idx="4">
                  <c:v>133.3138888888889</c:v>
                </c:pt>
                <c:pt idx="5">
                  <c:v>267.61888888888888</c:v>
                </c:pt>
                <c:pt idx="6">
                  <c:v>1343.9216666666666</c:v>
                </c:pt>
              </c:numCache>
            </c:numRef>
          </c:xVal>
          <c:yVal>
            <c:numRef>
              <c:f>'Calibration Data'!$G$2:$G$8</c:f>
              <c:numCache>
                <c:formatCode>General</c:formatCode>
                <c:ptCount val="7"/>
                <c:pt idx="0">
                  <c:v>0</c:v>
                </c:pt>
                <c:pt idx="1">
                  <c:v>0.42769009531437396</c:v>
                </c:pt>
                <c:pt idx="2">
                  <c:v>2.1384504765718702</c:v>
                </c:pt>
                <c:pt idx="3">
                  <c:v>4.2769009531437403</c:v>
                </c:pt>
                <c:pt idx="4">
                  <c:v>21.384504765718699</c:v>
                </c:pt>
                <c:pt idx="5">
                  <c:v>42.769009531437398</c:v>
                </c:pt>
                <c:pt idx="6">
                  <c:v>213.845047657187</c:v>
                </c:pt>
              </c:numCache>
            </c:numRef>
          </c:yVal>
          <c:smooth val="0"/>
        </c:ser>
        <c:ser>
          <c:idx val="1"/>
          <c:order val="1"/>
          <c:tx>
            <c:v>Predicted Y</c:v>
          </c:tx>
          <c:spPr>
            <a:ln w="28575">
              <a:noFill/>
            </a:ln>
          </c:spPr>
          <c:xVal>
            <c:numRef>
              <c:f>'Calibration Data'!$D$2:$D$8</c:f>
              <c:numCache>
                <c:formatCode>General</c:formatCode>
                <c:ptCount val="7"/>
                <c:pt idx="0">
                  <c:v>1.1544444444444444</c:v>
                </c:pt>
                <c:pt idx="1">
                  <c:v>3.5588888888888888</c:v>
                </c:pt>
                <c:pt idx="2">
                  <c:v>14.189444444444446</c:v>
                </c:pt>
                <c:pt idx="3">
                  <c:v>27.261666666666667</c:v>
                </c:pt>
                <c:pt idx="4">
                  <c:v>133.3138888888889</c:v>
                </c:pt>
                <c:pt idx="5">
                  <c:v>267.61888888888888</c:v>
                </c:pt>
                <c:pt idx="6">
                  <c:v>1343.9216666666666</c:v>
                </c:pt>
              </c:numCache>
            </c:numRef>
          </c:xVal>
          <c:yVal>
            <c:numRef>
              <c:f>'Calibration Data'!$B$38:$B$44</c:f>
              <c:numCache>
                <c:formatCode>General</c:formatCode>
                <c:ptCount val="7"/>
                <c:pt idx="0">
                  <c:v>0.1441714628506657</c:v>
                </c:pt>
                <c:pt idx="1">
                  <c:v>0.52694379154793525</c:v>
                </c:pt>
                <c:pt idx="2">
                  <c:v>2.2192609148432805</c:v>
                </c:pt>
                <c:pt idx="3">
                  <c:v>4.3002759088928997</c:v>
                </c:pt>
                <c:pt idx="4">
                  <c:v>21.183118079488228</c:v>
                </c:pt>
                <c:pt idx="5">
                  <c:v>42.563623553202696</c:v>
                </c:pt>
                <c:pt idx="6">
                  <c:v>213.90420976854736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989536"/>
        <c:axId val="199988360"/>
      </c:scatterChart>
      <c:valAx>
        <c:axId val="199989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9988360"/>
        <c:crosses val="autoZero"/>
        <c:crossBetween val="midCat"/>
      </c:valAx>
      <c:valAx>
        <c:axId val="1999883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998953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Line Fit  Plot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0519469016990174E-2"/>
          <c:y val="0.28624189833413682"/>
          <c:w val="0.83812820928248166"/>
          <c:h val="0.53549252771974931"/>
        </c:manualLayout>
      </c:layout>
      <c:scatterChart>
        <c:scatterStyle val="lineMarker"/>
        <c:varyColors val="0"/>
        <c:ser>
          <c:idx val="0"/>
          <c:order val="0"/>
          <c:tx>
            <c:v>Y</c:v>
          </c:tx>
          <c:spPr>
            <a:ln w="28575">
              <a:noFill/>
            </a:ln>
          </c:spPr>
          <c:xVal>
            <c:numRef>
              <c:f>'Calibration Data'!$D$2:$D$9</c:f>
              <c:numCache>
                <c:formatCode>General</c:formatCode>
                <c:ptCount val="8"/>
                <c:pt idx="0">
                  <c:v>1.1544444444444444</c:v>
                </c:pt>
                <c:pt idx="1">
                  <c:v>3.5588888888888888</c:v>
                </c:pt>
                <c:pt idx="2">
                  <c:v>14.189444444444446</c:v>
                </c:pt>
                <c:pt idx="3">
                  <c:v>27.261666666666667</c:v>
                </c:pt>
                <c:pt idx="4">
                  <c:v>133.3138888888889</c:v>
                </c:pt>
                <c:pt idx="5">
                  <c:v>267.61888888888888</c:v>
                </c:pt>
                <c:pt idx="6">
                  <c:v>1343.9216666666666</c:v>
                </c:pt>
                <c:pt idx="7">
                  <c:v>5624.5516666666663</c:v>
                </c:pt>
              </c:numCache>
            </c:numRef>
          </c:xVal>
          <c:yVal>
            <c:numRef>
              <c:f>'Calibration Data'!$G$2:$G$9</c:f>
              <c:numCache>
                <c:formatCode>General</c:formatCode>
                <c:ptCount val="8"/>
                <c:pt idx="0">
                  <c:v>0</c:v>
                </c:pt>
                <c:pt idx="1">
                  <c:v>0.42769009531437396</c:v>
                </c:pt>
                <c:pt idx="2">
                  <c:v>2.1384504765718702</c:v>
                </c:pt>
                <c:pt idx="3">
                  <c:v>4.2769009531437403</c:v>
                </c:pt>
                <c:pt idx="4">
                  <c:v>21.384504765718699</c:v>
                </c:pt>
                <c:pt idx="5">
                  <c:v>42.769009531437398</c:v>
                </c:pt>
                <c:pt idx="6">
                  <c:v>213.845047657187</c:v>
                </c:pt>
                <c:pt idx="7">
                  <c:v>921.74647887323954</c:v>
                </c:pt>
              </c:numCache>
            </c:numRef>
          </c:yVal>
          <c:smooth val="0"/>
        </c:ser>
        <c:ser>
          <c:idx val="1"/>
          <c:order val="1"/>
          <c:tx>
            <c:v>Predicted Y</c:v>
          </c:tx>
          <c:spPr>
            <a:ln w="28575">
              <a:noFill/>
            </a:ln>
          </c:spPr>
          <c:xVal>
            <c:numRef>
              <c:f>'Calibration Data'!$D$2:$D$9</c:f>
              <c:numCache>
                <c:formatCode>General</c:formatCode>
                <c:ptCount val="8"/>
                <c:pt idx="0">
                  <c:v>1.1544444444444444</c:v>
                </c:pt>
                <c:pt idx="1">
                  <c:v>3.5588888888888888</c:v>
                </c:pt>
                <c:pt idx="2">
                  <c:v>14.189444444444446</c:v>
                </c:pt>
                <c:pt idx="3">
                  <c:v>27.261666666666667</c:v>
                </c:pt>
                <c:pt idx="4">
                  <c:v>133.3138888888889</c:v>
                </c:pt>
                <c:pt idx="5">
                  <c:v>267.61888888888888</c:v>
                </c:pt>
                <c:pt idx="6">
                  <c:v>1343.9216666666666</c:v>
                </c:pt>
                <c:pt idx="7">
                  <c:v>5624.5516666666663</c:v>
                </c:pt>
              </c:numCache>
            </c:numRef>
          </c:xVal>
          <c:yVal>
            <c:numRef>
              <c:f>'Calibration Data'!$B$72:$B$79</c:f>
              <c:numCache>
                <c:formatCode>General</c:formatCode>
                <c:ptCount val="8"/>
                <c:pt idx="0">
                  <c:v>-0.86244335302746633</c:v>
                </c:pt>
                <c:pt idx="1">
                  <c:v>-0.46848823374427229</c:v>
                </c:pt>
                <c:pt idx="2">
                  <c:v>1.273270363178999</c:v>
                </c:pt>
                <c:pt idx="3">
                  <c:v>3.4150827376553288</c:v>
                </c:pt>
                <c:pt idx="4">
                  <c:v>20.791161420752843</c:v>
                </c:pt>
                <c:pt idx="5">
                  <c:v>42.796303780178178</c:v>
                </c:pt>
                <c:pt idx="6">
                  <c:v>219.142648643325</c:v>
                </c:pt>
                <c:pt idx="7">
                  <c:v>920.50054699429393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987576"/>
        <c:axId val="199988752"/>
      </c:scatterChart>
      <c:valAx>
        <c:axId val="199987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9988752"/>
        <c:crosses val="autoZero"/>
        <c:crossBetween val="midCat"/>
      </c:valAx>
      <c:valAx>
        <c:axId val="1999887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998757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314326</xdr:colOff>
      <xdr:row>14</xdr:row>
      <xdr:rowOff>19049</xdr:rowOff>
    </xdr:from>
    <xdr:to>
      <xdr:col>13</xdr:col>
      <xdr:colOff>1214438</xdr:colOff>
      <xdr:row>40</xdr:row>
      <xdr:rowOff>47624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1457326</xdr:colOff>
      <xdr:row>48</xdr:row>
      <xdr:rowOff>104774</xdr:rowOff>
    </xdr:from>
    <xdr:to>
      <xdr:col>15</xdr:col>
      <xdr:colOff>119062</xdr:colOff>
      <xdr:row>77</xdr:row>
      <xdr:rowOff>119061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ichael\Dropbox%20(Personal)\work\MIT%20Graduate%20Work\Research\Standard%20Chemical%20Info\Radium_Stock\Radium%20Standards%20Lo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mple Parameters"/>
      <sheetName val="Scintillation Counter Results"/>
      <sheetName val="Calibration Data Legacy"/>
      <sheetName val="Gamma Counter Multinuclide Stan"/>
      <sheetName val="Quality Control Notes"/>
      <sheetName val="Gamma Counter Geometry"/>
      <sheetName val="Scint Cocktail Testing"/>
      <sheetName val="Calibration Data"/>
      <sheetName val="Stock Log"/>
    </sheetNames>
    <sheetDataSet>
      <sheetData sheetId="0"/>
      <sheetData sheetId="1"/>
      <sheetData sheetId="2"/>
      <sheetData sheetId="3"/>
      <sheetData sheetId="4"/>
      <sheetData sheetId="5">
        <row r="6">
          <cell r="G6">
            <v>42.769009531437398</v>
          </cell>
        </row>
      </sheetData>
      <sheetData sheetId="6"/>
      <sheetData sheetId="7"/>
      <sheetData sheetId="8">
        <row r="6">
          <cell r="F6">
            <v>921.74647887323954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B3" sqref="B3"/>
    </sheetView>
  </sheetViews>
  <sheetFormatPr defaultRowHeight="15" x14ac:dyDescent="0.25"/>
  <cols>
    <col min="1" max="1" width="26.5703125" bestFit="1" customWidth="1"/>
    <col min="2" max="2" width="12.71093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4</v>
      </c>
      <c r="E1" t="s">
        <v>7</v>
      </c>
    </row>
    <row r="2" spans="1:5" x14ac:dyDescent="0.25">
      <c r="A2" t="s">
        <v>8</v>
      </c>
      <c r="B2" s="31">
        <v>42347</v>
      </c>
    </row>
    <row r="3" spans="1:5" x14ac:dyDescent="0.25">
      <c r="A3" t="s">
        <v>3</v>
      </c>
      <c r="B3">
        <v>100</v>
      </c>
      <c r="C3">
        <v>0.17199999999999999</v>
      </c>
      <c r="D3" t="s">
        <v>5</v>
      </c>
      <c r="E3" t="s">
        <v>19</v>
      </c>
    </row>
    <row r="4" spans="1:5" x14ac:dyDescent="0.25">
      <c r="A4" t="s">
        <v>9</v>
      </c>
      <c r="B4" t="s">
        <v>101</v>
      </c>
    </row>
    <row r="5" spans="1:5" x14ac:dyDescent="0.25">
      <c r="A5" t="s">
        <v>22</v>
      </c>
      <c r="B5" t="s">
        <v>23</v>
      </c>
    </row>
    <row r="6" spans="1:5" x14ac:dyDescent="0.25">
      <c r="A6" t="s">
        <v>6</v>
      </c>
      <c r="B6">
        <v>471.73605764182452</v>
      </c>
      <c r="C6">
        <v>2.3454898264593513</v>
      </c>
      <c r="D6" t="s">
        <v>20</v>
      </c>
      <c r="E6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1"/>
  <sheetViews>
    <sheetView workbookViewId="0"/>
  </sheetViews>
  <sheetFormatPr defaultRowHeight="15" x14ac:dyDescent="0.25"/>
  <cols>
    <col min="1" max="1" width="14.85546875" bestFit="1" customWidth="1"/>
    <col min="2" max="2" width="17.28515625" bestFit="1" customWidth="1"/>
    <col min="6" max="6" width="12.7109375" bestFit="1" customWidth="1"/>
  </cols>
  <sheetData>
    <row r="1" spans="1:6" x14ac:dyDescent="0.25">
      <c r="A1" t="s">
        <v>14</v>
      </c>
      <c r="B1" t="s">
        <v>15</v>
      </c>
      <c r="C1" t="s">
        <v>16</v>
      </c>
      <c r="D1" t="s">
        <v>11</v>
      </c>
      <c r="E1" t="s">
        <v>17</v>
      </c>
      <c r="F1" t="s">
        <v>18</v>
      </c>
    </row>
    <row r="2" spans="1:6" x14ac:dyDescent="0.25">
      <c r="A2" s="18">
        <v>42438.435416666667</v>
      </c>
      <c r="B2" t="s">
        <v>106</v>
      </c>
      <c r="C2">
        <v>317.5</v>
      </c>
      <c r="D2">
        <v>3.55</v>
      </c>
      <c r="E2">
        <v>0.05</v>
      </c>
      <c r="F2">
        <v>42.52</v>
      </c>
    </row>
    <row r="3" spans="1:6" x14ac:dyDescent="0.25">
      <c r="A3" s="18">
        <v>42438.435416666667</v>
      </c>
      <c r="B3" t="s">
        <v>107</v>
      </c>
      <c r="C3">
        <v>522.79999999999995</v>
      </c>
      <c r="D3">
        <v>2.77</v>
      </c>
      <c r="E3">
        <v>0.03</v>
      </c>
      <c r="F3">
        <v>85.18</v>
      </c>
    </row>
    <row r="4" spans="1:6" x14ac:dyDescent="0.25">
      <c r="A4" s="18">
        <v>42438.435416666667</v>
      </c>
      <c r="B4" t="s">
        <v>108</v>
      </c>
      <c r="C4">
        <v>512.1</v>
      </c>
      <c r="D4">
        <v>2.79</v>
      </c>
      <c r="E4">
        <v>0.02</v>
      </c>
      <c r="F4">
        <v>127.85</v>
      </c>
    </row>
    <row r="5" spans="1:6" x14ac:dyDescent="0.25">
      <c r="A5" s="18">
        <v>42438.435416666667</v>
      </c>
      <c r="B5" t="s">
        <v>109</v>
      </c>
      <c r="C5">
        <v>338.4</v>
      </c>
      <c r="D5">
        <v>3.44</v>
      </c>
      <c r="E5">
        <v>0.04</v>
      </c>
      <c r="F5">
        <v>170.61</v>
      </c>
    </row>
    <row r="6" spans="1:6" x14ac:dyDescent="0.25">
      <c r="A6" s="18">
        <v>42439.461111111108</v>
      </c>
      <c r="B6" t="s">
        <v>106</v>
      </c>
      <c r="C6">
        <v>294.60000000000002</v>
      </c>
      <c r="D6">
        <v>3.68</v>
      </c>
      <c r="E6">
        <v>0.04</v>
      </c>
      <c r="F6">
        <v>42.5</v>
      </c>
    </row>
    <row r="7" spans="1:6" x14ac:dyDescent="0.25">
      <c r="A7" s="18">
        <v>42439.461111111108</v>
      </c>
      <c r="B7" t="s">
        <v>107</v>
      </c>
      <c r="C7">
        <v>523.5</v>
      </c>
      <c r="D7">
        <v>2.76</v>
      </c>
      <c r="E7">
        <v>0.02</v>
      </c>
      <c r="F7">
        <v>85.13</v>
      </c>
    </row>
    <row r="8" spans="1:6" x14ac:dyDescent="0.25">
      <c r="A8" s="18">
        <v>42439.461111111108</v>
      </c>
      <c r="B8" t="s">
        <v>108</v>
      </c>
      <c r="C8">
        <v>524.29999999999995</v>
      </c>
      <c r="D8">
        <v>2.76</v>
      </c>
      <c r="E8">
        <v>0.02</v>
      </c>
      <c r="F8">
        <v>127.76</v>
      </c>
    </row>
    <row r="9" spans="1:6" x14ac:dyDescent="0.25">
      <c r="A9" s="18">
        <v>42439.461111111108</v>
      </c>
      <c r="B9" t="s">
        <v>109</v>
      </c>
      <c r="C9">
        <v>345.8</v>
      </c>
      <c r="D9">
        <v>3.4</v>
      </c>
      <c r="E9">
        <v>0.02</v>
      </c>
      <c r="F9">
        <v>173.51</v>
      </c>
    </row>
    <row r="10" spans="1:6" x14ac:dyDescent="0.25">
      <c r="A10" s="18">
        <v>42447.404861111114</v>
      </c>
      <c r="B10" t="s">
        <v>106</v>
      </c>
      <c r="C10">
        <v>293.2</v>
      </c>
      <c r="D10">
        <v>3.69</v>
      </c>
      <c r="E10">
        <v>0.02</v>
      </c>
      <c r="F10">
        <v>42.47</v>
      </c>
    </row>
    <row r="11" spans="1:6" x14ac:dyDescent="0.25">
      <c r="A11" s="18">
        <v>42447.404861111114</v>
      </c>
      <c r="B11" t="s">
        <v>107</v>
      </c>
      <c r="C11">
        <v>508.5</v>
      </c>
      <c r="D11">
        <v>2.8</v>
      </c>
      <c r="E11">
        <v>0.02</v>
      </c>
      <c r="F11">
        <v>85.11</v>
      </c>
    </row>
    <row r="12" spans="1:6" x14ac:dyDescent="0.25">
      <c r="A12" s="18">
        <v>42447.404861111114</v>
      </c>
      <c r="B12" t="s">
        <v>108</v>
      </c>
      <c r="C12">
        <v>506.3</v>
      </c>
      <c r="D12">
        <v>2.81</v>
      </c>
      <c r="E12">
        <v>0.02</v>
      </c>
      <c r="F12">
        <v>127.74</v>
      </c>
    </row>
    <row r="13" spans="1:6" x14ac:dyDescent="0.25">
      <c r="A13" s="18">
        <v>42447.404861111114</v>
      </c>
      <c r="B13" t="s">
        <v>109</v>
      </c>
      <c r="C13">
        <v>339.3</v>
      </c>
      <c r="D13">
        <v>3.43</v>
      </c>
      <c r="E13">
        <v>0.02</v>
      </c>
      <c r="F13">
        <v>170.48</v>
      </c>
    </row>
    <row r="14" spans="1:6" x14ac:dyDescent="0.25">
      <c r="A14" s="18">
        <v>42459.724305555559</v>
      </c>
      <c r="B14" t="s">
        <v>106</v>
      </c>
      <c r="C14">
        <v>303.8</v>
      </c>
      <c r="D14">
        <v>3.63</v>
      </c>
      <c r="E14">
        <v>0.02</v>
      </c>
      <c r="F14">
        <v>42.49</v>
      </c>
    </row>
    <row r="15" spans="1:6" x14ac:dyDescent="0.25">
      <c r="A15" s="18">
        <v>42459.724305555559</v>
      </c>
      <c r="B15" t="s">
        <v>107</v>
      </c>
      <c r="C15">
        <v>512.1</v>
      </c>
      <c r="D15">
        <v>2.79</v>
      </c>
      <c r="E15">
        <v>0.02</v>
      </c>
      <c r="F15">
        <v>85.09</v>
      </c>
    </row>
    <row r="16" spans="1:6" x14ac:dyDescent="0.25">
      <c r="A16" s="18">
        <v>42459.724305555559</v>
      </c>
      <c r="B16" t="s">
        <v>108</v>
      </c>
      <c r="C16">
        <v>515.1</v>
      </c>
      <c r="D16">
        <v>2.79</v>
      </c>
      <c r="E16">
        <v>2.1000000000000001E-2</v>
      </c>
      <c r="F16">
        <v>127.72</v>
      </c>
    </row>
    <row r="17" spans="1:6" x14ac:dyDescent="0.25">
      <c r="A17" s="18">
        <v>42459.724305555559</v>
      </c>
      <c r="B17" t="s">
        <v>109</v>
      </c>
      <c r="C17">
        <v>341.6</v>
      </c>
      <c r="D17">
        <v>3.42</v>
      </c>
      <c r="E17">
        <v>0.02</v>
      </c>
      <c r="F17">
        <v>170.46</v>
      </c>
    </row>
    <row r="18" spans="1:6" x14ac:dyDescent="0.25">
      <c r="A18" s="18">
        <v>42374.613888888889</v>
      </c>
      <c r="B18" s="20" t="s">
        <v>78</v>
      </c>
      <c r="C18">
        <v>74.400000000000006</v>
      </c>
      <c r="D18">
        <v>7.33</v>
      </c>
      <c r="E18">
        <v>0.17</v>
      </c>
      <c r="F18">
        <v>694.2</v>
      </c>
    </row>
    <row r="19" spans="1:6" x14ac:dyDescent="0.25">
      <c r="A19" s="18">
        <v>42374.613888888889</v>
      </c>
      <c r="B19" t="s">
        <v>79</v>
      </c>
      <c r="C19">
        <v>78.3</v>
      </c>
      <c r="D19">
        <v>7.15</v>
      </c>
      <c r="E19">
        <v>0.14000000000000001</v>
      </c>
      <c r="F19">
        <v>704.83</v>
      </c>
    </row>
    <row r="20" spans="1:6" x14ac:dyDescent="0.25">
      <c r="A20" s="18">
        <v>42374.613888888889</v>
      </c>
      <c r="B20" t="s">
        <v>80</v>
      </c>
      <c r="C20">
        <v>68.2</v>
      </c>
      <c r="D20">
        <v>7.66</v>
      </c>
      <c r="E20">
        <v>0.14000000000000001</v>
      </c>
      <c r="F20">
        <v>715.46</v>
      </c>
    </row>
    <row r="21" spans="1:6" x14ac:dyDescent="0.25">
      <c r="A21" s="18">
        <v>42374.613888888889</v>
      </c>
      <c r="B21" t="s">
        <v>81</v>
      </c>
      <c r="C21">
        <v>65.599999999999994</v>
      </c>
      <c r="D21">
        <v>7.81</v>
      </c>
      <c r="E21">
        <v>0.25</v>
      </c>
      <c r="F21">
        <v>726.1</v>
      </c>
    </row>
    <row r="22" spans="1:6" x14ac:dyDescent="0.25">
      <c r="A22" s="18">
        <v>42374.613888888889</v>
      </c>
      <c r="B22" t="s">
        <v>82</v>
      </c>
      <c r="C22">
        <v>72.2</v>
      </c>
      <c r="D22">
        <v>7.44</v>
      </c>
      <c r="E22">
        <v>0.13</v>
      </c>
      <c r="F22">
        <v>736.73</v>
      </c>
    </row>
    <row r="23" spans="1:6" x14ac:dyDescent="0.25">
      <c r="A23" s="18">
        <v>42374.613888888889</v>
      </c>
      <c r="B23" t="s">
        <v>83</v>
      </c>
      <c r="C23">
        <v>67.2</v>
      </c>
      <c r="D23">
        <v>7.72</v>
      </c>
      <c r="E23">
        <v>0.18</v>
      </c>
      <c r="F23">
        <v>747.36</v>
      </c>
    </row>
    <row r="24" spans="1:6" x14ac:dyDescent="0.25">
      <c r="A24" s="18">
        <v>42374.613888888889</v>
      </c>
      <c r="B24" t="s">
        <v>84</v>
      </c>
      <c r="C24">
        <v>66.7</v>
      </c>
      <c r="D24">
        <v>7.74</v>
      </c>
      <c r="E24">
        <v>0.17</v>
      </c>
      <c r="F24">
        <v>758</v>
      </c>
    </row>
    <row r="25" spans="1:6" x14ac:dyDescent="0.25">
      <c r="A25" s="18">
        <v>42374.613888888889</v>
      </c>
      <c r="B25" t="s">
        <v>85</v>
      </c>
      <c r="C25">
        <v>68.7</v>
      </c>
      <c r="D25">
        <v>7.63</v>
      </c>
      <c r="E25">
        <v>0.15</v>
      </c>
      <c r="F25">
        <v>768.63</v>
      </c>
    </row>
    <row r="26" spans="1:6" x14ac:dyDescent="0.25">
      <c r="A26" s="18">
        <v>42374.613888888889</v>
      </c>
      <c r="B26" t="s">
        <v>86</v>
      </c>
      <c r="C26">
        <v>73.599999999999994</v>
      </c>
      <c r="D26">
        <v>7.37</v>
      </c>
      <c r="E26">
        <v>0.15</v>
      </c>
      <c r="F26">
        <v>779.36</v>
      </c>
    </row>
    <row r="27" spans="1:6" x14ac:dyDescent="0.25">
      <c r="A27" s="18">
        <v>42374.613888888889</v>
      </c>
      <c r="B27" t="s">
        <v>87</v>
      </c>
      <c r="C27">
        <v>70.8</v>
      </c>
      <c r="D27">
        <v>7.52</v>
      </c>
      <c r="E27">
        <v>0.16</v>
      </c>
      <c r="F27">
        <v>789.99</v>
      </c>
    </row>
    <row r="28" spans="1:6" x14ac:dyDescent="0.25">
      <c r="A28" s="18">
        <v>42374.613888888889</v>
      </c>
      <c r="B28" t="s">
        <v>88</v>
      </c>
      <c r="C28">
        <v>74.7</v>
      </c>
      <c r="D28">
        <v>7.32</v>
      </c>
      <c r="E28">
        <v>0.14000000000000001</v>
      </c>
      <c r="F28">
        <v>800.63</v>
      </c>
    </row>
    <row r="29" spans="1:6" x14ac:dyDescent="0.25">
      <c r="A29" s="18">
        <v>42374.613888888889</v>
      </c>
      <c r="B29" t="s">
        <v>89</v>
      </c>
      <c r="C29">
        <v>71.8</v>
      </c>
      <c r="D29">
        <v>7.46</v>
      </c>
      <c r="E29">
        <v>0.15</v>
      </c>
      <c r="F29">
        <v>821.89</v>
      </c>
    </row>
    <row r="30" spans="1:6" x14ac:dyDescent="0.25">
      <c r="A30" s="18">
        <v>42374.613888888889</v>
      </c>
      <c r="B30" t="s">
        <v>90</v>
      </c>
      <c r="C30">
        <v>76.7</v>
      </c>
      <c r="D30">
        <v>7.22</v>
      </c>
      <c r="E30">
        <v>0.15</v>
      </c>
      <c r="F30">
        <v>821.89</v>
      </c>
    </row>
    <row r="31" spans="1:6" x14ac:dyDescent="0.25">
      <c r="A31" s="18">
        <v>42374.613888888889</v>
      </c>
      <c r="B31" t="s">
        <v>91</v>
      </c>
      <c r="C31">
        <v>72.5</v>
      </c>
      <c r="D31">
        <v>7.43</v>
      </c>
      <c r="E31">
        <v>0.13</v>
      </c>
      <c r="F31">
        <v>832.53</v>
      </c>
    </row>
    <row r="32" spans="1:6" x14ac:dyDescent="0.25">
      <c r="A32" s="18">
        <v>42374.613888888889</v>
      </c>
      <c r="B32" t="s">
        <v>92</v>
      </c>
      <c r="C32">
        <v>80.5</v>
      </c>
      <c r="D32">
        <v>7.0579999999999998</v>
      </c>
      <c r="E32">
        <v>0.14000000000000001</v>
      </c>
      <c r="F32">
        <v>843.16</v>
      </c>
    </row>
    <row r="33" spans="1:6" x14ac:dyDescent="0.25">
      <c r="A33" s="18">
        <v>42374.613888888889</v>
      </c>
      <c r="B33" t="s">
        <v>93</v>
      </c>
      <c r="C33">
        <v>186.5</v>
      </c>
      <c r="D33">
        <v>4.63</v>
      </c>
      <c r="E33">
        <v>0.05</v>
      </c>
      <c r="F33">
        <v>853.79</v>
      </c>
    </row>
    <row r="34" spans="1:6" x14ac:dyDescent="0.25">
      <c r="A34" s="18">
        <v>42374.613888888889</v>
      </c>
      <c r="B34" t="s">
        <v>94</v>
      </c>
      <c r="C34">
        <v>151.30000000000001</v>
      </c>
      <c r="D34">
        <v>5.14</v>
      </c>
      <c r="E34">
        <v>0.06</v>
      </c>
      <c r="F34">
        <v>864.43</v>
      </c>
    </row>
    <row r="35" spans="1:6" x14ac:dyDescent="0.25">
      <c r="A35" s="18">
        <v>42374.613888888889</v>
      </c>
      <c r="B35" t="s">
        <v>95</v>
      </c>
      <c r="C35">
        <v>156</v>
      </c>
      <c r="D35">
        <v>5.0599999999999996</v>
      </c>
      <c r="E35">
        <v>0.06</v>
      </c>
      <c r="F35">
        <v>875.06</v>
      </c>
    </row>
    <row r="36" spans="1:6" x14ac:dyDescent="0.25">
      <c r="A36" s="18">
        <v>42382.73333333333</v>
      </c>
      <c r="B36" s="20" t="s">
        <v>78</v>
      </c>
      <c r="C36">
        <v>73.400000000000006</v>
      </c>
      <c r="D36">
        <v>7.38</v>
      </c>
      <c r="E36">
        <v>0.12</v>
      </c>
      <c r="F36">
        <v>694.16</v>
      </c>
    </row>
    <row r="37" spans="1:6" x14ac:dyDescent="0.25">
      <c r="A37" s="18">
        <v>42382.73333333333</v>
      </c>
      <c r="B37" t="s">
        <v>79</v>
      </c>
      <c r="C37">
        <v>73.8</v>
      </c>
      <c r="D37">
        <v>7.36</v>
      </c>
      <c r="E37">
        <v>0.11</v>
      </c>
      <c r="F37">
        <v>704.79</v>
      </c>
    </row>
    <row r="38" spans="1:6" x14ac:dyDescent="0.25">
      <c r="A38" s="18">
        <v>42382.73333333333</v>
      </c>
      <c r="B38" t="s">
        <v>80</v>
      </c>
      <c r="C38">
        <v>69.5</v>
      </c>
      <c r="D38">
        <v>7.59</v>
      </c>
      <c r="E38">
        <v>0.11</v>
      </c>
      <c r="F38">
        <v>715.42</v>
      </c>
    </row>
    <row r="39" spans="1:6" x14ac:dyDescent="0.25">
      <c r="A39" s="18">
        <v>42382.73333333333</v>
      </c>
      <c r="B39" t="s">
        <v>81</v>
      </c>
      <c r="C39">
        <v>72.8</v>
      </c>
      <c r="D39">
        <v>7.41</v>
      </c>
      <c r="E39">
        <v>0.14000000000000001</v>
      </c>
      <c r="F39">
        <v>726.04</v>
      </c>
    </row>
    <row r="40" spans="1:6" x14ac:dyDescent="0.25">
      <c r="A40" s="18">
        <v>42382.73333333333</v>
      </c>
      <c r="B40" t="s">
        <v>82</v>
      </c>
      <c r="C40">
        <v>78.099999999999994</v>
      </c>
      <c r="D40">
        <v>7.16</v>
      </c>
      <c r="E40">
        <v>0.11</v>
      </c>
      <c r="F40">
        <v>736.67</v>
      </c>
    </row>
    <row r="41" spans="1:6" x14ac:dyDescent="0.25">
      <c r="A41" s="18">
        <v>42382.73333333333</v>
      </c>
      <c r="B41" t="s">
        <v>83</v>
      </c>
      <c r="C41">
        <v>67.8</v>
      </c>
      <c r="D41">
        <v>7.68</v>
      </c>
      <c r="E41">
        <v>0.14000000000000001</v>
      </c>
      <c r="F41">
        <v>747.31</v>
      </c>
    </row>
    <row r="42" spans="1:6" x14ac:dyDescent="0.25">
      <c r="A42" s="18">
        <v>42382.73333333333</v>
      </c>
      <c r="B42" t="s">
        <v>84</v>
      </c>
      <c r="C42">
        <v>70.900000000000006</v>
      </c>
      <c r="D42">
        <v>7.51</v>
      </c>
      <c r="E42">
        <v>0.13</v>
      </c>
      <c r="F42">
        <v>757.94</v>
      </c>
    </row>
    <row r="43" spans="1:6" x14ac:dyDescent="0.25">
      <c r="A43" s="18">
        <v>42382.73333333333</v>
      </c>
      <c r="B43" t="s">
        <v>85</v>
      </c>
      <c r="C43">
        <v>74.5</v>
      </c>
      <c r="D43">
        <v>7.33</v>
      </c>
      <c r="E43">
        <v>0.13</v>
      </c>
      <c r="F43">
        <v>768.58</v>
      </c>
    </row>
    <row r="44" spans="1:6" x14ac:dyDescent="0.25">
      <c r="A44" s="18">
        <v>42382.73333333333</v>
      </c>
      <c r="B44" t="s">
        <v>86</v>
      </c>
      <c r="C44">
        <v>73.599999999999994</v>
      </c>
      <c r="D44">
        <v>7.37</v>
      </c>
      <c r="E44">
        <v>0.12</v>
      </c>
      <c r="F44">
        <v>779.3</v>
      </c>
    </row>
    <row r="45" spans="1:6" x14ac:dyDescent="0.25">
      <c r="A45" s="18">
        <v>42382.73333333333</v>
      </c>
      <c r="B45" t="s">
        <v>87</v>
      </c>
      <c r="C45">
        <v>75.400000000000006</v>
      </c>
      <c r="D45">
        <v>7.28</v>
      </c>
      <c r="E45">
        <v>0.11</v>
      </c>
      <c r="F45">
        <v>789.94</v>
      </c>
    </row>
    <row r="46" spans="1:6" x14ac:dyDescent="0.25">
      <c r="A46" s="18">
        <v>42382.73333333333</v>
      </c>
      <c r="B46" t="s">
        <v>88</v>
      </c>
      <c r="C46">
        <v>73</v>
      </c>
      <c r="D46">
        <v>7.4</v>
      </c>
      <c r="E46">
        <v>0.12</v>
      </c>
      <c r="F46">
        <v>800.56</v>
      </c>
    </row>
    <row r="47" spans="1:6" x14ac:dyDescent="0.25">
      <c r="A47" s="18">
        <v>42382.73333333333</v>
      </c>
      <c r="B47" t="s">
        <v>89</v>
      </c>
      <c r="C47">
        <v>74.2</v>
      </c>
      <c r="D47">
        <v>7.34</v>
      </c>
      <c r="E47">
        <v>0.14000000000000001</v>
      </c>
      <c r="F47">
        <v>811.19</v>
      </c>
    </row>
    <row r="48" spans="1:6" x14ac:dyDescent="0.25">
      <c r="A48" s="18">
        <v>42382.73333333333</v>
      </c>
      <c r="B48" t="s">
        <v>90</v>
      </c>
      <c r="C48">
        <v>78.7</v>
      </c>
      <c r="D48">
        <v>7.13</v>
      </c>
      <c r="E48">
        <v>0.12</v>
      </c>
      <c r="F48">
        <v>821.83</v>
      </c>
    </row>
    <row r="49" spans="1:6" x14ac:dyDescent="0.25">
      <c r="A49" s="18">
        <v>42382.73333333333</v>
      </c>
      <c r="B49" t="s">
        <v>91</v>
      </c>
      <c r="C49">
        <v>78.599999999999994</v>
      </c>
      <c r="D49">
        <v>7.13</v>
      </c>
      <c r="E49">
        <v>0.12</v>
      </c>
      <c r="F49">
        <v>832.46</v>
      </c>
    </row>
    <row r="50" spans="1:6" x14ac:dyDescent="0.25">
      <c r="A50" s="18">
        <v>42382.73333333333</v>
      </c>
      <c r="B50" t="s">
        <v>92</v>
      </c>
      <c r="C50">
        <v>78.599999999999994</v>
      </c>
      <c r="D50">
        <v>7.13</v>
      </c>
      <c r="E50">
        <v>0.11</v>
      </c>
      <c r="F50">
        <v>843.09</v>
      </c>
    </row>
    <row r="51" spans="1:6" x14ac:dyDescent="0.25">
      <c r="A51" s="18">
        <v>42382.73333333333</v>
      </c>
      <c r="B51" t="s">
        <v>93</v>
      </c>
      <c r="C51">
        <v>179.1</v>
      </c>
      <c r="D51">
        <v>4.7300000000000004</v>
      </c>
      <c r="E51">
        <v>0.04</v>
      </c>
      <c r="F51">
        <v>853.73</v>
      </c>
    </row>
    <row r="52" spans="1:6" x14ac:dyDescent="0.25">
      <c r="A52" s="18">
        <v>42382.73333333333</v>
      </c>
      <c r="B52" t="s">
        <v>94</v>
      </c>
      <c r="C52">
        <v>163.19999999999999</v>
      </c>
      <c r="D52">
        <v>4.95</v>
      </c>
      <c r="E52">
        <v>0.05</v>
      </c>
      <c r="F52">
        <v>864.36</v>
      </c>
    </row>
    <row r="53" spans="1:6" x14ac:dyDescent="0.25">
      <c r="A53" s="18">
        <v>42382.73333333333</v>
      </c>
      <c r="B53" t="s">
        <v>95</v>
      </c>
      <c r="C53">
        <v>159</v>
      </c>
      <c r="D53">
        <v>5.0199999999999996</v>
      </c>
      <c r="E53">
        <v>0.05</v>
      </c>
      <c r="F53">
        <v>874.99</v>
      </c>
    </row>
    <row r="54" spans="1:6" x14ac:dyDescent="0.25">
      <c r="A54" s="18">
        <v>42381.317361111112</v>
      </c>
      <c r="B54" s="20" t="s">
        <v>78</v>
      </c>
      <c r="C54">
        <v>70.099999999999994</v>
      </c>
      <c r="D54">
        <v>7.55</v>
      </c>
      <c r="E54">
        <v>0.15</v>
      </c>
      <c r="F54">
        <v>694.08</v>
      </c>
    </row>
    <row r="55" spans="1:6" x14ac:dyDescent="0.25">
      <c r="A55" s="18">
        <v>42381.317361111112</v>
      </c>
      <c r="B55" t="s">
        <v>79</v>
      </c>
      <c r="C55">
        <v>72</v>
      </c>
      <c r="D55">
        <v>7.45</v>
      </c>
      <c r="E55">
        <v>0.11</v>
      </c>
      <c r="F55">
        <v>704.71</v>
      </c>
    </row>
    <row r="56" spans="1:6" x14ac:dyDescent="0.25">
      <c r="A56" s="18">
        <v>42381.317361111112</v>
      </c>
      <c r="B56" t="s">
        <v>80</v>
      </c>
      <c r="C56">
        <v>73.7</v>
      </c>
      <c r="D56">
        <v>7.37</v>
      </c>
      <c r="E56">
        <v>0.11</v>
      </c>
      <c r="F56">
        <v>715.34</v>
      </c>
    </row>
    <row r="57" spans="1:6" x14ac:dyDescent="0.25">
      <c r="A57" s="18">
        <v>42381.317361111112</v>
      </c>
      <c r="B57" t="s">
        <v>81</v>
      </c>
      <c r="C57">
        <v>73.7</v>
      </c>
      <c r="D57">
        <v>7.37</v>
      </c>
      <c r="E57">
        <v>0.19</v>
      </c>
      <c r="F57">
        <v>725.98</v>
      </c>
    </row>
    <row r="58" spans="1:6" x14ac:dyDescent="0.25">
      <c r="A58" s="18">
        <v>42381.317361111112</v>
      </c>
      <c r="B58" t="s">
        <v>82</v>
      </c>
      <c r="C58">
        <v>68.400000000000006</v>
      </c>
      <c r="D58">
        <v>7.65</v>
      </c>
      <c r="E58">
        <v>0.11</v>
      </c>
      <c r="F58">
        <v>736.61</v>
      </c>
    </row>
    <row r="59" spans="1:6" x14ac:dyDescent="0.25">
      <c r="A59" s="18">
        <v>42381.317361111112</v>
      </c>
      <c r="B59" t="s">
        <v>83</v>
      </c>
      <c r="C59">
        <v>71.099999999999994</v>
      </c>
      <c r="D59">
        <v>7.5</v>
      </c>
      <c r="E59">
        <v>0.14000000000000001</v>
      </c>
      <c r="F59">
        <v>747.24</v>
      </c>
    </row>
    <row r="60" spans="1:6" x14ac:dyDescent="0.25">
      <c r="A60" s="18">
        <v>42381.317361111112</v>
      </c>
      <c r="B60" t="s">
        <v>84</v>
      </c>
      <c r="C60">
        <v>71</v>
      </c>
      <c r="D60">
        <v>7.51</v>
      </c>
      <c r="E60">
        <v>0.13</v>
      </c>
      <c r="F60">
        <v>757.88</v>
      </c>
    </row>
    <row r="61" spans="1:6" x14ac:dyDescent="0.25">
      <c r="A61" s="18">
        <v>42381.317361111112</v>
      </c>
      <c r="B61" t="s">
        <v>85</v>
      </c>
      <c r="C61">
        <v>71</v>
      </c>
      <c r="D61">
        <v>7.51</v>
      </c>
      <c r="E61">
        <v>0.13</v>
      </c>
      <c r="F61">
        <v>768.51</v>
      </c>
    </row>
    <row r="62" spans="1:6" x14ac:dyDescent="0.25">
      <c r="A62" s="18">
        <v>42381.317361111112</v>
      </c>
      <c r="B62" t="s">
        <v>86</v>
      </c>
      <c r="C62">
        <v>72</v>
      </c>
      <c r="D62">
        <v>7.45</v>
      </c>
      <c r="E62">
        <v>0.13</v>
      </c>
      <c r="F62">
        <v>779.24</v>
      </c>
    </row>
    <row r="63" spans="1:6" x14ac:dyDescent="0.25">
      <c r="A63" s="18">
        <v>42381.317361111112</v>
      </c>
      <c r="B63" t="s">
        <v>87</v>
      </c>
      <c r="C63">
        <v>72.400000000000006</v>
      </c>
      <c r="D63">
        <v>7.43</v>
      </c>
      <c r="E63">
        <v>0.12</v>
      </c>
      <c r="F63">
        <v>789.87</v>
      </c>
    </row>
    <row r="64" spans="1:6" x14ac:dyDescent="0.25">
      <c r="A64" s="18">
        <v>42381.317361111112</v>
      </c>
      <c r="B64" t="s">
        <v>88</v>
      </c>
      <c r="C64">
        <v>68</v>
      </c>
      <c r="D64">
        <v>7.67</v>
      </c>
      <c r="E64">
        <v>0.12</v>
      </c>
      <c r="F64">
        <v>800.5</v>
      </c>
    </row>
    <row r="65" spans="1:6" x14ac:dyDescent="0.25">
      <c r="A65" s="18">
        <v>42381.317361111112</v>
      </c>
      <c r="B65" t="s">
        <v>89</v>
      </c>
      <c r="C65">
        <v>74.2</v>
      </c>
      <c r="D65">
        <v>7.34</v>
      </c>
      <c r="E65">
        <v>0.12</v>
      </c>
      <c r="F65">
        <v>811.14</v>
      </c>
    </row>
    <row r="66" spans="1:6" x14ac:dyDescent="0.25">
      <c r="A66" s="18">
        <v>42381.317361111112</v>
      </c>
      <c r="B66" t="s">
        <v>90</v>
      </c>
      <c r="C66">
        <v>75</v>
      </c>
      <c r="D66">
        <v>7.3</v>
      </c>
      <c r="E66">
        <v>0.13</v>
      </c>
      <c r="F66">
        <v>821.78</v>
      </c>
    </row>
    <row r="67" spans="1:6" x14ac:dyDescent="0.25">
      <c r="A67" s="18">
        <v>42381.317361111112</v>
      </c>
      <c r="B67" t="s">
        <v>91</v>
      </c>
      <c r="C67">
        <v>82</v>
      </c>
      <c r="D67">
        <v>6.98</v>
      </c>
      <c r="E67">
        <v>0.1</v>
      </c>
      <c r="F67">
        <v>832.41</v>
      </c>
    </row>
    <row r="68" spans="1:6" x14ac:dyDescent="0.25">
      <c r="A68" s="18">
        <v>42381.317361111112</v>
      </c>
      <c r="B68" t="s">
        <v>92</v>
      </c>
      <c r="C68">
        <v>78.599999999999994</v>
      </c>
      <c r="D68">
        <v>7.13</v>
      </c>
      <c r="E68">
        <v>0.1</v>
      </c>
      <c r="F68">
        <v>843.04</v>
      </c>
    </row>
    <row r="69" spans="1:6" x14ac:dyDescent="0.25">
      <c r="A69" s="18">
        <v>42381.317361111112</v>
      </c>
      <c r="B69" t="s">
        <v>93</v>
      </c>
      <c r="C69">
        <v>186.2</v>
      </c>
      <c r="D69">
        <v>4.63</v>
      </c>
      <c r="E69">
        <v>0.05</v>
      </c>
      <c r="F69">
        <v>853.68</v>
      </c>
    </row>
    <row r="70" spans="1:6" x14ac:dyDescent="0.25">
      <c r="A70" s="18">
        <v>42381.317361111112</v>
      </c>
      <c r="B70" t="s">
        <v>94</v>
      </c>
      <c r="C70">
        <v>146.5</v>
      </c>
      <c r="D70">
        <v>5.23</v>
      </c>
      <c r="E70">
        <v>0.06</v>
      </c>
      <c r="F70">
        <v>864.29</v>
      </c>
    </row>
    <row r="71" spans="1:6" x14ac:dyDescent="0.25">
      <c r="A71" s="18">
        <v>42381.317361111112</v>
      </c>
      <c r="B71" t="s">
        <v>95</v>
      </c>
      <c r="C71">
        <v>143.5</v>
      </c>
      <c r="D71">
        <v>5.28</v>
      </c>
      <c r="E71">
        <v>0.06</v>
      </c>
      <c r="F71">
        <v>874.93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1"/>
  <sheetViews>
    <sheetView zoomScale="85" zoomScaleNormal="85" workbookViewId="0">
      <selection activeCell="D9" sqref="D9:E9"/>
    </sheetView>
  </sheetViews>
  <sheetFormatPr defaultRowHeight="15" x14ac:dyDescent="0.25"/>
  <cols>
    <col min="1" max="1" width="30" style="2" bestFit="1" customWidth="1"/>
    <col min="2" max="2" width="31.42578125" style="2" customWidth="1"/>
    <col min="3" max="3" width="12" style="2" customWidth="1"/>
    <col min="4" max="4" width="24.28515625" style="2" customWidth="1"/>
    <col min="5" max="5" width="10" style="2" customWidth="1"/>
    <col min="6" max="6" width="59" style="2" bestFit="1" customWidth="1"/>
    <col min="7" max="7" width="20.7109375" style="2" bestFit="1" customWidth="1"/>
    <col min="8" max="8" width="34.140625" style="2" bestFit="1" customWidth="1"/>
    <col min="9" max="9" width="34.140625" style="2" customWidth="1"/>
    <col min="10" max="10" width="37.140625" style="2" bestFit="1" customWidth="1"/>
    <col min="11" max="11" width="18.7109375" style="2" customWidth="1"/>
    <col min="12" max="12" width="32.85546875" bestFit="1" customWidth="1"/>
    <col min="13" max="13" width="34.7109375" bestFit="1" customWidth="1"/>
    <col min="14" max="14" width="35.5703125" bestFit="1" customWidth="1"/>
    <col min="15" max="15" width="14.5703125" bestFit="1" customWidth="1"/>
    <col min="23" max="23" width="18" bestFit="1" customWidth="1"/>
    <col min="24" max="24" width="12.7109375" bestFit="1" customWidth="1"/>
    <col min="25" max="25" width="12.7109375" style="19" customWidth="1"/>
    <col min="26" max="16384" width="9.140625" style="19"/>
  </cols>
  <sheetData>
    <row r="1" spans="1:24" x14ac:dyDescent="0.25">
      <c r="B1" s="3" t="s">
        <v>41</v>
      </c>
      <c r="C1" s="3" t="s">
        <v>42</v>
      </c>
      <c r="D1" s="4" t="s">
        <v>43</v>
      </c>
      <c r="E1" s="4" t="s">
        <v>21</v>
      </c>
      <c r="F1" s="2" t="s">
        <v>126</v>
      </c>
      <c r="G1" s="2" t="s">
        <v>127</v>
      </c>
      <c r="H1" s="2" t="s">
        <v>128</v>
      </c>
      <c r="I1" s="29" t="s">
        <v>129</v>
      </c>
      <c r="J1" s="29" t="s">
        <v>130</v>
      </c>
      <c r="K1" s="2" t="s">
        <v>129</v>
      </c>
      <c r="L1" s="2"/>
      <c r="M1" s="2"/>
      <c r="N1" s="2"/>
      <c r="O1" s="2"/>
    </row>
    <row r="2" spans="1:24" x14ac:dyDescent="0.25">
      <c r="A2" s="3" t="s">
        <v>44</v>
      </c>
      <c r="B2" s="2">
        <v>69.266666666666666</v>
      </c>
      <c r="C2" s="2">
        <v>4.0713088258637899</v>
      </c>
      <c r="D2" s="2">
        <f>B2/60</f>
        <v>1.1544444444444444</v>
      </c>
      <c r="E2" s="2">
        <f>C2/60</f>
        <v>6.7855147097729829E-2</v>
      </c>
      <c r="G2" s="11">
        <f>0</f>
        <v>0</v>
      </c>
      <c r="H2" s="2">
        <f>D2*$B$65+$B$64</f>
        <v>-0.86244335302746633</v>
      </c>
      <c r="I2" s="2" t="e">
        <f t="shared" ref="I2:I9" si="0">ABS(H2-G2)/G2</f>
        <v>#DIV/0!</v>
      </c>
      <c r="J2" s="2">
        <f>D2*$B$31+$B$30</f>
        <v>0.1441714628506657</v>
      </c>
      <c r="K2" s="2" t="e">
        <f t="shared" ref="K2:K9" si="1">ABS(J2-G2)/G2</f>
        <v>#DIV/0!</v>
      </c>
    </row>
    <row r="3" spans="1:24" x14ac:dyDescent="0.25">
      <c r="A3" s="3" t="s">
        <v>35</v>
      </c>
      <c r="B3" s="2">
        <v>213.53333333333333</v>
      </c>
      <c r="C3" s="2">
        <v>4.5389670875898238</v>
      </c>
      <c r="D3" s="2">
        <f t="shared" ref="D3:E10" si="2">B3/60</f>
        <v>3.5588888888888888</v>
      </c>
      <c r="E3" s="2">
        <f t="shared" si="2"/>
        <v>7.5649451459830402E-2</v>
      </c>
      <c r="G3" s="11">
        <f>F7*0.01</f>
        <v>0.42769009531437396</v>
      </c>
      <c r="H3" s="2">
        <f t="shared" ref="H3:H9" si="3">D3*$B$65+$B$64</f>
        <v>-0.46848823374427229</v>
      </c>
      <c r="I3" s="2">
        <f t="shared" si="0"/>
        <v>2.0953918243065921</v>
      </c>
      <c r="J3" s="2">
        <f t="shared" ref="J3:J9" si="4">D3*$B$31+$B$30</f>
        <v>0.52694379154793525</v>
      </c>
      <c r="K3" s="2">
        <f t="shared" si="1"/>
        <v>0.23206919524429195</v>
      </c>
    </row>
    <row r="4" spans="1:24" x14ac:dyDescent="0.25">
      <c r="A4" s="3" t="s">
        <v>36</v>
      </c>
      <c r="B4" s="2">
        <v>851.36666666666679</v>
      </c>
      <c r="C4" s="2">
        <v>12.530584805000577</v>
      </c>
      <c r="D4" s="2">
        <f t="shared" si="2"/>
        <v>14.189444444444446</v>
      </c>
      <c r="E4" s="2">
        <f t="shared" si="2"/>
        <v>0.20884308008334296</v>
      </c>
      <c r="G4" s="11">
        <f>F7*0.05</f>
        <v>2.1384504765718702</v>
      </c>
      <c r="H4" s="2">
        <f t="shared" si="3"/>
        <v>1.273270363178999</v>
      </c>
      <c r="I4" s="2">
        <f t="shared" si="0"/>
        <v>0.40458272140107415</v>
      </c>
      <c r="J4" s="2">
        <f t="shared" si="4"/>
        <v>2.2192609148432805</v>
      </c>
      <c r="K4" s="2">
        <f t="shared" si="1"/>
        <v>3.7789249345141149E-2</v>
      </c>
    </row>
    <row r="5" spans="1:24" x14ac:dyDescent="0.25">
      <c r="A5" s="3" t="s">
        <v>37</v>
      </c>
      <c r="B5" s="2">
        <v>1635.7</v>
      </c>
      <c r="C5" s="2">
        <v>32.620954410720707</v>
      </c>
      <c r="D5" s="2">
        <f t="shared" si="2"/>
        <v>27.261666666666667</v>
      </c>
      <c r="E5" s="2">
        <f t="shared" si="2"/>
        <v>0.54368257351201177</v>
      </c>
      <c r="G5" s="11">
        <f>F7*0.1</f>
        <v>4.2769009531437403</v>
      </c>
      <c r="H5" s="2">
        <f t="shared" si="3"/>
        <v>3.4150827376553288</v>
      </c>
      <c r="I5" s="2">
        <f t="shared" si="0"/>
        <v>0.20150530136895764</v>
      </c>
      <c r="J5" s="2">
        <f t="shared" si="4"/>
        <v>4.3002759088928997</v>
      </c>
      <c r="K5" s="2">
        <f t="shared" si="1"/>
        <v>5.465395622963303E-3</v>
      </c>
    </row>
    <row r="6" spans="1:24" x14ac:dyDescent="0.25">
      <c r="A6" s="3" t="s">
        <v>38</v>
      </c>
      <c r="B6" s="2">
        <v>7998.833333333333</v>
      </c>
      <c r="C6" s="2">
        <v>50.234140670352431</v>
      </c>
      <c r="D6" s="2">
        <f t="shared" si="2"/>
        <v>133.3138888888889</v>
      </c>
      <c r="E6" s="2">
        <f t="shared" si="2"/>
        <v>0.83723567783920716</v>
      </c>
      <c r="G6" s="11">
        <f>F7*0.5</f>
        <v>21.384504765718699</v>
      </c>
      <c r="H6" s="2">
        <f t="shared" si="3"/>
        <v>20.791161420752843</v>
      </c>
      <c r="I6" s="2">
        <f t="shared" si="0"/>
        <v>2.7746415054560394E-2</v>
      </c>
      <c r="J6" s="2">
        <f t="shared" si="4"/>
        <v>21.183118079488228</v>
      </c>
      <c r="K6" s="2">
        <f t="shared" si="1"/>
        <v>9.4174117397991877E-3</v>
      </c>
    </row>
    <row r="7" spans="1:24" x14ac:dyDescent="0.25">
      <c r="A7" s="3" t="s">
        <v>39</v>
      </c>
      <c r="B7" s="2">
        <v>16057.133333333333</v>
      </c>
      <c r="C7" s="2">
        <v>53.513259001171903</v>
      </c>
      <c r="D7" s="2">
        <f t="shared" si="2"/>
        <v>267.61888888888888</v>
      </c>
      <c r="E7" s="2">
        <f t="shared" si="2"/>
        <v>0.89188765001953174</v>
      </c>
      <c r="F7">
        <f>'[1]Gamma Counter Geometry'!G6</f>
        <v>42.769009531437398</v>
      </c>
      <c r="G7" s="11">
        <f>F7</f>
        <v>42.769009531437398</v>
      </c>
      <c r="H7" s="2">
        <f t="shared" si="3"/>
        <v>42.796303780178178</v>
      </c>
      <c r="I7" s="2">
        <f t="shared" si="0"/>
        <v>6.3817818181451417E-4</v>
      </c>
      <c r="J7" s="2">
        <f t="shared" si="4"/>
        <v>42.563623553202696</v>
      </c>
      <c r="K7" s="2">
        <f t="shared" si="1"/>
        <v>4.8022149796041616E-3</v>
      </c>
    </row>
    <row r="8" spans="1:24" x14ac:dyDescent="0.25">
      <c r="A8" s="3" t="s">
        <v>40</v>
      </c>
      <c r="B8" s="2">
        <v>80635.3</v>
      </c>
      <c r="C8" s="2">
        <v>80.454997758225829</v>
      </c>
      <c r="D8" s="2">
        <f t="shared" si="2"/>
        <v>1343.9216666666666</v>
      </c>
      <c r="E8" s="2">
        <f t="shared" si="2"/>
        <v>1.3409166293037638</v>
      </c>
      <c r="G8" s="11">
        <f>F7*5</f>
        <v>213.845047657187</v>
      </c>
      <c r="H8" s="2">
        <f t="shared" si="3"/>
        <v>219.142648643325</v>
      </c>
      <c r="I8" s="2">
        <f t="shared" si="0"/>
        <v>2.4773082398571806E-2</v>
      </c>
      <c r="J8" s="2">
        <f t="shared" si="4"/>
        <v>213.90420976854736</v>
      </c>
      <c r="K8" s="2">
        <f t="shared" si="1"/>
        <v>2.766587863900749E-4</v>
      </c>
    </row>
    <row r="9" spans="1:24" x14ac:dyDescent="0.25">
      <c r="A9" s="4" t="s">
        <v>123</v>
      </c>
      <c r="B9" s="2">
        <v>337473.1</v>
      </c>
      <c r="C9" s="2">
        <f>0.11/100*B9</f>
        <v>371.22041000000002</v>
      </c>
      <c r="D9" s="2">
        <f t="shared" si="2"/>
        <v>5624.5516666666663</v>
      </c>
      <c r="E9" s="2">
        <f t="shared" si="2"/>
        <v>6.1870068333333332</v>
      </c>
      <c r="F9">
        <f>'[1]Stock Log'!F6</f>
        <v>921.74647887323954</v>
      </c>
      <c r="G9" s="30">
        <f>F9</f>
        <v>921.74647887323954</v>
      </c>
      <c r="H9" s="2">
        <f t="shared" si="3"/>
        <v>920.50054699429393</v>
      </c>
      <c r="I9" s="2">
        <f t="shared" si="0"/>
        <v>1.3517077716083742E-3</v>
      </c>
      <c r="J9" s="2">
        <f t="shared" si="4"/>
        <v>895.35339740822087</v>
      </c>
      <c r="K9" s="2">
        <f t="shared" si="1"/>
        <v>2.8633775197364545E-2</v>
      </c>
    </row>
    <row r="10" spans="1:24" x14ac:dyDescent="0.25">
      <c r="A10" s="4" t="s">
        <v>124</v>
      </c>
      <c r="B10" s="29">
        <v>173514.3</v>
      </c>
      <c r="C10" s="2">
        <f>0.15/100*B10</f>
        <v>260.27145000000002</v>
      </c>
      <c r="D10" s="2">
        <f t="shared" si="2"/>
        <v>2891.9049999999997</v>
      </c>
      <c r="E10" s="2">
        <f t="shared" si="2"/>
        <v>4.3378575000000001</v>
      </c>
      <c r="F10"/>
      <c r="G10"/>
      <c r="H10" s="5"/>
      <c r="I10" s="5"/>
      <c r="J10" s="5"/>
      <c r="K10" s="5"/>
    </row>
    <row r="11" spans="1:24" x14ac:dyDescent="0.25">
      <c r="D11"/>
      <c r="F11"/>
      <c r="G11"/>
      <c r="H11" s="5" t="s">
        <v>131</v>
      </c>
      <c r="I11" s="5">
        <f>AVERAGE(I3:I9)</f>
        <v>0.39371274721188276</v>
      </c>
      <c r="J11" s="5"/>
      <c r="K11" s="5">
        <f>AVERAGE(K3:K8)</f>
        <v>4.8303354286364959E-2</v>
      </c>
    </row>
    <row r="12" spans="1:24" x14ac:dyDescent="0.25">
      <c r="A12" s="25" t="s">
        <v>132</v>
      </c>
      <c r="B12" s="16"/>
      <c r="C12" s="16"/>
      <c r="D12" s="16"/>
      <c r="E12" s="16"/>
      <c r="F12" s="16"/>
      <c r="G12" s="16"/>
      <c r="H12" s="16"/>
      <c r="I12" s="16"/>
      <c r="J12" s="26"/>
      <c r="K12" s="16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9"/>
      <c r="W12" s="19"/>
      <c r="X12" s="19"/>
    </row>
    <row r="13" spans="1:24" x14ac:dyDescent="0.25">
      <c r="A13" s="19" t="s">
        <v>133</v>
      </c>
      <c r="B13" s="19"/>
      <c r="C13" s="19"/>
      <c r="D13" s="19"/>
      <c r="E13" s="19"/>
      <c r="F13" s="19"/>
      <c r="G13" s="19"/>
      <c r="H13" s="19"/>
      <c r="I13" s="19"/>
      <c r="J13" s="19"/>
      <c r="K13" s="27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</row>
    <row r="14" spans="1:24" x14ac:dyDescent="0.25">
      <c r="A14" t="s">
        <v>45</v>
      </c>
      <c r="B14"/>
      <c r="C14"/>
      <c r="D14"/>
      <c r="E14"/>
      <c r="F14"/>
      <c r="G14"/>
      <c r="H14"/>
      <c r="I14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</row>
    <row r="15" spans="1:24" ht="15.75" thickBot="1" x14ac:dyDescent="0.3">
      <c r="A15"/>
      <c r="B15"/>
      <c r="C15"/>
      <c r="D15"/>
      <c r="E15"/>
      <c r="F15"/>
      <c r="G15"/>
      <c r="H15"/>
      <c r="I15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</row>
    <row r="16" spans="1:24" x14ac:dyDescent="0.25">
      <c r="A16" s="6" t="s">
        <v>46</v>
      </c>
      <c r="B16" s="6"/>
      <c r="C16"/>
      <c r="D16"/>
      <c r="E16"/>
      <c r="F16"/>
      <c r="G16"/>
      <c r="H16"/>
      <c r="I16"/>
      <c r="J16" s="8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</row>
    <row r="17" spans="1:24" x14ac:dyDescent="0.25">
      <c r="A17" s="7" t="s">
        <v>47</v>
      </c>
      <c r="B17" s="7">
        <v>0.99999829960800457</v>
      </c>
      <c r="C17"/>
      <c r="D17"/>
      <c r="E17"/>
      <c r="F17"/>
      <c r="G17"/>
      <c r="H17"/>
      <c r="I17"/>
      <c r="J17" s="7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</row>
    <row r="18" spans="1:24" x14ac:dyDescent="0.25">
      <c r="A18" s="7" t="s">
        <v>48</v>
      </c>
      <c r="B18" s="7">
        <v>0.99999659921890038</v>
      </c>
      <c r="C18"/>
      <c r="D18"/>
      <c r="E18"/>
      <c r="F18"/>
      <c r="G18"/>
      <c r="H18"/>
      <c r="I18"/>
      <c r="J18" s="7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</row>
    <row r="19" spans="1:24" x14ac:dyDescent="0.25">
      <c r="A19" s="7" t="s">
        <v>49</v>
      </c>
      <c r="B19" s="7">
        <v>0.99999591906268037</v>
      </c>
      <c r="C19"/>
      <c r="D19"/>
      <c r="E19"/>
      <c r="F19"/>
      <c r="G19"/>
      <c r="H19"/>
      <c r="I19"/>
      <c r="J19" s="7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</row>
    <row r="20" spans="1:24" ht="15.75" customHeight="1" x14ac:dyDescent="0.25">
      <c r="A20" s="7" t="s">
        <v>50</v>
      </c>
      <c r="B20" s="7">
        <v>0.15745067498955981</v>
      </c>
      <c r="C20"/>
      <c r="D20"/>
      <c r="E20"/>
      <c r="F20"/>
      <c r="G20"/>
      <c r="H20"/>
      <c r="I20"/>
      <c r="J20" s="7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</row>
    <row r="21" spans="1:24" ht="15.75" thickBot="1" x14ac:dyDescent="0.3">
      <c r="A21" s="9" t="s">
        <v>51</v>
      </c>
      <c r="B21" s="9">
        <v>7</v>
      </c>
      <c r="C21"/>
      <c r="D21"/>
      <c r="E21"/>
      <c r="F21"/>
      <c r="G21"/>
      <c r="H21"/>
      <c r="I21"/>
      <c r="J21" s="7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</row>
    <row r="22" spans="1:24" ht="15.75" customHeight="1" x14ac:dyDescent="0.25">
      <c r="A22"/>
      <c r="B22"/>
      <c r="C22"/>
      <c r="D22"/>
      <c r="E22"/>
      <c r="F22"/>
      <c r="G22"/>
      <c r="H22"/>
      <c r="I22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</row>
    <row r="23" spans="1:24" ht="15.75" thickBot="1" x14ac:dyDescent="0.3">
      <c r="A23" t="s">
        <v>52</v>
      </c>
      <c r="B23"/>
      <c r="C23"/>
      <c r="D23"/>
      <c r="E23"/>
      <c r="F23"/>
      <c r="G23"/>
      <c r="H23"/>
      <c r="I23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</row>
    <row r="24" spans="1:24" x14ac:dyDescent="0.25">
      <c r="A24" s="10"/>
      <c r="B24" s="10" t="s">
        <v>53</v>
      </c>
      <c r="C24" s="10" t="s">
        <v>54</v>
      </c>
      <c r="D24" s="10" t="s">
        <v>55</v>
      </c>
      <c r="E24" s="10" t="s">
        <v>56</v>
      </c>
      <c r="F24" s="10" t="s">
        <v>57</v>
      </c>
      <c r="G24"/>
      <c r="H24"/>
      <c r="I24"/>
      <c r="J24" s="28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</row>
    <row r="25" spans="1:24" x14ac:dyDescent="0.25">
      <c r="A25" s="7" t="s">
        <v>58</v>
      </c>
      <c r="B25" s="7">
        <v>1</v>
      </c>
      <c r="C25" s="7">
        <v>36448.436434940144</v>
      </c>
      <c r="D25" s="7">
        <v>36448.436434940144</v>
      </c>
      <c r="E25" s="7">
        <v>1470245.4670857524</v>
      </c>
      <c r="F25" s="7">
        <v>7.2414589665754382E-15</v>
      </c>
      <c r="G25"/>
      <c r="H25"/>
      <c r="I25"/>
      <c r="J25" s="7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</row>
    <row r="26" spans="1:24" ht="15.75" customHeight="1" x14ac:dyDescent="0.25">
      <c r="A26" s="7" t="s">
        <v>59</v>
      </c>
      <c r="B26" s="7">
        <v>5</v>
      </c>
      <c r="C26" s="7">
        <v>0.12395357527333999</v>
      </c>
      <c r="D26" s="7">
        <v>2.4790715054667997E-2</v>
      </c>
      <c r="E26" s="7"/>
      <c r="F26" s="7"/>
      <c r="G26"/>
      <c r="H26"/>
      <c r="I26"/>
      <c r="J26" s="7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</row>
    <row r="27" spans="1:24" ht="15.75" thickBot="1" x14ac:dyDescent="0.3">
      <c r="A27" s="9" t="s">
        <v>60</v>
      </c>
      <c r="B27" s="9">
        <v>6</v>
      </c>
      <c r="C27" s="9">
        <v>36448.56038851542</v>
      </c>
      <c r="D27" s="9"/>
      <c r="E27" s="9"/>
      <c r="F27" s="9"/>
      <c r="G27"/>
      <c r="H27"/>
      <c r="I27"/>
      <c r="J27" s="7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</row>
    <row r="28" spans="1:24" ht="15.75" thickBot="1" x14ac:dyDescent="0.3">
      <c r="A28"/>
      <c r="B28"/>
      <c r="C28"/>
      <c r="D28"/>
      <c r="E28"/>
      <c r="F28"/>
      <c r="G28"/>
      <c r="H28"/>
      <c r="I28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</row>
    <row r="29" spans="1:24" x14ac:dyDescent="0.25">
      <c r="A29" s="10"/>
      <c r="B29" s="10" t="s">
        <v>61</v>
      </c>
      <c r="C29" s="10" t="s">
        <v>50</v>
      </c>
      <c r="D29" s="10" t="s">
        <v>62</v>
      </c>
      <c r="E29" s="10" t="s">
        <v>63</v>
      </c>
      <c r="F29" s="10" t="s">
        <v>64</v>
      </c>
      <c r="G29" s="10" t="s">
        <v>65</v>
      </c>
      <c r="H29" s="10" t="s">
        <v>66</v>
      </c>
      <c r="I29" s="10" t="s">
        <v>67</v>
      </c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</row>
    <row r="30" spans="1:24" ht="15.75" customHeight="1" x14ac:dyDescent="0.25">
      <c r="A30" s="7" t="s">
        <v>68</v>
      </c>
      <c r="B30" s="7">
        <v>-3.9608781842709107E-2</v>
      </c>
      <c r="C30" s="7">
        <v>6.8336946505889784E-2</v>
      </c>
      <c r="D30" s="7">
        <v>-0.57961006260786507</v>
      </c>
      <c r="E30" s="7">
        <v>0.5873118215120845</v>
      </c>
      <c r="F30" s="7">
        <v>-0.21527449523359993</v>
      </c>
      <c r="G30" s="7">
        <v>0.13605693154818171</v>
      </c>
      <c r="H30" s="7">
        <v>-0.21527449523359993</v>
      </c>
      <c r="I30" s="7">
        <v>0.13605693154818171</v>
      </c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</row>
    <row r="31" spans="1:24" ht="15.75" thickBot="1" x14ac:dyDescent="0.3">
      <c r="A31" s="9" t="s">
        <v>69</v>
      </c>
      <c r="B31" s="9">
        <v>0.15919366720311581</v>
      </c>
      <c r="C31" s="9">
        <v>1.3128976251852687E-4</v>
      </c>
      <c r="D31" s="9">
        <v>1212.5367899926798</v>
      </c>
      <c r="E31" s="9">
        <v>7.2414589665754382E-15</v>
      </c>
      <c r="F31" s="9">
        <v>0.15885617612438069</v>
      </c>
      <c r="G31" s="9">
        <v>0.15953115828185094</v>
      </c>
      <c r="H31" s="9">
        <v>0.15885617612438069</v>
      </c>
      <c r="I31" s="9">
        <v>0.15953115828185094</v>
      </c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</row>
    <row r="32" spans="1:24" x14ac:dyDescent="0.25">
      <c r="A32"/>
      <c r="B32"/>
      <c r="C32"/>
      <c r="D32"/>
      <c r="E32"/>
      <c r="F32"/>
      <c r="G32"/>
      <c r="H32"/>
      <c r="I32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</row>
    <row r="33" spans="1:24" x14ac:dyDescent="0.25">
      <c r="A33"/>
      <c r="B33"/>
      <c r="C33"/>
      <c r="D33"/>
      <c r="E33"/>
      <c r="F33"/>
      <c r="G33"/>
      <c r="H33"/>
      <c r="I33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</row>
    <row r="34" spans="1:24" x14ac:dyDescent="0.25">
      <c r="A34"/>
      <c r="B34"/>
      <c r="C34"/>
      <c r="D34"/>
      <c r="E34"/>
      <c r="F34"/>
      <c r="G34"/>
      <c r="H34"/>
      <c r="I34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</row>
    <row r="35" spans="1:24" x14ac:dyDescent="0.25">
      <c r="A35" t="s">
        <v>70</v>
      </c>
      <c r="B35"/>
      <c r="C35"/>
      <c r="D35"/>
      <c r="E35"/>
      <c r="F35"/>
      <c r="G35"/>
      <c r="H35"/>
      <c r="I35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</row>
    <row r="36" spans="1:24" ht="15.75" thickBot="1" x14ac:dyDescent="0.3">
      <c r="A36"/>
      <c r="B36"/>
      <c r="C36"/>
      <c r="D36"/>
      <c r="E36"/>
      <c r="F36"/>
      <c r="G36"/>
      <c r="H36"/>
      <c r="I36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</row>
    <row r="37" spans="1:24" x14ac:dyDescent="0.25">
      <c r="A37" s="10" t="s">
        <v>71</v>
      </c>
      <c r="B37" s="10" t="s">
        <v>72</v>
      </c>
      <c r="C37" s="10" t="s">
        <v>73</v>
      </c>
      <c r="D37"/>
      <c r="E37"/>
      <c r="F37"/>
      <c r="G37"/>
      <c r="H37"/>
      <c r="I37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</row>
    <row r="38" spans="1:24" x14ac:dyDescent="0.25">
      <c r="A38" s="7">
        <v>1</v>
      </c>
      <c r="B38" s="7">
        <v>0.1441714628506657</v>
      </c>
      <c r="C38" s="7">
        <v>-0.1441714628506657</v>
      </c>
      <c r="D38"/>
      <c r="E38"/>
      <c r="F38"/>
      <c r="G38"/>
      <c r="H38"/>
      <c r="I38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</row>
    <row r="39" spans="1:24" x14ac:dyDescent="0.25">
      <c r="A39" s="7">
        <v>2</v>
      </c>
      <c r="B39" s="7">
        <v>0.52694379154793525</v>
      </c>
      <c r="C39" s="7">
        <v>-9.9253696233561284E-2</v>
      </c>
      <c r="D39"/>
      <c r="E39"/>
      <c r="F39"/>
      <c r="G39"/>
      <c r="H39"/>
      <c r="I3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</row>
    <row r="40" spans="1:24" x14ac:dyDescent="0.25">
      <c r="A40" s="7">
        <v>3</v>
      </c>
      <c r="B40" s="7">
        <v>2.2192609148432805</v>
      </c>
      <c r="C40" s="7">
        <v>-8.0810438271410323E-2</v>
      </c>
      <c r="D40"/>
      <c r="E40"/>
      <c r="F40"/>
      <c r="G40"/>
      <c r="H40"/>
      <c r="I40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</row>
    <row r="41" spans="1:24" x14ac:dyDescent="0.25">
      <c r="A41" s="7">
        <v>4</v>
      </c>
      <c r="B41" s="7">
        <v>4.3002759088928997</v>
      </c>
      <c r="C41" s="7">
        <v>-2.3374955749159376E-2</v>
      </c>
      <c r="D41"/>
      <c r="E41"/>
      <c r="F41"/>
      <c r="G41"/>
      <c r="H41"/>
      <c r="I41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</row>
    <row r="42" spans="1:24" ht="15.75" customHeight="1" x14ac:dyDescent="0.25">
      <c r="A42" s="7">
        <v>5</v>
      </c>
      <c r="B42" s="7">
        <v>21.183118079488228</v>
      </c>
      <c r="C42" s="7">
        <v>0.20138668623047096</v>
      </c>
      <c r="D42"/>
      <c r="E42"/>
      <c r="F42"/>
      <c r="G42"/>
      <c r="H42"/>
      <c r="I42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</row>
    <row r="43" spans="1:24" ht="15.75" customHeight="1" x14ac:dyDescent="0.25">
      <c r="A43" s="7">
        <v>6</v>
      </c>
      <c r="B43" s="7">
        <v>42.563623553202696</v>
      </c>
      <c r="C43" s="7">
        <v>0.20538597823470184</v>
      </c>
      <c r="D43"/>
      <c r="E43"/>
      <c r="F43"/>
      <c r="G43"/>
      <c r="H43"/>
      <c r="I43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</row>
    <row r="44" spans="1:24" ht="15.75" thickBot="1" x14ac:dyDescent="0.3">
      <c r="A44" s="9">
        <v>7</v>
      </c>
      <c r="B44" s="9">
        <v>213.90420976854736</v>
      </c>
      <c r="C44" s="9">
        <v>-5.9162111360365088E-2</v>
      </c>
      <c r="D44"/>
      <c r="E44"/>
      <c r="F44"/>
      <c r="G44"/>
      <c r="H44"/>
      <c r="I44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</row>
    <row r="45" spans="1:24" x14ac:dyDescent="0.25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</row>
    <row r="46" spans="1:24" x14ac:dyDescent="0.2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</row>
    <row r="47" spans="1:24" x14ac:dyDescent="0.25">
      <c r="A47" s="19" t="s">
        <v>134</v>
      </c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</row>
    <row r="48" spans="1:24" x14ac:dyDescent="0.25">
      <c r="A48" t="s">
        <v>45</v>
      </c>
      <c r="B48"/>
      <c r="C48"/>
      <c r="D48"/>
      <c r="E48"/>
      <c r="F48"/>
      <c r="G48"/>
      <c r="H48"/>
      <c r="I48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</row>
    <row r="49" spans="1:24" ht="15.75" thickBot="1" x14ac:dyDescent="0.3">
      <c r="A49"/>
      <c r="B49"/>
      <c r="C49"/>
      <c r="D49"/>
      <c r="E49"/>
      <c r="F49"/>
      <c r="G49"/>
      <c r="H49"/>
      <c r="I4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</row>
    <row r="50" spans="1:24" x14ac:dyDescent="0.25">
      <c r="A50" s="6" t="s">
        <v>46</v>
      </c>
      <c r="B50" s="6"/>
      <c r="C50"/>
      <c r="D50"/>
      <c r="E50"/>
      <c r="F50"/>
      <c r="G50"/>
      <c r="H50"/>
      <c r="I50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</row>
    <row r="51" spans="1:24" x14ac:dyDescent="0.25">
      <c r="A51" s="7" t="s">
        <v>47</v>
      </c>
      <c r="B51" s="7">
        <v>0.99997693899899576</v>
      </c>
      <c r="C51"/>
      <c r="D51"/>
      <c r="E51"/>
      <c r="F51"/>
      <c r="G51"/>
      <c r="H51"/>
      <c r="I51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</row>
    <row r="52" spans="1:24" x14ac:dyDescent="0.25">
      <c r="A52" s="7" t="s">
        <v>48</v>
      </c>
      <c r="B52" s="7">
        <v>0.99995387852980122</v>
      </c>
      <c r="C52"/>
      <c r="D52"/>
      <c r="E52"/>
      <c r="F52"/>
      <c r="G52"/>
      <c r="H52"/>
      <c r="I52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</row>
    <row r="53" spans="1:24" x14ac:dyDescent="0.25">
      <c r="A53" s="7" t="s">
        <v>49</v>
      </c>
      <c r="B53" s="7">
        <v>0.99994619161810139</v>
      </c>
      <c r="C53"/>
      <c r="D53"/>
      <c r="E53"/>
      <c r="F53"/>
      <c r="G53"/>
      <c r="H53"/>
      <c r="I53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</row>
    <row r="54" spans="1:24" x14ac:dyDescent="0.25">
      <c r="A54" s="7" t="s">
        <v>50</v>
      </c>
      <c r="B54" s="7">
        <v>2.3454898264593513</v>
      </c>
      <c r="C54"/>
      <c r="D54"/>
      <c r="E54"/>
      <c r="F54"/>
      <c r="G54"/>
      <c r="H54"/>
      <c r="I54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</row>
    <row r="55" spans="1:24" ht="15.75" thickBot="1" x14ac:dyDescent="0.3">
      <c r="A55" s="9" t="s">
        <v>51</v>
      </c>
      <c r="B55" s="9">
        <v>8</v>
      </c>
      <c r="C55"/>
      <c r="D55"/>
      <c r="E55"/>
      <c r="F55"/>
      <c r="G55"/>
      <c r="H55"/>
      <c r="I55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</row>
    <row r="56" spans="1:24" x14ac:dyDescent="0.25">
      <c r="A56"/>
      <c r="B56"/>
      <c r="C56"/>
      <c r="D56"/>
      <c r="E56"/>
      <c r="F56"/>
      <c r="G56"/>
      <c r="H56"/>
      <c r="I56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</row>
    <row r="57" spans="1:24" ht="15.75" customHeight="1" thickBot="1" x14ac:dyDescent="0.3">
      <c r="A57" t="s">
        <v>52</v>
      </c>
      <c r="B57"/>
      <c r="C57"/>
      <c r="D57"/>
      <c r="E57"/>
      <c r="F57"/>
      <c r="G57"/>
      <c r="H57"/>
      <c r="I57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</row>
    <row r="58" spans="1:24" x14ac:dyDescent="0.25">
      <c r="A58" s="10"/>
      <c r="B58" s="10" t="s">
        <v>53</v>
      </c>
      <c r="C58" s="10" t="s">
        <v>54</v>
      </c>
      <c r="D58" s="10" t="s">
        <v>55</v>
      </c>
      <c r="E58" s="10" t="s">
        <v>56</v>
      </c>
      <c r="F58" s="10" t="s">
        <v>57</v>
      </c>
      <c r="G58"/>
      <c r="H58"/>
      <c r="I58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</row>
    <row r="59" spans="1:24" x14ac:dyDescent="0.25">
      <c r="A59" s="7" t="s">
        <v>58</v>
      </c>
      <c r="B59" s="7">
        <v>1</v>
      </c>
      <c r="C59" s="7">
        <v>715640.95071954106</v>
      </c>
      <c r="D59" s="7">
        <v>715640.95071954106</v>
      </c>
      <c r="E59" s="7">
        <v>130085.25628776736</v>
      </c>
      <c r="F59" s="7">
        <v>3.0659633657492487E-14</v>
      </c>
      <c r="G59"/>
      <c r="H59"/>
      <c r="I5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</row>
    <row r="60" spans="1:24" x14ac:dyDescent="0.25">
      <c r="A60" s="7" t="s">
        <v>59</v>
      </c>
      <c r="B60" s="7">
        <v>6</v>
      </c>
      <c r="C60" s="7">
        <v>33.007935156145905</v>
      </c>
      <c r="D60" s="7">
        <v>5.5013225260243175</v>
      </c>
      <c r="E60" s="7"/>
      <c r="F60" s="7"/>
      <c r="G60"/>
      <c r="H60"/>
      <c r="I60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</row>
    <row r="61" spans="1:24" ht="15.75" thickBot="1" x14ac:dyDescent="0.3">
      <c r="A61" s="9" t="s">
        <v>60</v>
      </c>
      <c r="B61" s="9">
        <v>7</v>
      </c>
      <c r="C61" s="9">
        <v>715673.95865469717</v>
      </c>
      <c r="D61" s="9"/>
      <c r="E61" s="9"/>
      <c r="F61" s="9"/>
      <c r="G61"/>
      <c r="H61"/>
      <c r="I61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</row>
    <row r="62" spans="1:24" ht="15.75" thickBot="1" x14ac:dyDescent="0.3">
      <c r="A62"/>
      <c r="B62"/>
      <c r="C62"/>
      <c r="D62"/>
      <c r="E62"/>
      <c r="F62"/>
      <c r="G62"/>
      <c r="H62"/>
      <c r="I62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</row>
    <row r="63" spans="1:24" x14ac:dyDescent="0.25">
      <c r="A63" s="10"/>
      <c r="B63" s="10" t="s">
        <v>61</v>
      </c>
      <c r="C63" s="10" t="s">
        <v>50</v>
      </c>
      <c r="D63" s="10" t="s">
        <v>62</v>
      </c>
      <c r="E63" s="10" t="s">
        <v>63</v>
      </c>
      <c r="F63" s="10" t="s">
        <v>64</v>
      </c>
      <c r="G63" s="10" t="s">
        <v>65</v>
      </c>
      <c r="H63" s="10" t="s">
        <v>66</v>
      </c>
      <c r="I63" s="10" t="s">
        <v>67</v>
      </c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</row>
    <row r="64" spans="1:24" x14ac:dyDescent="0.25">
      <c r="A64" s="7" t="s">
        <v>68</v>
      </c>
      <c r="B64" s="7">
        <v>-1.0515927841435655</v>
      </c>
      <c r="C64" s="7">
        <v>0.93004309568280563</v>
      </c>
      <c r="D64" s="7">
        <v>-1.1306925335234301</v>
      </c>
      <c r="E64" s="7">
        <v>0.30134624757372269</v>
      </c>
      <c r="F64" s="7">
        <v>-3.3273262570453777</v>
      </c>
      <c r="G64" s="7">
        <v>1.2241406887582467</v>
      </c>
      <c r="H64" s="7">
        <v>-3.3273262570453777</v>
      </c>
      <c r="I64" s="7">
        <v>1.2241406887582467</v>
      </c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</row>
    <row r="65" spans="1:24" ht="15.75" thickBot="1" x14ac:dyDescent="0.3">
      <c r="A65" s="9" t="s">
        <v>69</v>
      </c>
      <c r="B65" s="9">
        <v>0.16384455053367589</v>
      </c>
      <c r="C65" s="9">
        <v>4.5427408560216718E-4</v>
      </c>
      <c r="D65" s="9">
        <v>360.6733373674403</v>
      </c>
      <c r="E65" s="9">
        <v>3.0659633657492487E-14</v>
      </c>
      <c r="F65" s="9">
        <v>0.16273298188994789</v>
      </c>
      <c r="G65" s="9">
        <v>0.16495611917740388</v>
      </c>
      <c r="H65" s="9">
        <v>0.16273298188994789</v>
      </c>
      <c r="I65" s="9">
        <v>0.16495611917740388</v>
      </c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</row>
    <row r="66" spans="1:24" x14ac:dyDescent="0.25">
      <c r="A66"/>
      <c r="B66"/>
      <c r="C66"/>
      <c r="D66"/>
      <c r="E66"/>
      <c r="F66"/>
      <c r="G66"/>
      <c r="H66"/>
      <c r="I66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</row>
    <row r="67" spans="1:24" x14ac:dyDescent="0.25">
      <c r="A67"/>
      <c r="B67"/>
      <c r="C67"/>
      <c r="D67"/>
      <c r="E67"/>
      <c r="F67"/>
      <c r="G67"/>
      <c r="H67"/>
      <c r="I67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</row>
    <row r="68" spans="1:24" x14ac:dyDescent="0.25">
      <c r="A68"/>
      <c r="B68"/>
      <c r="C68"/>
      <c r="D68"/>
      <c r="E68"/>
      <c r="F68"/>
      <c r="G68"/>
      <c r="H68"/>
      <c r="I68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</row>
    <row r="69" spans="1:24" x14ac:dyDescent="0.25">
      <c r="A69" t="s">
        <v>70</v>
      </c>
      <c r="B69"/>
      <c r="C69"/>
      <c r="D69"/>
      <c r="E69"/>
      <c r="F69"/>
      <c r="G69"/>
      <c r="H69"/>
      <c r="I6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</row>
    <row r="70" spans="1:24" ht="15.75" thickBot="1" x14ac:dyDescent="0.3">
      <c r="A70"/>
      <c r="B70"/>
      <c r="C70"/>
      <c r="D70"/>
      <c r="E70"/>
      <c r="F70"/>
      <c r="G70"/>
      <c r="H70"/>
      <c r="I70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</row>
    <row r="71" spans="1:24" x14ac:dyDescent="0.25">
      <c r="A71" s="10" t="s">
        <v>71</v>
      </c>
      <c r="B71" s="10" t="s">
        <v>72</v>
      </c>
      <c r="C71" s="10" t="s">
        <v>73</v>
      </c>
      <c r="D71"/>
      <c r="E71"/>
      <c r="F71"/>
      <c r="G71"/>
      <c r="H71"/>
      <c r="I71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</row>
    <row r="72" spans="1:24" x14ac:dyDescent="0.25">
      <c r="A72" s="7">
        <v>1</v>
      </c>
      <c r="B72" s="7">
        <v>-0.86244335302746633</v>
      </c>
      <c r="C72" s="7">
        <v>0.86244335302746633</v>
      </c>
      <c r="D72"/>
      <c r="E72"/>
      <c r="F72"/>
      <c r="G72"/>
      <c r="H72"/>
      <c r="I72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</row>
    <row r="73" spans="1:24" x14ac:dyDescent="0.25">
      <c r="A73" s="7">
        <v>2</v>
      </c>
      <c r="B73" s="7">
        <v>-0.46848823374427229</v>
      </c>
      <c r="C73" s="7">
        <v>0.89617832905864625</v>
      </c>
      <c r="D73"/>
      <c r="E73"/>
      <c r="F73"/>
      <c r="G73"/>
      <c r="H73"/>
      <c r="I73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</row>
    <row r="74" spans="1:24" x14ac:dyDescent="0.25">
      <c r="A74" s="7">
        <v>3</v>
      </c>
      <c r="B74" s="7">
        <v>1.273270363178999</v>
      </c>
      <c r="C74" s="7">
        <v>0.86518011339287115</v>
      </c>
      <c r="D74"/>
      <c r="E74"/>
      <c r="F74"/>
      <c r="G74"/>
      <c r="H74"/>
      <c r="I74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</row>
    <row r="75" spans="1:24" x14ac:dyDescent="0.25">
      <c r="A75" s="7">
        <v>4</v>
      </c>
      <c r="B75" s="7">
        <v>3.4150827376553288</v>
      </c>
      <c r="C75" s="7">
        <v>0.86181821548841153</v>
      </c>
      <c r="D75"/>
      <c r="E75"/>
      <c r="F75"/>
      <c r="G75"/>
      <c r="H75"/>
      <c r="I75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</row>
    <row r="76" spans="1:24" x14ac:dyDescent="0.25">
      <c r="A76" s="7">
        <v>5</v>
      </c>
      <c r="B76" s="7">
        <v>20.791161420752843</v>
      </c>
      <c r="C76" s="7">
        <v>0.59334334496585583</v>
      </c>
      <c r="D76"/>
      <c r="E76"/>
      <c r="F76"/>
      <c r="G76"/>
      <c r="H76"/>
      <c r="I76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</row>
    <row r="77" spans="1:24" x14ac:dyDescent="0.25">
      <c r="A77" s="7">
        <v>6</v>
      </c>
      <c r="B77" s="7">
        <v>42.796303780178178</v>
      </c>
      <c r="C77" s="7">
        <v>-2.7294248740780347E-2</v>
      </c>
      <c r="D77"/>
      <c r="E77"/>
      <c r="F77"/>
      <c r="G77"/>
      <c r="H77"/>
      <c r="I77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</row>
    <row r="78" spans="1:24" x14ac:dyDescent="0.25">
      <c r="A78" s="7">
        <v>7</v>
      </c>
      <c r="B78" s="7">
        <v>219.142648643325</v>
      </c>
      <c r="C78" s="7">
        <v>-5.2976009861380078</v>
      </c>
      <c r="D78"/>
      <c r="E78"/>
      <c r="F78"/>
      <c r="G78"/>
      <c r="H78"/>
      <c r="I78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</row>
    <row r="79" spans="1:24" ht="15.75" thickBot="1" x14ac:dyDescent="0.3">
      <c r="A79" s="9">
        <v>8</v>
      </c>
      <c r="B79" s="9">
        <v>920.50054699429393</v>
      </c>
      <c r="C79" s="9">
        <v>1.245931878945612</v>
      </c>
      <c r="D79"/>
      <c r="E79"/>
      <c r="F79"/>
      <c r="G79"/>
      <c r="H79"/>
      <c r="I7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</row>
    <row r="80" spans="1:24" x14ac:dyDescent="0.25">
      <c r="A80"/>
      <c r="B80"/>
      <c r="C80"/>
      <c r="D80"/>
      <c r="E80"/>
      <c r="F80"/>
      <c r="G80"/>
      <c r="H80"/>
      <c r="I80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</row>
    <row r="81" spans="1:24" x14ac:dyDescent="0.25">
      <c r="A81"/>
      <c r="B81"/>
      <c r="C81"/>
      <c r="D81"/>
      <c r="E81"/>
      <c r="F81"/>
      <c r="G81"/>
      <c r="H81"/>
      <c r="I81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</row>
    <row r="82" spans="1:24" x14ac:dyDescent="0.25">
      <c r="A82"/>
      <c r="B82"/>
      <c r="C82"/>
      <c r="D82"/>
      <c r="E82"/>
      <c r="F82"/>
      <c r="G82"/>
      <c r="H82"/>
      <c r="I82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</row>
    <row r="83" spans="1:24" x14ac:dyDescent="0.25">
      <c r="A83"/>
      <c r="B83"/>
      <c r="C83"/>
      <c r="D83"/>
      <c r="E83"/>
      <c r="F83"/>
      <c r="G83"/>
      <c r="H83"/>
      <c r="I83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</row>
    <row r="84" spans="1:24" x14ac:dyDescent="0.25">
      <c r="A84"/>
      <c r="B84"/>
      <c r="C84"/>
      <c r="D84"/>
      <c r="E84"/>
      <c r="F84"/>
      <c r="G84"/>
      <c r="H84"/>
      <c r="I84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</row>
    <row r="85" spans="1:24" x14ac:dyDescent="0.25">
      <c r="A85"/>
      <c r="B85"/>
      <c r="C85"/>
      <c r="D85"/>
      <c r="E85"/>
      <c r="F85"/>
      <c r="G85"/>
      <c r="H85"/>
      <c r="I85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</row>
    <row r="86" spans="1:24" x14ac:dyDescent="0.25">
      <c r="A86"/>
      <c r="B86"/>
      <c r="C86"/>
      <c r="D86"/>
      <c r="E86"/>
      <c r="F86"/>
      <c r="G86"/>
      <c r="H86"/>
      <c r="I86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</row>
    <row r="87" spans="1:24" x14ac:dyDescent="0.25">
      <c r="A87"/>
      <c r="B87"/>
      <c r="C87"/>
      <c r="D87"/>
      <c r="E87"/>
      <c r="F87"/>
      <c r="G87"/>
      <c r="H87"/>
      <c r="I87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</row>
    <row r="88" spans="1:24" x14ac:dyDescent="0.25">
      <c r="A88"/>
      <c r="B88"/>
      <c r="C88"/>
      <c r="D88"/>
      <c r="E88"/>
      <c r="F88"/>
      <c r="G88"/>
      <c r="H88"/>
      <c r="I88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</row>
    <row r="89" spans="1:24" x14ac:dyDescent="0.25">
      <c r="A89"/>
      <c r="B89"/>
      <c r="C89"/>
      <c r="D89"/>
      <c r="E89"/>
      <c r="F89"/>
      <c r="G89"/>
      <c r="H89"/>
      <c r="I8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</row>
    <row r="90" spans="1:24" x14ac:dyDescent="0.25">
      <c r="A90"/>
      <c r="B90"/>
      <c r="C90"/>
      <c r="D90"/>
      <c r="E90"/>
      <c r="F90"/>
      <c r="G90"/>
      <c r="H90"/>
      <c r="I90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</row>
    <row r="91" spans="1:24" x14ac:dyDescent="0.25">
      <c r="A91"/>
      <c r="B91"/>
      <c r="C91"/>
      <c r="D91"/>
      <c r="E91"/>
      <c r="F91"/>
      <c r="G91"/>
      <c r="H91"/>
      <c r="I91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</row>
    <row r="92" spans="1:24" x14ac:dyDescent="0.25">
      <c r="A92"/>
      <c r="B92"/>
      <c r="C92"/>
      <c r="D92"/>
      <c r="E92"/>
      <c r="F92"/>
      <c r="G92"/>
      <c r="H92"/>
      <c r="I92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</row>
    <row r="93" spans="1:24" x14ac:dyDescent="0.25">
      <c r="A93"/>
      <c r="B93"/>
      <c r="C93"/>
      <c r="D93"/>
      <c r="E93"/>
      <c r="F93"/>
      <c r="G93"/>
      <c r="H93"/>
      <c r="I93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</row>
    <row r="94" spans="1:24" x14ac:dyDescent="0.25">
      <c r="A94"/>
      <c r="B94"/>
      <c r="C94"/>
      <c r="D94"/>
      <c r="E94"/>
      <c r="F94"/>
      <c r="G94"/>
      <c r="H94"/>
      <c r="I94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</row>
    <row r="95" spans="1:24" x14ac:dyDescent="0.25">
      <c r="A95"/>
      <c r="B95"/>
      <c r="C95"/>
      <c r="D95"/>
      <c r="E95"/>
      <c r="F95"/>
      <c r="G95"/>
      <c r="H95"/>
      <c r="I95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</row>
    <row r="96" spans="1:24" x14ac:dyDescent="0.25">
      <c r="A96"/>
      <c r="B96"/>
      <c r="C96"/>
      <c r="D96"/>
      <c r="E96"/>
      <c r="F96"/>
      <c r="G96"/>
      <c r="H96"/>
      <c r="I96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</row>
    <row r="97" spans="1:24" x14ac:dyDescent="0.25">
      <c r="A97"/>
      <c r="B97"/>
      <c r="C97"/>
      <c r="D97"/>
      <c r="E97"/>
      <c r="F97"/>
      <c r="G97"/>
      <c r="H97"/>
      <c r="I97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</row>
    <row r="98" spans="1:24" x14ac:dyDescent="0.25">
      <c r="A98"/>
      <c r="B98"/>
      <c r="C98"/>
      <c r="D98"/>
      <c r="E98"/>
      <c r="F98"/>
      <c r="G98"/>
      <c r="H98"/>
      <c r="I98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</row>
    <row r="99" spans="1:24" x14ac:dyDescent="0.25">
      <c r="A99"/>
      <c r="B99"/>
      <c r="C99"/>
      <c r="D99"/>
      <c r="E99"/>
      <c r="F99"/>
      <c r="G99"/>
      <c r="H99"/>
      <c r="I9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</row>
    <row r="100" spans="1:24" x14ac:dyDescent="0.25">
      <c r="A100"/>
      <c r="B100"/>
      <c r="C100"/>
      <c r="D100"/>
      <c r="E100"/>
      <c r="F100"/>
      <c r="G100"/>
      <c r="H100"/>
      <c r="I100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</row>
    <row r="101" spans="1:24" x14ac:dyDescent="0.25">
      <c r="A101"/>
      <c r="B101"/>
      <c r="C101"/>
      <c r="D101"/>
      <c r="E101"/>
      <c r="F101"/>
      <c r="G101"/>
      <c r="H101"/>
      <c r="I101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</row>
    <row r="102" spans="1:24" x14ac:dyDescent="0.25">
      <c r="A102"/>
      <c r="B102"/>
      <c r="C102"/>
      <c r="D102"/>
      <c r="E102"/>
      <c r="F102"/>
      <c r="G102"/>
      <c r="H102"/>
      <c r="I102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</row>
    <row r="103" spans="1:24" x14ac:dyDescent="0.25">
      <c r="A103"/>
      <c r="B103"/>
      <c r="C103"/>
      <c r="D103"/>
      <c r="E103"/>
      <c r="F103"/>
      <c r="G103"/>
      <c r="H103"/>
      <c r="I103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</row>
    <row r="104" spans="1:24" x14ac:dyDescent="0.25">
      <c r="A104"/>
      <c r="B104"/>
      <c r="C104"/>
      <c r="D104"/>
      <c r="E104"/>
      <c r="F104"/>
      <c r="G104"/>
      <c r="H104"/>
      <c r="I104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</row>
    <row r="105" spans="1:24" x14ac:dyDescent="0.25">
      <c r="A105"/>
      <c r="B105"/>
      <c r="C105"/>
      <c r="D105"/>
      <c r="E105"/>
      <c r="F105"/>
      <c r="G105"/>
      <c r="H105"/>
      <c r="I105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</row>
    <row r="106" spans="1:24" x14ac:dyDescent="0.25">
      <c r="A106"/>
      <c r="B106"/>
      <c r="C106"/>
      <c r="D106"/>
      <c r="E106"/>
      <c r="F106"/>
      <c r="G106"/>
      <c r="H106"/>
      <c r="I106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</row>
    <row r="107" spans="1:24" x14ac:dyDescent="0.25">
      <c r="A107"/>
      <c r="B107"/>
      <c r="C107"/>
      <c r="D107"/>
      <c r="E107"/>
      <c r="F107"/>
      <c r="G107"/>
      <c r="H107"/>
      <c r="I107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</row>
    <row r="108" spans="1:24" x14ac:dyDescent="0.25">
      <c r="A108"/>
      <c r="B108"/>
      <c r="C108"/>
      <c r="D108"/>
      <c r="E108"/>
      <c r="F108"/>
      <c r="G108"/>
      <c r="H108"/>
      <c r="I108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</row>
    <row r="109" spans="1:24" x14ac:dyDescent="0.25">
      <c r="A109"/>
      <c r="B109"/>
      <c r="C109"/>
      <c r="D109"/>
      <c r="E109"/>
      <c r="F109"/>
      <c r="G109"/>
      <c r="H109"/>
      <c r="I10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</row>
    <row r="110" spans="1:24" x14ac:dyDescent="0.25">
      <c r="A110"/>
      <c r="B110"/>
      <c r="C110"/>
      <c r="D110"/>
      <c r="E110"/>
      <c r="F110"/>
      <c r="G110"/>
      <c r="H110"/>
      <c r="I110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</row>
    <row r="111" spans="1:24" x14ac:dyDescent="0.25">
      <c r="A111"/>
      <c r="B111"/>
      <c r="C111"/>
      <c r="D111"/>
      <c r="E111"/>
      <c r="F111"/>
      <c r="G111"/>
      <c r="H111"/>
      <c r="I111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3"/>
  <sheetViews>
    <sheetView zoomScale="79" workbookViewId="0">
      <selection activeCell="E16" sqref="E16"/>
    </sheetView>
  </sheetViews>
  <sheetFormatPr defaultRowHeight="15" x14ac:dyDescent="0.25"/>
  <cols>
    <col min="1" max="1" width="9.85546875" bestFit="1" customWidth="1"/>
    <col min="2" max="2" width="9.85546875" customWidth="1"/>
    <col min="3" max="4" width="12" bestFit="1" customWidth="1"/>
    <col min="5" max="5" width="27" bestFit="1" customWidth="1"/>
    <col min="6" max="6" width="11.85546875" bestFit="1" customWidth="1"/>
    <col min="7" max="7" width="16.7109375" bestFit="1" customWidth="1"/>
    <col min="8" max="8" width="30.85546875" bestFit="1" customWidth="1"/>
  </cols>
  <sheetData>
    <row r="1" spans="1:7" x14ac:dyDescent="0.25">
      <c r="A1" t="s">
        <v>10</v>
      </c>
      <c r="B1" t="s">
        <v>99</v>
      </c>
      <c r="C1" t="s">
        <v>24</v>
      </c>
      <c r="D1" t="s">
        <v>21</v>
      </c>
      <c r="E1" t="s">
        <v>98</v>
      </c>
      <c r="F1" t="s">
        <v>96</v>
      </c>
      <c r="G1" t="s">
        <v>97</v>
      </c>
    </row>
    <row r="2" spans="1:7" x14ac:dyDescent="0.25">
      <c r="A2" s="12" t="s">
        <v>78</v>
      </c>
      <c r="B2" s="12" t="s">
        <v>100</v>
      </c>
      <c r="C2">
        <v>1.21055555555556</v>
      </c>
      <c r="D2">
        <v>8.9823222222222193E-2</v>
      </c>
      <c r="E2" s="1" t="s">
        <v>102</v>
      </c>
      <c r="F2" s="1">
        <f>C2*'Calibration Data'!$B$31+'Calibration Data'!$B$30</f>
        <v>0.15310399639928571</v>
      </c>
      <c r="G2" s="15">
        <f>'Calibration Data'!$B$20</f>
        <v>0.15745067498955981</v>
      </c>
    </row>
    <row r="3" spans="1:7" x14ac:dyDescent="0.25">
      <c r="A3" s="12" t="s">
        <v>79</v>
      </c>
      <c r="B3" s="12" t="s">
        <v>100</v>
      </c>
      <c r="C3">
        <v>1.2450000000000001</v>
      </c>
      <c r="D3">
        <v>9.1134000000000007E-2</v>
      </c>
      <c r="E3" s="1" t="s">
        <v>102</v>
      </c>
      <c r="F3" s="1">
        <f>C3*'Calibration Data'!$B$31+'Calibration Data'!$B$30</f>
        <v>0.1585873338251701</v>
      </c>
      <c r="G3" s="15">
        <f>'Calibration Data'!$B$20</f>
        <v>0.15745067498955981</v>
      </c>
    </row>
    <row r="4" spans="1:7" x14ac:dyDescent="0.25">
      <c r="A4" s="12" t="s">
        <v>80</v>
      </c>
      <c r="B4" s="12" t="s">
        <v>100</v>
      </c>
      <c r="C4">
        <v>1.17444444444444</v>
      </c>
      <c r="D4">
        <v>8.8553111111111096E-2</v>
      </c>
      <c r="E4" s="1" t="s">
        <v>102</v>
      </c>
      <c r="F4" s="1">
        <f>C4*'Calibration Data'!$B$31+'Calibration Data'!$B$30</f>
        <v>0.14735533619472729</v>
      </c>
      <c r="G4" s="15">
        <f>'Calibration Data'!$B$20</f>
        <v>0.15745067498955981</v>
      </c>
    </row>
    <row r="5" spans="1:7" x14ac:dyDescent="0.25">
      <c r="A5" s="12" t="s">
        <v>81</v>
      </c>
      <c r="B5" s="12" t="s">
        <v>100</v>
      </c>
      <c r="C5">
        <v>1.1783333333333299</v>
      </c>
      <c r="D5">
        <v>8.8728500000000002E-2</v>
      </c>
      <c r="E5" s="1" t="s">
        <v>102</v>
      </c>
      <c r="F5" s="1">
        <f>C5*'Calibration Data'!$B$31+'Calibration Data'!$B$30</f>
        <v>0.14797442267829514</v>
      </c>
      <c r="G5" s="15">
        <f>'Calibration Data'!$B$20</f>
        <v>0.15745067498955981</v>
      </c>
    </row>
    <row r="6" spans="1:7" x14ac:dyDescent="0.25">
      <c r="A6" s="12" t="s">
        <v>82</v>
      </c>
      <c r="B6" s="12" t="s">
        <v>100</v>
      </c>
      <c r="C6">
        <v>1.2150000000000001</v>
      </c>
      <c r="D6">
        <v>9.0112499999999998E-2</v>
      </c>
      <c r="E6" s="1" t="s">
        <v>102</v>
      </c>
      <c r="F6" s="1">
        <f>C6*'Calibration Data'!$B$31+'Calibration Data'!$B$30</f>
        <v>0.15381152380907662</v>
      </c>
      <c r="G6" s="15">
        <f>'Calibration Data'!$B$20</f>
        <v>0.15745067498955981</v>
      </c>
    </row>
    <row r="7" spans="1:7" x14ac:dyDescent="0.25">
      <c r="A7" s="12" t="s">
        <v>83</v>
      </c>
      <c r="B7" s="12" t="s">
        <v>100</v>
      </c>
      <c r="C7">
        <v>1.145</v>
      </c>
      <c r="D7">
        <v>8.74016666666666E-2</v>
      </c>
      <c r="E7" s="1" t="s">
        <v>102</v>
      </c>
      <c r="F7" s="1">
        <f>C7*'Calibration Data'!$B$31+'Calibration Data'!$B$30</f>
        <v>0.14266796710485849</v>
      </c>
      <c r="G7" s="15">
        <f>'Calibration Data'!$B$20</f>
        <v>0.15745067498955981</v>
      </c>
    </row>
    <row r="8" spans="1:7" ht="15.75" customHeight="1" x14ac:dyDescent="0.25">
      <c r="A8" s="12" t="s">
        <v>84</v>
      </c>
      <c r="B8" s="12" t="s">
        <v>100</v>
      </c>
      <c r="C8">
        <v>1.15888888888889</v>
      </c>
      <c r="D8">
        <v>8.7921037037037006E-2</v>
      </c>
      <c r="E8" s="1" t="s">
        <v>102</v>
      </c>
      <c r="F8" s="1">
        <f>C8*'Calibration Data'!$B$31+'Calibration Data'!$B$30</f>
        <v>0.1448789902604575</v>
      </c>
      <c r="G8" s="15">
        <f>'Calibration Data'!$B$20</f>
        <v>0.15745067498955981</v>
      </c>
    </row>
    <row r="9" spans="1:7" x14ac:dyDescent="0.25">
      <c r="A9" s="12" t="s">
        <v>85</v>
      </c>
      <c r="B9" s="12" t="s">
        <v>100</v>
      </c>
      <c r="C9">
        <v>1.19</v>
      </c>
      <c r="D9">
        <v>8.9131000000000002E-2</v>
      </c>
      <c r="E9" s="1" t="s">
        <v>102</v>
      </c>
      <c r="F9" s="1">
        <f>C9*'Calibration Data'!$B$31+'Calibration Data'!$B$30</f>
        <v>0.14983168212899869</v>
      </c>
      <c r="G9" s="15">
        <f>'Calibration Data'!$B$20</f>
        <v>0.15745067498955981</v>
      </c>
    </row>
    <row r="10" spans="1:7" x14ac:dyDescent="0.25">
      <c r="A10" s="12" t="s">
        <v>86</v>
      </c>
      <c r="B10" s="12" t="s">
        <v>100</v>
      </c>
      <c r="C10">
        <v>1.2177777777777801</v>
      </c>
      <c r="D10">
        <v>9.0074962962962996E-2</v>
      </c>
      <c r="E10" s="1" t="s">
        <v>102</v>
      </c>
      <c r="F10" s="1">
        <f>C10*'Calibration Data'!$B$31+'Calibration Data'!$B$30</f>
        <v>0.15425372844019675</v>
      </c>
      <c r="G10" s="15">
        <f>'Calibration Data'!$B$20</f>
        <v>0.15745067498955981</v>
      </c>
    </row>
    <row r="11" spans="1:7" x14ac:dyDescent="0.25">
      <c r="A11" s="12" t="s">
        <v>87</v>
      </c>
      <c r="B11" s="12" t="s">
        <v>100</v>
      </c>
      <c r="C11">
        <v>1.21444444444444</v>
      </c>
      <c r="D11">
        <v>8.9990333333333297E-2</v>
      </c>
      <c r="E11" s="1" t="s">
        <v>102</v>
      </c>
      <c r="F11" s="1">
        <f>C11*'Calibration Data'!$B$31+'Calibration Data'!$B$30</f>
        <v>0.15372308288285194</v>
      </c>
      <c r="G11" s="15">
        <f>'Calibration Data'!$B$20</f>
        <v>0.15745067498955981</v>
      </c>
    </row>
    <row r="12" spans="1:7" x14ac:dyDescent="0.25">
      <c r="A12" s="12" t="s">
        <v>88</v>
      </c>
      <c r="B12" s="12" t="s">
        <v>100</v>
      </c>
      <c r="C12">
        <v>1.1983333333333299</v>
      </c>
      <c r="D12">
        <v>8.9435611111111105E-2</v>
      </c>
      <c r="E12" s="1" t="s">
        <v>102</v>
      </c>
      <c r="F12" s="1">
        <f>C12*'Calibration Data'!$B$31+'Calibration Data'!$B$30</f>
        <v>0.15115829602235747</v>
      </c>
      <c r="G12" s="15">
        <f>'Calibration Data'!$B$20</f>
        <v>0.15745067498955981</v>
      </c>
    </row>
    <row r="13" spans="1:7" x14ac:dyDescent="0.25">
      <c r="A13" s="12" t="s">
        <v>89</v>
      </c>
      <c r="B13" s="12" t="s">
        <v>100</v>
      </c>
      <c r="C13">
        <v>1.2233333333333301</v>
      </c>
      <c r="D13">
        <v>9.0282000000000001E-2</v>
      </c>
      <c r="E13" s="1" t="s">
        <v>102</v>
      </c>
      <c r="F13" s="1">
        <f>C13*'Calibration Data'!$B$31+'Calibration Data'!$B$30</f>
        <v>0.15513813770243537</v>
      </c>
      <c r="G13" s="15">
        <f>'Calibration Data'!$B$20</f>
        <v>0.15745067498955981</v>
      </c>
    </row>
    <row r="14" spans="1:7" x14ac:dyDescent="0.25">
      <c r="A14" s="12" t="s">
        <v>90</v>
      </c>
      <c r="B14" s="12" t="s">
        <v>100</v>
      </c>
      <c r="C14">
        <v>1.28</v>
      </c>
      <c r="D14">
        <v>9.2373333333333293E-2</v>
      </c>
      <c r="E14" s="1" t="s">
        <v>102</v>
      </c>
      <c r="F14" s="1">
        <f>C14*'Calibration Data'!$B$31+'Calibration Data'!$B$30</f>
        <v>0.16415911217727913</v>
      </c>
      <c r="G14" s="15">
        <f>'Calibration Data'!$B$20</f>
        <v>0.15745067498955981</v>
      </c>
    </row>
    <row r="15" spans="1:7" x14ac:dyDescent="0.25">
      <c r="A15" s="12" t="s">
        <v>91</v>
      </c>
      <c r="B15" s="12" t="s">
        <v>100</v>
      </c>
      <c r="C15">
        <v>1.2949999999999999</v>
      </c>
      <c r="D15">
        <v>9.2980999999999994E-2</v>
      </c>
      <c r="E15" s="1" t="s">
        <v>102</v>
      </c>
      <c r="F15" s="1">
        <f>C15*'Calibration Data'!$B$31+'Calibration Data'!$B$30</f>
        <v>0.16654701718532586</v>
      </c>
      <c r="G15" s="15">
        <f>'Calibration Data'!$B$20</f>
        <v>0.15745067498955981</v>
      </c>
    </row>
    <row r="16" spans="1:7" x14ac:dyDescent="0.25">
      <c r="A16" s="12" t="s">
        <v>92</v>
      </c>
      <c r="B16" s="12" t="s">
        <v>100</v>
      </c>
      <c r="C16">
        <v>1.3205555555555599</v>
      </c>
      <c r="D16">
        <v>9.3838677777777796E-2</v>
      </c>
      <c r="E16" s="1" t="s">
        <v>102</v>
      </c>
      <c r="F16" s="1">
        <f>C16*'Calibration Data'!$B$31+'Calibration Data'!$B$30</f>
        <v>0.17061529979162843</v>
      </c>
      <c r="G16" s="15">
        <f>'Calibration Data'!$B$20</f>
        <v>0.15745067498955981</v>
      </c>
    </row>
    <row r="17" spans="1:7" x14ac:dyDescent="0.25">
      <c r="A17" s="12" t="s">
        <v>93</v>
      </c>
      <c r="B17" s="12" t="s">
        <v>100</v>
      </c>
      <c r="C17">
        <v>3.06555555555556</v>
      </c>
      <c r="D17">
        <v>0.14295707407407399</v>
      </c>
      <c r="E17" s="1" t="s">
        <v>102</v>
      </c>
      <c r="F17" s="1">
        <f>C17*'Calibration Data'!$B$31+'Calibration Data'!$B$30</f>
        <v>0.44840824906106552</v>
      </c>
      <c r="G17" s="15">
        <f>'Calibration Data'!$B$20</f>
        <v>0.15745067498955981</v>
      </c>
    </row>
    <row r="18" spans="1:7" x14ac:dyDescent="0.25">
      <c r="A18" s="12" t="s">
        <v>94</v>
      </c>
      <c r="B18" s="12" t="s">
        <v>100</v>
      </c>
      <c r="C18">
        <v>2.56111111111111</v>
      </c>
      <c r="D18">
        <v>0.13078740740740699</v>
      </c>
      <c r="E18" s="1" t="s">
        <v>102</v>
      </c>
      <c r="F18" s="1">
        <f>C18*'Calibration Data'!$B$31+'Calibration Data'!$B$30</f>
        <v>0.36810388804971511</v>
      </c>
      <c r="G18" s="15">
        <f>'Calibration Data'!$B$20</f>
        <v>0.15745067498955981</v>
      </c>
    </row>
    <row r="19" spans="1:7" x14ac:dyDescent="0.25">
      <c r="A19" s="12" t="s">
        <v>95</v>
      </c>
      <c r="B19" s="12" t="s">
        <v>100</v>
      </c>
      <c r="C19">
        <v>2.5472222222222198</v>
      </c>
      <c r="D19">
        <v>0.13041777777777799</v>
      </c>
      <c r="E19" s="1" t="s">
        <v>102</v>
      </c>
      <c r="F19" s="1">
        <f>C19*'Calibration Data'!$B$31+'Calibration Data'!$B$30</f>
        <v>0.36589286489411604</v>
      </c>
      <c r="G19" s="15">
        <f>'Calibration Data'!$B$20</f>
        <v>0.15745067498955981</v>
      </c>
    </row>
    <row r="20" spans="1:7" x14ac:dyDescent="0.25">
      <c r="A20" s="12" t="s">
        <v>110</v>
      </c>
      <c r="B20" s="12" t="s">
        <v>100</v>
      </c>
      <c r="C20">
        <v>5.0379166666666704</v>
      </c>
      <c r="D20">
        <v>0.18325421875</v>
      </c>
      <c r="E20" s="1" t="s">
        <v>102</v>
      </c>
      <c r="F20" s="1">
        <f>C20*'Calibration Data'!$B$31+'Calibration Data'!$B$30</f>
        <v>0.76239564738765531</v>
      </c>
      <c r="G20" s="15">
        <f>'Calibration Data'!$B$20</f>
        <v>0.15745067498955981</v>
      </c>
    </row>
    <row r="21" spans="1:7" x14ac:dyDescent="0.25">
      <c r="A21" s="12" t="s">
        <v>111</v>
      </c>
      <c r="B21" s="12" t="s">
        <v>100</v>
      </c>
      <c r="C21">
        <v>8.6120833333333309</v>
      </c>
      <c r="D21">
        <v>0.23941591666666701</v>
      </c>
      <c r="E21" s="1" t="s">
        <v>102</v>
      </c>
      <c r="F21" s="1">
        <f>C21*'Calibration Data'!$B$31+'Calibration Data'!$B$30</f>
        <v>1.3313803462494576</v>
      </c>
      <c r="G21" s="15">
        <f>'Calibration Data'!$B$20</f>
        <v>0.15745067498955981</v>
      </c>
    </row>
    <row r="22" spans="1:7" x14ac:dyDescent="0.25">
      <c r="A22" s="12" t="s">
        <v>112</v>
      </c>
      <c r="B22" s="12" t="s">
        <v>100</v>
      </c>
      <c r="C22">
        <v>8.5741666666666703</v>
      </c>
      <c r="D22">
        <v>0.23900489583333301</v>
      </c>
      <c r="E22" s="1" t="s">
        <v>102</v>
      </c>
      <c r="F22" s="1">
        <f>C22*'Calibration Data'!$B$31+'Calibration Data'!$B$30</f>
        <v>1.3253442530346737</v>
      </c>
      <c r="G22" s="15">
        <f>'Calibration Data'!$B$20</f>
        <v>0.15745067498955981</v>
      </c>
    </row>
    <row r="23" spans="1:7" x14ac:dyDescent="0.25">
      <c r="A23" s="12" t="s">
        <v>113</v>
      </c>
      <c r="B23" s="12" t="s">
        <v>100</v>
      </c>
      <c r="C23">
        <v>5.6879166666666698</v>
      </c>
      <c r="D23">
        <v>0.194668947916667</v>
      </c>
      <c r="E23" s="1" t="s">
        <v>102</v>
      </c>
      <c r="F23" s="1">
        <f>C23*'Calibration Data'!$B$31+'Calibration Data'!$B$30</f>
        <v>0.86587153106968051</v>
      </c>
      <c r="G23" s="15">
        <f>'Calibration Data'!$B$20</f>
        <v>0.15745067498955981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3"/>
  <sheetViews>
    <sheetView workbookViewId="0">
      <pane xSplit="1" ySplit="1" topLeftCell="F2" activePane="bottomRight" state="frozen"/>
      <selection pane="topRight" activeCell="B1" sqref="B1"/>
      <selection pane="bottomLeft" activeCell="A2" sqref="A2"/>
      <selection pane="bottomRight" activeCell="I15" sqref="I15"/>
    </sheetView>
  </sheetViews>
  <sheetFormatPr defaultRowHeight="15" x14ac:dyDescent="0.25"/>
  <cols>
    <col min="1" max="1" width="9.85546875" bestFit="1" customWidth="1"/>
    <col min="2" max="2" width="24.28515625" bestFit="1" customWidth="1"/>
    <col min="3" max="3" width="16.5703125" bestFit="1" customWidth="1"/>
    <col min="4" max="4" width="8.140625" bestFit="1" customWidth="1"/>
    <col min="5" max="5" width="15.7109375" bestFit="1" customWidth="1"/>
    <col min="6" max="6" width="20.5703125" bestFit="1" customWidth="1"/>
    <col min="7" max="7" width="17.5703125" bestFit="1" customWidth="1"/>
    <col min="8" max="8" width="22.42578125" bestFit="1" customWidth="1"/>
    <col min="9" max="9" width="19.7109375" bestFit="1" customWidth="1"/>
    <col min="10" max="11" width="24.7109375" bestFit="1" customWidth="1"/>
    <col min="12" max="12" width="29.85546875" bestFit="1" customWidth="1"/>
    <col min="13" max="13" width="16.85546875" bestFit="1" customWidth="1"/>
    <col min="14" max="14" width="18.140625" bestFit="1" customWidth="1"/>
    <col min="15" max="15" width="9" bestFit="1" customWidth="1"/>
    <col min="16" max="16" width="10.140625" bestFit="1" customWidth="1"/>
    <col min="17" max="17" width="13.140625" bestFit="1" customWidth="1"/>
    <col min="18" max="18" width="14.28515625" bestFit="1" customWidth="1"/>
  </cols>
  <sheetData>
    <row r="1" spans="1:19" x14ac:dyDescent="0.25">
      <c r="A1" t="s">
        <v>10</v>
      </c>
      <c r="B1" t="s">
        <v>27</v>
      </c>
      <c r="C1" t="s">
        <v>28</v>
      </c>
      <c r="D1" t="s">
        <v>12</v>
      </c>
      <c r="E1" t="s">
        <v>25</v>
      </c>
      <c r="F1" t="s">
        <v>26</v>
      </c>
      <c r="G1" t="s">
        <v>74</v>
      </c>
      <c r="H1" t="s">
        <v>75</v>
      </c>
      <c r="I1" t="s">
        <v>104</v>
      </c>
      <c r="J1" t="s">
        <v>105</v>
      </c>
      <c r="K1" t="s">
        <v>76</v>
      </c>
      <c r="L1" t="s">
        <v>77</v>
      </c>
      <c r="M1" t="s">
        <v>33</v>
      </c>
      <c r="N1" t="s">
        <v>34</v>
      </c>
      <c r="O1" t="s">
        <v>29</v>
      </c>
      <c r="P1" t="s">
        <v>30</v>
      </c>
      <c r="Q1" t="s">
        <v>31</v>
      </c>
      <c r="R1" t="s">
        <v>32</v>
      </c>
      <c r="S1" t="s">
        <v>119</v>
      </c>
    </row>
    <row r="2" spans="1:19" x14ac:dyDescent="0.25">
      <c r="A2" s="13" t="s">
        <v>78</v>
      </c>
      <c r="B2">
        <v>0</v>
      </c>
      <c r="C2">
        <v>0</v>
      </c>
      <c r="D2">
        <v>8.9600000000000009</v>
      </c>
      <c r="E2" s="1">
        <v>0.03</v>
      </c>
      <c r="F2" s="14">
        <v>9.0000000000000006E-5</v>
      </c>
      <c r="G2" s="1">
        <v>100</v>
      </c>
      <c r="H2" s="1">
        <v>5</v>
      </c>
      <c r="I2" s="1">
        <f>'Count-&gt;Actual Activity'!F2</f>
        <v>0.15310399639928571</v>
      </c>
      <c r="J2" s="1">
        <f>'Count-&gt;Actual Activity'!G2</f>
        <v>0.15745067498955981</v>
      </c>
      <c r="K2">
        <v>10</v>
      </c>
      <c r="L2">
        <v>0.02</v>
      </c>
      <c r="M2">
        <f>Parameters!$B$6*'Bottle Results'!B2</f>
        <v>0</v>
      </c>
      <c r="N2" t="e">
        <f>SQRT((C2/B2)^2+(Parameters!$C$6/Parameters!$B$6))</f>
        <v>#DIV/0!</v>
      </c>
      <c r="O2">
        <f>I2/K2</f>
        <v>1.5310399639928571E-2</v>
      </c>
      <c r="P2">
        <v>2.3297918868665893E-2</v>
      </c>
      <c r="Q2">
        <f>(M2-O2*G2)/E2</f>
        <v>-51.034665466428571</v>
      </c>
      <c r="S2" t="e">
        <f t="shared" ref="S2:S23" si="0">Q2*E2/M2</f>
        <v>#DIV/0!</v>
      </c>
    </row>
    <row r="3" spans="1:19" x14ac:dyDescent="0.25">
      <c r="A3" s="13" t="s">
        <v>79</v>
      </c>
      <c r="B3">
        <v>0</v>
      </c>
      <c r="C3">
        <v>0</v>
      </c>
      <c r="D3">
        <v>8.9499999999999993</v>
      </c>
      <c r="E3" s="1">
        <v>0.03</v>
      </c>
      <c r="F3" s="14">
        <v>9.0000000000000006E-5</v>
      </c>
      <c r="G3" s="1">
        <v>100</v>
      </c>
      <c r="H3" s="1">
        <v>5</v>
      </c>
      <c r="I3" s="1">
        <f>'Count-&gt;Actual Activity'!F3</f>
        <v>0.1585873338251701</v>
      </c>
      <c r="J3" s="1">
        <f>'Count-&gt;Actual Activity'!G3</f>
        <v>0.15745067498955981</v>
      </c>
      <c r="K3">
        <v>10</v>
      </c>
      <c r="L3">
        <v>0.02</v>
      </c>
      <c r="M3">
        <f>Parameters!$B$6*'Bottle Results'!B3</f>
        <v>0</v>
      </c>
      <c r="N3" t="e">
        <f>SQRT((C3/B3)^2+(Parameters!$C$6/Parameters!$B$6))</f>
        <v>#DIV/0!</v>
      </c>
      <c r="O3">
        <f t="shared" ref="O3:O23" si="1">I3/K3</f>
        <v>1.5858733382517011E-2</v>
      </c>
      <c r="P3">
        <v>2.3297922254460427E-2</v>
      </c>
      <c r="Q3">
        <f t="shared" ref="Q3:Q23" si="2">(M3-O3*G3)/E3</f>
        <v>-52.862444608390042</v>
      </c>
      <c r="S3" t="e">
        <f t="shared" si="0"/>
        <v>#DIV/0!</v>
      </c>
    </row>
    <row r="4" spans="1:19" x14ac:dyDescent="0.25">
      <c r="A4" s="13" t="s">
        <v>80</v>
      </c>
      <c r="B4">
        <v>0</v>
      </c>
      <c r="C4">
        <v>0</v>
      </c>
      <c r="D4">
        <v>8.93</v>
      </c>
      <c r="E4" s="1">
        <v>0.03</v>
      </c>
      <c r="F4" s="14">
        <v>9.0000000000000006E-5</v>
      </c>
      <c r="G4" s="1">
        <v>100</v>
      </c>
      <c r="H4" s="1">
        <v>5</v>
      </c>
      <c r="I4" s="1">
        <f>'Count-&gt;Actual Activity'!F4</f>
        <v>0.14735533619472729</v>
      </c>
      <c r="J4" s="1">
        <f>'Count-&gt;Actual Activity'!G4</f>
        <v>0.15745067498955981</v>
      </c>
      <c r="K4">
        <v>10</v>
      </c>
      <c r="L4">
        <v>0.02</v>
      </c>
      <c r="M4">
        <f>Parameters!$B$6*'Bottle Results'!B4</f>
        <v>0</v>
      </c>
      <c r="N4" t="e">
        <f>SQRT((C4/B4)^2+(Parameters!$C$6/Parameters!$B$6))</f>
        <v>#DIV/0!</v>
      </c>
      <c r="O4">
        <f t="shared" si="1"/>
        <v>1.4735533619472729E-2</v>
      </c>
      <c r="P4">
        <v>2.3297915424772112E-2</v>
      </c>
      <c r="Q4">
        <f t="shared" si="2"/>
        <v>-49.118445398242436</v>
      </c>
      <c r="S4" t="e">
        <f t="shared" si="0"/>
        <v>#DIV/0!</v>
      </c>
    </row>
    <row r="5" spans="1:19" x14ac:dyDescent="0.25">
      <c r="A5" s="13" t="s">
        <v>81</v>
      </c>
      <c r="B5">
        <v>7.92E-3</v>
      </c>
      <c r="C5">
        <v>1E-3</v>
      </c>
      <c r="D5">
        <v>8.92</v>
      </c>
      <c r="E5" s="1">
        <v>0.03</v>
      </c>
      <c r="F5" s="14">
        <v>9.0000000000000006E-5</v>
      </c>
      <c r="G5" s="1">
        <v>100</v>
      </c>
      <c r="H5" s="1">
        <v>5</v>
      </c>
      <c r="I5" s="1">
        <f>'Count-&gt;Actual Activity'!F5</f>
        <v>0.14797442267829514</v>
      </c>
      <c r="J5" s="1">
        <f>'Count-&gt;Actual Activity'!G5</f>
        <v>0.15745067498955981</v>
      </c>
      <c r="K5">
        <v>10</v>
      </c>
      <c r="L5">
        <v>0.02</v>
      </c>
      <c r="M5">
        <f>Parameters!$B$6*'Bottle Results'!B5</f>
        <v>3.7361495765232502</v>
      </c>
      <c r="N5">
        <f>SQRT((C5/B5)^2+(Parameters!$C$6/Parameters!$B$6))</f>
        <v>0.144617734946697</v>
      </c>
      <c r="O5">
        <f t="shared" si="1"/>
        <v>1.4797442267829513E-2</v>
      </c>
      <c r="P5">
        <v>2.3297915790452959E-2</v>
      </c>
      <c r="Q5">
        <f t="shared" si="2"/>
        <v>75.213511658009963</v>
      </c>
      <c r="S5">
        <f t="shared" si="0"/>
        <v>0.60393870842827513</v>
      </c>
    </row>
    <row r="6" spans="1:19" x14ac:dyDescent="0.25">
      <c r="A6" s="13" t="s">
        <v>82</v>
      </c>
      <c r="B6">
        <v>7.92E-3</v>
      </c>
      <c r="C6">
        <v>1E-3</v>
      </c>
      <c r="D6">
        <v>8.9</v>
      </c>
      <c r="E6" s="1">
        <v>0.03</v>
      </c>
      <c r="F6" s="14">
        <v>9.0000000000000006E-5</v>
      </c>
      <c r="G6" s="1">
        <v>100</v>
      </c>
      <c r="H6" s="1">
        <v>5</v>
      </c>
      <c r="I6" s="1">
        <f>'Count-&gt;Actual Activity'!F6</f>
        <v>0.15381152380907662</v>
      </c>
      <c r="J6" s="1">
        <f>'Count-&gt;Actual Activity'!G6</f>
        <v>0.15745067498955981</v>
      </c>
      <c r="K6">
        <v>10</v>
      </c>
      <c r="L6">
        <v>0.02</v>
      </c>
      <c r="M6">
        <f>Parameters!$B$6*'Bottle Results'!B6</f>
        <v>3.7361495765232502</v>
      </c>
      <c r="N6">
        <f>SQRT((C6/B6)^2+(Parameters!$C$6/Parameters!$B$6))</f>
        <v>0.144617734946697</v>
      </c>
      <c r="O6">
        <f t="shared" si="1"/>
        <v>1.5381152380907662E-2</v>
      </c>
      <c r="P6">
        <v>2.3297919300009583E-2</v>
      </c>
      <c r="Q6">
        <f t="shared" si="2"/>
        <v>73.2678112810828</v>
      </c>
      <c r="S6">
        <f t="shared" si="0"/>
        <v>0.58831540156856077</v>
      </c>
    </row>
    <row r="7" spans="1:19" x14ac:dyDescent="0.25">
      <c r="A7" s="13" t="s">
        <v>83</v>
      </c>
      <c r="B7">
        <v>7.92E-3</v>
      </c>
      <c r="C7">
        <v>1E-3</v>
      </c>
      <c r="D7">
        <v>8.93</v>
      </c>
      <c r="E7" s="1">
        <v>0.03</v>
      </c>
      <c r="F7" s="14">
        <v>9.0000000000000006E-5</v>
      </c>
      <c r="G7" s="1">
        <v>100</v>
      </c>
      <c r="H7" s="1">
        <v>5</v>
      </c>
      <c r="I7" s="1">
        <f>'Count-&gt;Actual Activity'!F7</f>
        <v>0.14266796710485849</v>
      </c>
      <c r="J7" s="1">
        <f>'Count-&gt;Actual Activity'!G7</f>
        <v>0.15745067498955981</v>
      </c>
      <c r="K7">
        <v>10</v>
      </c>
      <c r="L7">
        <v>0.02</v>
      </c>
      <c r="M7">
        <f>Parameters!$B$6*'Bottle Results'!B7</f>
        <v>3.7361495765232502</v>
      </c>
      <c r="N7">
        <f>SQRT((C7/B7)^2+(Parameters!$C$6/Parameters!$B$6))</f>
        <v>0.144617734946697</v>
      </c>
      <c r="O7">
        <f t="shared" si="1"/>
        <v>1.4266796710485849E-2</v>
      </c>
      <c r="P7">
        <v>2.3297912696774961E-2</v>
      </c>
      <c r="Q7">
        <f t="shared" si="2"/>
        <v>76.982330182488838</v>
      </c>
      <c r="S7">
        <f t="shared" si="0"/>
        <v>0.61814171466437628</v>
      </c>
    </row>
    <row r="8" spans="1:19" s="22" customFormat="1" ht="15.75" customHeight="1" x14ac:dyDescent="0.25">
      <c r="A8" s="21" t="s">
        <v>84</v>
      </c>
      <c r="B8" s="22">
        <v>1.5800000000000002E-2</v>
      </c>
      <c r="C8" s="22">
        <v>1E-3</v>
      </c>
      <c r="D8" s="22">
        <v>8.92</v>
      </c>
      <c r="E8" s="23">
        <v>0.03</v>
      </c>
      <c r="F8" s="24">
        <v>9.0000000000000006E-5</v>
      </c>
      <c r="G8" s="23">
        <v>100</v>
      </c>
      <c r="H8" s="23">
        <v>5</v>
      </c>
      <c r="I8" s="23">
        <f>'Count-&gt;Actual Activity'!F8</f>
        <v>0.1448789902604575</v>
      </c>
      <c r="J8" s="23">
        <f>'Count-&gt;Actual Activity'!G8</f>
        <v>0.15745067498955981</v>
      </c>
      <c r="K8" s="22">
        <v>10</v>
      </c>
      <c r="L8" s="22">
        <v>0.02</v>
      </c>
      <c r="M8" s="22">
        <f>Parameters!$B$6*'Bottle Results'!B8</f>
        <v>7.4534297107408278</v>
      </c>
      <c r="N8" s="22">
        <f>SQRT((C8/B8)^2+(Parameters!$C$6/Parameters!$B$6))</f>
        <v>9.475128905053809E-2</v>
      </c>
      <c r="O8">
        <f t="shared" si="1"/>
        <v>1.4487899026045751E-2</v>
      </c>
      <c r="P8" s="22">
        <v>2.3297913974600508E-2</v>
      </c>
      <c r="Q8">
        <f t="shared" si="2"/>
        <v>200.15466027120843</v>
      </c>
      <c r="S8" s="22">
        <f t="shared" si="0"/>
        <v>0.80562104174447569</v>
      </c>
    </row>
    <row r="9" spans="1:19" s="22" customFormat="1" x14ac:dyDescent="0.25">
      <c r="A9" s="21" t="s">
        <v>85</v>
      </c>
      <c r="B9" s="22">
        <v>1.5800000000000002E-2</v>
      </c>
      <c r="C9" s="22">
        <v>1E-3</v>
      </c>
      <c r="D9" s="22">
        <v>8.9</v>
      </c>
      <c r="E9" s="23">
        <v>0.03</v>
      </c>
      <c r="F9" s="24">
        <v>9.0000000000000006E-5</v>
      </c>
      <c r="G9" s="23">
        <v>100</v>
      </c>
      <c r="H9" s="23">
        <v>5</v>
      </c>
      <c r="I9" s="23">
        <f>'Count-&gt;Actual Activity'!F9</f>
        <v>0.14983168212899869</v>
      </c>
      <c r="J9" s="23">
        <f>'Count-&gt;Actual Activity'!G9</f>
        <v>0.15745067498955981</v>
      </c>
      <c r="K9" s="22">
        <v>10</v>
      </c>
      <c r="L9" s="22">
        <v>0.02</v>
      </c>
      <c r="M9" s="22">
        <f>Parameters!$B$6*'Bottle Results'!B9</f>
        <v>7.4534297107408278</v>
      </c>
      <c r="N9" s="22">
        <f>SQRT((C9/B9)^2+(Parameters!$C$6/Parameters!$B$6))</f>
        <v>9.475128905053809E-2</v>
      </c>
      <c r="O9">
        <f t="shared" si="1"/>
        <v>1.4983168212899869E-2</v>
      </c>
      <c r="P9" s="22">
        <v>2.3297916895026565E-2</v>
      </c>
      <c r="Q9">
        <f t="shared" si="2"/>
        <v>198.50376298169471</v>
      </c>
      <c r="S9" s="22">
        <f t="shared" si="0"/>
        <v>0.79897619224464878</v>
      </c>
    </row>
    <row r="10" spans="1:19" s="22" customFormat="1" x14ac:dyDescent="0.25">
      <c r="A10" s="21" t="s">
        <v>86</v>
      </c>
      <c r="B10" s="22">
        <v>1.5800000000000002E-2</v>
      </c>
      <c r="C10" s="22">
        <v>1E-3</v>
      </c>
      <c r="D10" s="22">
        <v>8.9</v>
      </c>
      <c r="E10" s="23">
        <v>0.03</v>
      </c>
      <c r="F10" s="24">
        <v>9.0000000000000006E-5</v>
      </c>
      <c r="G10" s="23">
        <v>100</v>
      </c>
      <c r="H10" s="23">
        <v>5</v>
      </c>
      <c r="I10" s="23">
        <f>'Count-&gt;Actual Activity'!F10</f>
        <v>0.15425372844019675</v>
      </c>
      <c r="J10" s="23">
        <f>'Count-&gt;Actual Activity'!G10</f>
        <v>0.15745067498955981</v>
      </c>
      <c r="K10" s="22">
        <v>10</v>
      </c>
      <c r="L10" s="22">
        <v>0.02</v>
      </c>
      <c r="M10" s="22">
        <f>Parameters!$B$6*'Bottle Results'!B10</f>
        <v>7.4534297107408278</v>
      </c>
      <c r="N10" s="22">
        <f>SQRT((C10/B10)^2+(Parameters!$C$6/Parameters!$B$6))</f>
        <v>9.475128905053809E-2</v>
      </c>
      <c r="O10">
        <f t="shared" si="1"/>
        <v>1.5425372844019675E-2</v>
      </c>
      <c r="P10" s="22">
        <v>2.3297919570431896E-2</v>
      </c>
      <c r="Q10">
        <f t="shared" si="2"/>
        <v>197.02974754462866</v>
      </c>
      <c r="S10" s="22">
        <f t="shared" si="0"/>
        <v>0.79304329090551673</v>
      </c>
    </row>
    <row r="11" spans="1:19" s="22" customFormat="1" x14ac:dyDescent="0.25">
      <c r="A11" s="21" t="s">
        <v>87</v>
      </c>
      <c r="B11" s="22">
        <v>7.9100000000000004E-2</v>
      </c>
      <c r="C11" s="22">
        <v>2E-3</v>
      </c>
      <c r="D11" s="22">
        <v>8.94</v>
      </c>
      <c r="E11" s="23">
        <v>0.03</v>
      </c>
      <c r="F11" s="24">
        <v>9.0000000000000006E-5</v>
      </c>
      <c r="G11" s="23">
        <v>100</v>
      </c>
      <c r="H11" s="23">
        <v>5</v>
      </c>
      <c r="I11" s="23">
        <f>'Count-&gt;Actual Activity'!F11</f>
        <v>0.15372308288285194</v>
      </c>
      <c r="J11" s="23">
        <f>'Count-&gt;Actual Activity'!G11</f>
        <v>0.15745067498955981</v>
      </c>
      <c r="K11" s="22">
        <v>10</v>
      </c>
      <c r="L11" s="22">
        <v>0.02</v>
      </c>
      <c r="M11" s="22">
        <f>Parameters!$B$6*'Bottle Results'!B11</f>
        <v>37.314322159468318</v>
      </c>
      <c r="N11" s="22">
        <f>SQRT((C11/B11)^2+(Parameters!$C$6/Parameters!$B$6))</f>
        <v>7.4908890562979766E-2</v>
      </c>
      <c r="O11">
        <f t="shared" si="1"/>
        <v>1.5372308288285194E-2</v>
      </c>
      <c r="P11" s="22">
        <v>2.3297919246001962E-2</v>
      </c>
      <c r="Q11">
        <f t="shared" si="2"/>
        <v>1192.5697110213266</v>
      </c>
      <c r="S11" s="22">
        <f t="shared" si="0"/>
        <v>0.95880319566682914</v>
      </c>
    </row>
    <row r="12" spans="1:19" s="22" customFormat="1" x14ac:dyDescent="0.25">
      <c r="A12" s="21" t="s">
        <v>88</v>
      </c>
      <c r="B12" s="22">
        <v>7.9100000000000004E-2</v>
      </c>
      <c r="C12" s="22">
        <v>2E-3</v>
      </c>
      <c r="D12" s="22">
        <v>8.89</v>
      </c>
      <c r="E12" s="23">
        <v>0.03</v>
      </c>
      <c r="F12" s="24">
        <v>9.0000000000000006E-5</v>
      </c>
      <c r="G12" s="23">
        <v>100</v>
      </c>
      <c r="H12" s="23">
        <v>5</v>
      </c>
      <c r="I12" s="23">
        <f>'Count-&gt;Actual Activity'!F12</f>
        <v>0.15115829602235747</v>
      </c>
      <c r="J12" s="23">
        <f>'Count-&gt;Actual Activity'!G12</f>
        <v>0.15745067498955981</v>
      </c>
      <c r="K12" s="22">
        <v>10</v>
      </c>
      <c r="L12" s="22">
        <v>0.02</v>
      </c>
      <c r="M12" s="22">
        <f>Parameters!$B$6*'Bottle Results'!B12</f>
        <v>37.314322159468318</v>
      </c>
      <c r="N12" s="22">
        <f>SQRT((C12/B12)^2+(Parameters!$C$6/Parameters!$B$6))</f>
        <v>7.4908890562979766E-2</v>
      </c>
      <c r="O12">
        <f t="shared" si="1"/>
        <v>1.5115829602235748E-2</v>
      </c>
      <c r="P12" s="22">
        <v>2.3297917690924E-2</v>
      </c>
      <c r="Q12">
        <f t="shared" si="2"/>
        <v>1193.4246399748247</v>
      </c>
      <c r="S12" s="22">
        <f t="shared" si="0"/>
        <v>0.95949054216331187</v>
      </c>
    </row>
    <row r="13" spans="1:19" s="22" customFormat="1" x14ac:dyDescent="0.25">
      <c r="A13" s="21" t="s">
        <v>89</v>
      </c>
      <c r="B13" s="22">
        <v>7.9100000000000004E-2</v>
      </c>
      <c r="C13" s="22">
        <v>2E-3</v>
      </c>
      <c r="D13" s="22">
        <v>8.92</v>
      </c>
      <c r="E13" s="23">
        <v>0.03</v>
      </c>
      <c r="F13" s="24">
        <v>9.0000000000000006E-5</v>
      </c>
      <c r="G13" s="23">
        <v>100</v>
      </c>
      <c r="H13" s="23">
        <v>5</v>
      </c>
      <c r="I13" s="23">
        <f>'Count-&gt;Actual Activity'!F13</f>
        <v>0.15513813770243537</v>
      </c>
      <c r="J13" s="23">
        <f>'Count-&gt;Actual Activity'!G13</f>
        <v>0.15745067498955981</v>
      </c>
      <c r="K13" s="22">
        <v>10</v>
      </c>
      <c r="L13" s="22">
        <v>0.02</v>
      </c>
      <c r="M13" s="22">
        <f>Parameters!$B$6*'Bottle Results'!B13</f>
        <v>37.314322159468318</v>
      </c>
      <c r="N13" s="22">
        <f>SQRT((C13/B13)^2+(Parameters!$C$6/Parameters!$B$6))</f>
        <v>7.4908890562979766E-2</v>
      </c>
      <c r="O13">
        <f t="shared" si="1"/>
        <v>1.5513813770243537E-2</v>
      </c>
      <c r="P13" s="22">
        <v>2.3297920113197729E-2</v>
      </c>
      <c r="Q13">
        <f t="shared" si="2"/>
        <v>1192.0980260814654</v>
      </c>
      <c r="S13" s="22">
        <f t="shared" si="0"/>
        <v>0.95842397001359703</v>
      </c>
    </row>
    <row r="14" spans="1:19" s="22" customFormat="1" x14ac:dyDescent="0.25">
      <c r="A14" s="21" t="s">
        <v>90</v>
      </c>
      <c r="B14" s="22">
        <v>0.158</v>
      </c>
      <c r="C14" s="22">
        <v>2E-3</v>
      </c>
      <c r="D14" s="22">
        <v>8.81</v>
      </c>
      <c r="E14" s="23">
        <v>0.03</v>
      </c>
      <c r="F14" s="24">
        <v>9.0000000000000006E-5</v>
      </c>
      <c r="G14" s="23">
        <v>100</v>
      </c>
      <c r="H14" s="23">
        <v>5</v>
      </c>
      <c r="I14" s="23">
        <f>'Count-&gt;Actual Activity'!F14</f>
        <v>0.16415911217727913</v>
      </c>
      <c r="J14" s="23">
        <f>'Count-&gt;Actual Activity'!G14</f>
        <v>0.15745067498955981</v>
      </c>
      <c r="K14" s="22">
        <v>10</v>
      </c>
      <c r="L14" s="22">
        <v>0.02</v>
      </c>
      <c r="M14" s="22">
        <f>Parameters!$B$6*'Bottle Results'!B14</f>
        <v>74.534297107408278</v>
      </c>
      <c r="N14" s="22">
        <f>SQRT((C14/B14)^2+(Parameters!$C$6/Parameters!$B$6))</f>
        <v>7.163985763966807E-2</v>
      </c>
      <c r="O14">
        <f t="shared" si="1"/>
        <v>1.6415911217727914E-2</v>
      </c>
      <c r="P14" s="22">
        <v>2.3297925795726985E-2</v>
      </c>
      <c r="Q14">
        <f t="shared" si="2"/>
        <v>2429.7568661878495</v>
      </c>
      <c r="S14" s="22">
        <f t="shared" si="0"/>
        <v>0.97797535919058631</v>
      </c>
    </row>
    <row r="15" spans="1:19" s="22" customFormat="1" x14ac:dyDescent="0.25">
      <c r="A15" s="21" t="s">
        <v>91</v>
      </c>
      <c r="B15" s="22">
        <v>0.158</v>
      </c>
      <c r="C15" s="22">
        <v>2E-3</v>
      </c>
      <c r="D15" s="22">
        <v>8.8699999999999992</v>
      </c>
      <c r="E15" s="23">
        <v>0.03</v>
      </c>
      <c r="F15" s="24">
        <v>9.0000000000000006E-5</v>
      </c>
      <c r="G15" s="23">
        <v>100</v>
      </c>
      <c r="H15" s="23">
        <v>5</v>
      </c>
      <c r="I15" s="23">
        <f>'Count-&gt;Actual Activity'!F15</f>
        <v>0.16654701718532586</v>
      </c>
      <c r="J15" s="23">
        <f>'Count-&gt;Actual Activity'!G15</f>
        <v>0.15745067498955981</v>
      </c>
      <c r="K15" s="22">
        <v>10</v>
      </c>
      <c r="L15" s="22">
        <v>0.02</v>
      </c>
      <c r="M15" s="22">
        <f>Parameters!$B$6*'Bottle Results'!B15</f>
        <v>74.534297107408278</v>
      </c>
      <c r="N15" s="22">
        <f>SQRT((C15/B15)^2+(Parameters!$C$6/Parameters!$B$6))</f>
        <v>7.163985763966807E-2</v>
      </c>
      <c r="O15">
        <f t="shared" si="1"/>
        <v>1.6654701718532585E-2</v>
      </c>
      <c r="P15" s="22">
        <v>2.329792734453592E-2</v>
      </c>
      <c r="Q15">
        <f t="shared" si="2"/>
        <v>2428.960897851834</v>
      </c>
      <c r="S15" s="22">
        <f t="shared" si="0"/>
        <v>0.97765498251827321</v>
      </c>
    </row>
    <row r="16" spans="1:19" s="22" customFormat="1" x14ac:dyDescent="0.25">
      <c r="A16" s="21" t="s">
        <v>92</v>
      </c>
      <c r="B16" s="22">
        <v>0.158</v>
      </c>
      <c r="C16" s="22">
        <v>2E-3</v>
      </c>
      <c r="D16" s="22">
        <v>8.91</v>
      </c>
      <c r="E16" s="23">
        <v>0.03</v>
      </c>
      <c r="F16" s="24">
        <v>9.0000000000000006E-5</v>
      </c>
      <c r="G16" s="23">
        <v>100</v>
      </c>
      <c r="H16" s="23">
        <v>5</v>
      </c>
      <c r="I16" s="23">
        <f>'Count-&gt;Actual Activity'!F16</f>
        <v>0.17061529979162843</v>
      </c>
      <c r="J16" s="23">
        <f>'Count-&gt;Actual Activity'!G16</f>
        <v>0.15745067498955981</v>
      </c>
      <c r="K16" s="22">
        <v>10</v>
      </c>
      <c r="L16" s="22">
        <v>0.02</v>
      </c>
      <c r="M16" s="22">
        <f>Parameters!$B$6*'Bottle Results'!B16</f>
        <v>74.534297107408278</v>
      </c>
      <c r="N16" s="22">
        <f>SQRT((C16/B16)^2+(Parameters!$C$6/Parameters!$B$6))</f>
        <v>7.163985763966807E-2</v>
      </c>
      <c r="O16">
        <f t="shared" si="1"/>
        <v>1.7061529979162843E-2</v>
      </c>
      <c r="P16" s="22">
        <v>2.3297930026256426E-2</v>
      </c>
      <c r="Q16">
        <f t="shared" si="2"/>
        <v>2427.6048036497332</v>
      </c>
      <c r="S16" s="22">
        <f t="shared" si="0"/>
        <v>0.97710915559507294</v>
      </c>
    </row>
    <row r="17" spans="1:19" s="22" customFormat="1" x14ac:dyDescent="0.25">
      <c r="A17" s="21" t="s">
        <v>93</v>
      </c>
      <c r="B17" s="22">
        <v>0.79200000000000004</v>
      </c>
      <c r="C17" s="22">
        <v>2E-3</v>
      </c>
      <c r="D17" s="22">
        <v>8.9</v>
      </c>
      <c r="E17" s="23">
        <v>0.03</v>
      </c>
      <c r="F17" s="24">
        <v>9.0000000000000006E-5</v>
      </c>
      <c r="G17" s="23">
        <v>100</v>
      </c>
      <c r="H17" s="23">
        <v>5</v>
      </c>
      <c r="I17" s="23">
        <f>'Count-&gt;Actual Activity'!F17</f>
        <v>0.44840824906106552</v>
      </c>
      <c r="J17" s="23">
        <f>'Count-&gt;Actual Activity'!G17</f>
        <v>0.15745067498955981</v>
      </c>
      <c r="K17" s="22">
        <v>10</v>
      </c>
      <c r="L17" s="22">
        <v>0.02</v>
      </c>
      <c r="M17" s="22">
        <f>Parameters!$B$6*'Bottle Results'!B17</f>
        <v>373.61495765232502</v>
      </c>
      <c r="N17" s="22">
        <f>SQRT((C17/B17)^2+(Parameters!$C$6/Parameters!$B$6))</f>
        <v>7.0557886665444824E-2</v>
      </c>
      <c r="O17">
        <f t="shared" si="1"/>
        <v>4.4840824906106552E-2</v>
      </c>
      <c r="P17" s="22">
        <v>2.3298241351735846E-2</v>
      </c>
      <c r="Q17">
        <f t="shared" si="2"/>
        <v>12304.36250539048</v>
      </c>
      <c r="S17" s="22">
        <f t="shared" si="0"/>
        <v>0.98799811838694263</v>
      </c>
    </row>
    <row r="18" spans="1:19" s="22" customFormat="1" x14ac:dyDescent="0.25">
      <c r="A18" s="21" t="s">
        <v>94</v>
      </c>
      <c r="B18" s="22">
        <v>0.79200000000000004</v>
      </c>
      <c r="C18" s="22">
        <v>2E-3</v>
      </c>
      <c r="D18" s="22">
        <v>8.9</v>
      </c>
      <c r="E18" s="23">
        <v>0.03</v>
      </c>
      <c r="F18" s="24">
        <v>9.0000000000000006E-5</v>
      </c>
      <c r="G18" s="23">
        <v>100</v>
      </c>
      <c r="H18" s="23">
        <v>5</v>
      </c>
      <c r="I18" s="23">
        <f>'Count-&gt;Actual Activity'!F18</f>
        <v>0.36810388804971511</v>
      </c>
      <c r="J18" s="23">
        <f>'Count-&gt;Actual Activity'!G18</f>
        <v>0.15745067498955981</v>
      </c>
      <c r="K18" s="22">
        <v>10</v>
      </c>
      <c r="L18" s="22">
        <v>0.02</v>
      </c>
      <c r="M18" s="22">
        <f>Parameters!$B$6*'Bottle Results'!B18</f>
        <v>373.61495765232502</v>
      </c>
      <c r="N18" s="22">
        <f>SQRT((C18/B18)^2+(Parameters!$C$6/Parameters!$B$6))</f>
        <v>7.0557886665444824E-2</v>
      </c>
      <c r="O18">
        <f t="shared" si="1"/>
        <v>3.6810388804971512E-2</v>
      </c>
      <c r="P18" s="22">
        <v>2.3298125385430756E-2</v>
      </c>
      <c r="Q18">
        <f t="shared" si="2"/>
        <v>12331.130625727596</v>
      </c>
      <c r="S18" s="22">
        <f t="shared" si="0"/>
        <v>0.99014750666400608</v>
      </c>
    </row>
    <row r="19" spans="1:19" s="22" customFormat="1" x14ac:dyDescent="0.25">
      <c r="A19" s="21" t="s">
        <v>95</v>
      </c>
      <c r="B19" s="22">
        <v>0.79200000000000004</v>
      </c>
      <c r="C19" s="22">
        <v>2E-3</v>
      </c>
      <c r="D19" s="22">
        <v>8.94</v>
      </c>
      <c r="E19" s="23">
        <v>0.03</v>
      </c>
      <c r="F19" s="24">
        <v>9.0000000000000006E-5</v>
      </c>
      <c r="G19" s="23">
        <v>100</v>
      </c>
      <c r="H19" s="23">
        <v>5</v>
      </c>
      <c r="I19" s="23">
        <f>'Count-&gt;Actual Activity'!F19</f>
        <v>0.36589286489411604</v>
      </c>
      <c r="J19" s="23">
        <f>'Count-&gt;Actual Activity'!G19</f>
        <v>0.15745067498955981</v>
      </c>
      <c r="K19" s="22">
        <v>10</v>
      </c>
      <c r="L19" s="22">
        <v>0.02</v>
      </c>
      <c r="M19" s="22">
        <f>Parameters!$B$6*'Bottle Results'!B19</f>
        <v>373.61495765232502</v>
      </c>
      <c r="N19" s="22">
        <f>SQRT((C19/B19)^2+(Parameters!$C$6/Parameters!$B$6))</f>
        <v>7.0557886665444824E-2</v>
      </c>
      <c r="O19">
        <f t="shared" si="1"/>
        <v>3.6589286489411607E-2</v>
      </c>
      <c r="P19" s="22">
        <v>2.3298122491261654E-2</v>
      </c>
      <c r="Q19">
        <f t="shared" si="2"/>
        <v>12331.867633446129</v>
      </c>
      <c r="S19" s="22">
        <f t="shared" si="0"/>
        <v>0.9902066858566565</v>
      </c>
    </row>
    <row r="20" spans="1:19" s="22" customFormat="1" x14ac:dyDescent="0.25">
      <c r="A20" s="21" t="s">
        <v>103</v>
      </c>
      <c r="B20" s="22">
        <v>0.79200000000000004</v>
      </c>
      <c r="C20" s="22">
        <v>2E-3</v>
      </c>
      <c r="D20" s="22">
        <v>9</v>
      </c>
      <c r="E20" s="23">
        <v>0.03</v>
      </c>
      <c r="F20" s="24">
        <v>9.0000000000000006E-5</v>
      </c>
      <c r="G20" s="23">
        <v>100</v>
      </c>
      <c r="H20" s="23">
        <v>5</v>
      </c>
      <c r="I20" s="23">
        <f>'Count-&gt;Actual Activity'!F21</f>
        <v>1.3313803462494576</v>
      </c>
      <c r="J20" s="23">
        <f>'Count-&gt;Actual Activity'!G21</f>
        <v>0.15745067498955981</v>
      </c>
      <c r="K20" s="22">
        <v>10</v>
      </c>
      <c r="L20" s="22">
        <v>0.02</v>
      </c>
      <c r="M20" s="22">
        <f>Parameters!$B$6*'Bottle Results'!B20</f>
        <v>373.61495765232502</v>
      </c>
      <c r="N20" s="22">
        <f>SQRT((C20/B20)^2+(Parameters!$C$6/Parameters!$B$6))</f>
        <v>7.0557886665444824E-2</v>
      </c>
      <c r="O20">
        <f t="shared" si="1"/>
        <v>0.13313803462494575</v>
      </c>
      <c r="P20" s="22">
        <v>2.330092730933234E-2</v>
      </c>
      <c r="Q20">
        <f t="shared" si="2"/>
        <v>12010.038472994349</v>
      </c>
      <c r="S20" s="22">
        <f t="shared" si="0"/>
        <v>0.96436490780199446</v>
      </c>
    </row>
    <row r="21" spans="1:19" s="22" customFormat="1" x14ac:dyDescent="0.25">
      <c r="A21" s="21" t="s">
        <v>110</v>
      </c>
      <c r="B21" s="22">
        <v>0.79200000000000004</v>
      </c>
      <c r="C21" s="22">
        <v>2E-3</v>
      </c>
      <c r="D21" s="22">
        <v>9</v>
      </c>
      <c r="E21" s="23">
        <v>0.03</v>
      </c>
      <c r="F21" s="24">
        <v>9.0000000000000006E-5</v>
      </c>
      <c r="G21" s="23">
        <v>100</v>
      </c>
      <c r="H21" s="23">
        <v>5</v>
      </c>
      <c r="I21" s="23">
        <f>'Count-&gt;Actual Activity'!F20</f>
        <v>0.76239564738765531</v>
      </c>
      <c r="J21" s="23">
        <f>'Count-&gt;Actual Activity'!G20</f>
        <v>0.15745067498955981</v>
      </c>
      <c r="K21" s="22">
        <v>10</v>
      </c>
      <c r="L21" s="22">
        <v>0.02</v>
      </c>
      <c r="M21" s="22">
        <f>Parameters!$B$6*'Bottle Results'!B21</f>
        <v>373.61495765232502</v>
      </c>
      <c r="N21" s="22">
        <f>SQRT((C21/B21)^2+(Parameters!$C$6/Parameters!$B$6))</f>
        <v>7.0557886665444824E-2</v>
      </c>
      <c r="O21">
        <f t="shared" si="1"/>
        <v>7.6239564738765531E-2</v>
      </c>
      <c r="P21" s="22">
        <v>2.3298893977915368E-2</v>
      </c>
      <c r="Q21">
        <f t="shared" si="2"/>
        <v>12199.700039281615</v>
      </c>
      <c r="S21" s="22">
        <f t="shared" si="0"/>
        <v>0.97959408123865543</v>
      </c>
    </row>
    <row r="22" spans="1:19" s="22" customFormat="1" x14ac:dyDescent="0.25">
      <c r="A22" s="21" t="s">
        <v>114</v>
      </c>
      <c r="B22" s="22">
        <v>0.79200000000000004</v>
      </c>
      <c r="C22" s="22">
        <v>2E-3</v>
      </c>
      <c r="D22" s="22">
        <v>8.94</v>
      </c>
      <c r="E22" s="23">
        <v>0.03</v>
      </c>
      <c r="F22" s="24">
        <v>9.0000000000000006E-5</v>
      </c>
      <c r="G22" s="23">
        <v>100</v>
      </c>
      <c r="H22" s="23">
        <v>5</v>
      </c>
      <c r="I22" s="23">
        <f>'Count-&gt;Actual Activity'!F22</f>
        <v>1.3253442530346737</v>
      </c>
      <c r="J22" s="23">
        <f>'Count-&gt;Actual Activity'!G22</f>
        <v>0.15745067498955981</v>
      </c>
      <c r="K22" s="22">
        <v>10</v>
      </c>
      <c r="L22" s="22">
        <v>0.02</v>
      </c>
      <c r="M22" s="22">
        <f>Parameters!$B$6*'Bottle Results'!B22</f>
        <v>373.61495765232502</v>
      </c>
      <c r="N22" s="22">
        <f>SQRT((C22/B22)^2+(Parameters!$C$6/Parameters!$B$6))</f>
        <v>7.0557886665444824E-2</v>
      </c>
      <c r="O22">
        <f t="shared" si="1"/>
        <v>0.13253442530346737</v>
      </c>
      <c r="P22" s="22">
        <v>2.3300879553606872E-2</v>
      </c>
      <c r="Q22">
        <f t="shared" si="2"/>
        <v>12012.050504065945</v>
      </c>
      <c r="S22" s="22">
        <f t="shared" si="0"/>
        <v>0.9645264669979301</v>
      </c>
    </row>
    <row r="23" spans="1:19" s="22" customFormat="1" x14ac:dyDescent="0.25">
      <c r="A23" s="21" t="s">
        <v>115</v>
      </c>
      <c r="B23" s="22">
        <v>0.79200000000000004</v>
      </c>
      <c r="C23" s="22">
        <v>2E-3</v>
      </c>
      <c r="D23" s="22">
        <v>8.99</v>
      </c>
      <c r="E23" s="23">
        <v>0.03</v>
      </c>
      <c r="F23" s="24">
        <v>9.0000000000000006E-5</v>
      </c>
      <c r="G23" s="23">
        <v>100</v>
      </c>
      <c r="H23" s="23">
        <v>5</v>
      </c>
      <c r="I23" s="23">
        <f>'Count-&gt;Actual Activity'!F23</f>
        <v>0.86587153106968051</v>
      </c>
      <c r="J23" s="23">
        <f>'Count-&gt;Actual Activity'!G23</f>
        <v>0.15745067498955981</v>
      </c>
      <c r="K23" s="22">
        <v>10</v>
      </c>
      <c r="L23" s="22">
        <v>0.02</v>
      </c>
      <c r="M23" s="22">
        <f>Parameters!$B$6*'Bottle Results'!B23</f>
        <v>373.61495765232502</v>
      </c>
      <c r="N23" s="22">
        <f>SQRT((C23/B23)^2+(Parameters!$C$6/Parameters!$B$6))</f>
        <v>7.0557886665444824E-2</v>
      </c>
      <c r="O23">
        <f t="shared" si="1"/>
        <v>8.6587153106968046E-2</v>
      </c>
      <c r="P23" s="22">
        <v>2.3299183599979709E-2</v>
      </c>
      <c r="Q23">
        <f t="shared" si="2"/>
        <v>12165.208078054275</v>
      </c>
      <c r="S23" s="22">
        <f t="shared" si="0"/>
        <v>0.97682449502261548</v>
      </c>
    </row>
  </sheetData>
  <conditionalFormatting sqref="I2:I23">
    <cfRule type="cellIs" dxfId="0" priority="1" operator="lessThan">
      <formula>0.209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tabSelected="1" workbookViewId="0">
      <selection activeCell="E11" sqref="E11"/>
    </sheetView>
  </sheetViews>
  <sheetFormatPr defaultRowHeight="15" x14ac:dyDescent="0.25"/>
  <cols>
    <col min="1" max="1" width="12.5703125" bestFit="1" customWidth="1"/>
    <col min="2" max="2" width="11.28515625" bestFit="1" customWidth="1"/>
    <col min="4" max="4" width="10.7109375" bestFit="1" customWidth="1"/>
  </cols>
  <sheetData>
    <row r="1" spans="1:12" x14ac:dyDescent="0.25">
      <c r="A1" t="s">
        <v>116</v>
      </c>
      <c r="B1" t="s">
        <v>29</v>
      </c>
      <c r="C1" t="s">
        <v>117</v>
      </c>
      <c r="D1" t="s">
        <v>31</v>
      </c>
      <c r="E1" t="s">
        <v>118</v>
      </c>
      <c r="F1" t="s">
        <v>125</v>
      </c>
      <c r="G1" t="s">
        <v>119</v>
      </c>
      <c r="H1" t="s">
        <v>120</v>
      </c>
      <c r="I1" t="s">
        <v>121</v>
      </c>
      <c r="J1" t="s">
        <v>122</v>
      </c>
      <c r="K1" t="s">
        <v>135</v>
      </c>
    </row>
    <row r="2" spans="1:12" x14ac:dyDescent="0.25">
      <c r="A2" s="13">
        <v>0</v>
      </c>
      <c r="B2">
        <f>AVERAGE('Bottle Results'!O2:O4)</f>
        <v>1.5301555547306103E-2</v>
      </c>
      <c r="C2">
        <f>_xlfn.STDEV.S('Bottle Results'!O2:O4)</f>
        <v>5.6165210798715876E-4</v>
      </c>
      <c r="D2">
        <f>AVERAGE('Bottle Results'!Q2:Q4)</f>
        <v>-51.005185157687016</v>
      </c>
      <c r="E2">
        <f>_xlfn.STDEV.S('Bottle Results'!Q2:Q4)</f>
        <v>1.8721736932905286</v>
      </c>
      <c r="F2">
        <f>'Bottle Results'!M3</f>
        <v>0</v>
      </c>
      <c r="G2" t="e">
        <f>AVERAGE('Bottle Results'!S2:S4)</f>
        <v>#DIV/0!</v>
      </c>
      <c r="H2" t="e">
        <f>_xlfn.STDEV.S('Bottle Results'!S2:S4)</f>
        <v>#DIV/0!</v>
      </c>
      <c r="I2">
        <f>AVERAGE('Bottle Results'!D2:D4)</f>
        <v>8.9466666666666672</v>
      </c>
      <c r="J2">
        <f>_xlfn.STDEV.S('Bottle Results'!D2:D4)</f>
        <v>1.5275252316519917E-2</v>
      </c>
      <c r="K2">
        <v>3</v>
      </c>
      <c r="L2" t="s">
        <v>136</v>
      </c>
    </row>
    <row r="3" spans="1:12" x14ac:dyDescent="0.25">
      <c r="A3" s="13">
        <v>5</v>
      </c>
      <c r="B3">
        <f>AVERAGE('Bottle Results'!O5:O7)</f>
        <v>1.4815130453074343E-2</v>
      </c>
      <c r="C3">
        <f>_xlfn.STDEV.S('Bottle Results'!O5:O7)</f>
        <v>5.573883690688687E-4</v>
      </c>
      <c r="D3">
        <f>AVERAGE('Bottle Results'!Q5:Q7)</f>
        <v>75.15455104052721</v>
      </c>
      <c r="E3">
        <f>_xlfn.STDEV.S('Bottle Results'!Q5:Q7)</f>
        <v>1.8579612302295603</v>
      </c>
      <c r="F3">
        <f>'Bottle Results'!M6</f>
        <v>3.7361495765232502</v>
      </c>
      <c r="G3">
        <f>AVERAGE('Bottle Results'!S5:S7)</f>
        <v>0.60346527488707069</v>
      </c>
      <c r="H3">
        <f>_xlfn.STDEV.S('Bottle Results'!S5:S7)</f>
        <v>1.4918791596870607E-2</v>
      </c>
      <c r="I3">
        <f>AVERAGE('Bottle Results'!D5:D7)</f>
        <v>8.9166666666666661</v>
      </c>
      <c r="J3">
        <f>_xlfn.STDEV.S('Bottle Results'!D5:D7)</f>
        <v>1.527525231651914E-2</v>
      </c>
      <c r="K3">
        <f>COUNT('Bottle Results'!I5:I7)</f>
        <v>3</v>
      </c>
      <c r="L3" t="s">
        <v>136</v>
      </c>
    </row>
    <row r="4" spans="1:12" x14ac:dyDescent="0.25">
      <c r="A4" s="13">
        <v>10</v>
      </c>
      <c r="B4">
        <f>AVERAGE('Bottle Results'!O8:O10)</f>
        <v>1.4965480027655098E-2</v>
      </c>
      <c r="C4">
        <f>_xlfn.STDEV.S('Bottle Results'!O8:O10)</f>
        <v>4.6898714669976998E-4</v>
      </c>
      <c r="D4">
        <f>AVERAGE('Bottle Results'!Q8:Q10)</f>
        <v>198.56272359917727</v>
      </c>
      <c r="E4">
        <f>_xlfn.STDEV.S('Bottle Results'!Q8:Q10)</f>
        <v>1.5632904889992421</v>
      </c>
      <c r="F4">
        <f>'Bottle Results'!M9</f>
        <v>7.4534297107408278</v>
      </c>
      <c r="G4">
        <f>AVERAGE('Bottle Results'!S8:S10)</f>
        <v>0.7992135082982138</v>
      </c>
      <c r="H4">
        <f>_xlfn.STDEV.S('Bottle Results'!S8:S10)</f>
        <v>6.2922327693508695E-3</v>
      </c>
      <c r="I4">
        <f>AVERAGE('Bottle Results'!D8:D10)</f>
        <v>8.9066666666666663</v>
      </c>
      <c r="J4">
        <f>_xlfn.STDEV.S('Bottle Results'!D8:D10)</f>
        <v>1.154700538379227E-2</v>
      </c>
      <c r="K4">
        <f>COUNT('Bottle Results'!I8:I10)</f>
        <v>3</v>
      </c>
      <c r="L4" t="s">
        <v>136</v>
      </c>
    </row>
    <row r="5" spans="1:12" x14ac:dyDescent="0.25">
      <c r="A5" s="13">
        <v>50</v>
      </c>
      <c r="B5">
        <f>AVERAGE('Bottle Results'!O11:O13)</f>
        <v>1.5333983886921492E-2</v>
      </c>
      <c r="C5">
        <f>_xlfn.STDEV.S('Bottle Results'!O11:O13)</f>
        <v>2.0174097080446373E-4</v>
      </c>
      <c r="D5">
        <f>AVERAGE('Bottle Results'!Q11:Q13)</f>
        <v>1192.6974590258721</v>
      </c>
      <c r="E5">
        <f>_xlfn.STDEV.S('Bottle Results'!Q11:Q13)</f>
        <v>0.67246990268154394</v>
      </c>
      <c r="F5">
        <f>'Bottle Results'!M12</f>
        <v>37.314322159468318</v>
      </c>
      <c r="G5">
        <f>AVERAGE('Bottle Results'!S11:S13)</f>
        <v>0.95890590261457931</v>
      </c>
      <c r="H5">
        <f>_xlfn.STDEV.S('Bottle Results'!S11:S13)</f>
        <v>5.406529159025737E-4</v>
      </c>
      <c r="I5">
        <f>AVERAGE('Bottle Results'!D11:D13)</f>
        <v>8.9166666666666661</v>
      </c>
      <c r="J5">
        <f>_xlfn.STDEV.S('Bottle Results'!D11:D13)</f>
        <v>2.5166114784235295E-2</v>
      </c>
      <c r="K5">
        <f>COUNT('Bottle Results'!I11:I13)</f>
        <v>3</v>
      </c>
      <c r="L5" t="s">
        <v>136</v>
      </c>
    </row>
    <row r="6" spans="1:12" x14ac:dyDescent="0.25">
      <c r="A6" s="13">
        <v>100</v>
      </c>
      <c r="B6">
        <f>AVERAGE('Bottle Results'!O14:O16)</f>
        <v>1.6710714305141112E-2</v>
      </c>
      <c r="C6">
        <f>_xlfn.STDEV.S('Bottle Results'!O14:O16)</f>
        <v>3.264336895498481E-4</v>
      </c>
      <c r="D6">
        <f>AVERAGE('Bottle Results'!Q14:Q16)</f>
        <v>2428.7741892298059</v>
      </c>
      <c r="E6">
        <f>_xlfn.STDEV.S('Bottle Results'!Q14:Q16)</f>
        <v>1.0881122984994318</v>
      </c>
      <c r="F6">
        <f>'Bottle Results'!M15</f>
        <v>74.534297107408278</v>
      </c>
      <c r="G6">
        <f>AVERAGE('Bottle Results'!S14:S16)</f>
        <v>0.97757983243464419</v>
      </c>
      <c r="H6">
        <f>_xlfn.STDEV.S('Bottle Results'!S14:S16)</f>
        <v>4.3796440325917252E-4</v>
      </c>
      <c r="I6">
        <f>AVERAGE('Bottle Results'!D14:D16)</f>
        <v>8.8633333333333333</v>
      </c>
      <c r="J6">
        <f>_xlfn.STDEV.S('Bottle Results'!D14:D16)</f>
        <v>5.0332229568471415E-2</v>
      </c>
      <c r="K6">
        <f>COUNT('Bottle Results'!I14:I16)</f>
        <v>3</v>
      </c>
      <c r="L6" t="s">
        <v>136</v>
      </c>
    </row>
    <row r="7" spans="1:12" x14ac:dyDescent="0.25">
      <c r="A7" s="13">
        <v>500</v>
      </c>
      <c r="B7">
        <f>AVERAGE('Bottle Results'!O17:O19,'Bottle Results'!O21)</f>
        <v>4.8620016234813795E-2</v>
      </c>
      <c r="C7">
        <f>_xlfn.STDEV.S('Bottle Results'!O17:O19,'Bottle Results'!O21)</f>
        <v>1.880892966031213E-2</v>
      </c>
      <c r="D7">
        <f>AVERAGE('Bottle Results'!Q17:Q19,'Bottle Results'!Q21)</f>
        <v>12291.765200961454</v>
      </c>
      <c r="E7">
        <f>_xlfn.STDEV.S('Bottle Results'!Q17:Q19,'Bottle Results'!Q21)</f>
        <v>62.696432201040601</v>
      </c>
      <c r="F7">
        <f>'Bottle Results'!M18</f>
        <v>373.61495765232502</v>
      </c>
      <c r="G7">
        <f>AVERAGE('Bottle Results'!S17:S19,'Bottle Results'!S21)</f>
        <v>0.98698659803656519</v>
      </c>
      <c r="H7">
        <f>_xlfn.STDEV.S('Bottle Results'!S17:S19,'Bottle Results'!S21)</f>
        <v>5.0343085240754518E-3</v>
      </c>
      <c r="I7">
        <f>AVERAGE('Bottle Results'!D17:D19,'Bottle Results'!D21)</f>
        <v>8.9350000000000005</v>
      </c>
      <c r="J7">
        <f>_xlfn.STDEV.S('Bottle Results'!D17:D19,'Bottle Results'!D21)</f>
        <v>4.7258156262525892E-2</v>
      </c>
      <c r="K7">
        <f>COUNT('Bottle Results'!I17:I19,'Bottle Results'!I21)</f>
        <v>4</v>
      </c>
    </row>
    <row r="8" spans="1:12" x14ac:dyDescent="0.25">
      <c r="A8" s="13"/>
    </row>
    <row r="9" spans="1:12" x14ac:dyDescent="0.25">
      <c r="A9" s="13"/>
    </row>
    <row r="10" spans="1:12" x14ac:dyDescent="0.25">
      <c r="A10" s="13"/>
    </row>
    <row r="11" spans="1:12" x14ac:dyDescent="0.25">
      <c r="A11" s="13"/>
    </row>
    <row r="12" spans="1:12" x14ac:dyDescent="0.25">
      <c r="A12" s="13"/>
    </row>
    <row r="13" spans="1:12" x14ac:dyDescent="0.25">
      <c r="A13" s="13"/>
    </row>
    <row r="14" spans="1:12" x14ac:dyDescent="0.25">
      <c r="A14" s="13"/>
    </row>
    <row r="15" spans="1:12" x14ac:dyDescent="0.25">
      <c r="A15" s="13"/>
    </row>
    <row r="16" spans="1:12" x14ac:dyDescent="0.25">
      <c r="A16" s="13"/>
    </row>
    <row r="17" spans="1:1" x14ac:dyDescent="0.25">
      <c r="A17" s="13"/>
    </row>
    <row r="18" spans="1:1" x14ac:dyDescent="0.25">
      <c r="A18" s="13"/>
    </row>
    <row r="19" spans="1:1" x14ac:dyDescent="0.25">
      <c r="A19" s="13"/>
    </row>
    <row r="20" spans="1:1" x14ac:dyDescent="0.25">
      <c r="A20" s="13"/>
    </row>
    <row r="21" spans="1:1" x14ac:dyDescent="0.25">
      <c r="A21" s="13"/>
    </row>
    <row r="22" spans="1:1" x14ac:dyDescent="0.25">
      <c r="A22" s="13"/>
    </row>
    <row r="23" spans="1:1" x14ac:dyDescent="0.25">
      <c r="A23" s="1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Parameters</vt:lpstr>
      <vt:lpstr>Scintillation Counter Results</vt:lpstr>
      <vt:lpstr>Calibration Data</vt:lpstr>
      <vt:lpstr>Count-&gt;Actual Activity</vt:lpstr>
      <vt:lpstr>Bottle Results</vt:lpstr>
      <vt:lpstr>Averaged Results</vt:lpstr>
      <vt:lpstr>Sheet2</vt:lpstr>
    </vt:vector>
  </TitlesOfParts>
  <Company>Massachusetts Institute of Technology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Chen</dc:creator>
  <cp:lastModifiedBy>Michael Chen</cp:lastModifiedBy>
  <dcterms:created xsi:type="dcterms:W3CDTF">2015-08-25T20:19:30Z</dcterms:created>
  <dcterms:modified xsi:type="dcterms:W3CDTF">2017-07-06T21:43:45Z</dcterms:modified>
</cp:coreProperties>
</file>