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orption Experiments\RaGoe_pH5\"/>
    </mc:Choice>
  </mc:AlternateContent>
  <bookViews>
    <workbookView xWindow="0" yWindow="0" windowWidth="7470" windowHeight="12285" firstSheet="3" activeTab="5"/>
  </bookViews>
  <sheets>
    <sheet name="Parameters" sheetId="1" r:id="rId1"/>
    <sheet name="Scintillation Counter Results" sheetId="3" r:id="rId2"/>
    <sheet name="Calibration Data" sheetId="9" r:id="rId3"/>
    <sheet name="Count-&gt;Actual Activity" sheetId="2" r:id="rId4"/>
    <sheet name="Bottle Results" sheetId="5" r:id="rId5"/>
    <sheet name="Averaged Results" sheetId="8" r:id="rId6"/>
  </sheets>
  <externalReferences>
    <externalReference r:id="rId7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8" l="1"/>
  <c r="J2" i="8"/>
  <c r="I2" i="8"/>
  <c r="H2" i="8"/>
  <c r="G2" i="8"/>
  <c r="F2" i="8"/>
  <c r="E2" i="8"/>
  <c r="D2" i="8"/>
  <c r="C2" i="8"/>
  <c r="B2" i="8"/>
  <c r="J5" i="8" l="1"/>
  <c r="F3" i="2"/>
  <c r="G3" i="2"/>
  <c r="F4" i="2"/>
  <c r="G4" i="2"/>
  <c r="F5" i="2"/>
  <c r="G5" i="2"/>
  <c r="F6" i="2"/>
  <c r="G6" i="2"/>
  <c r="F7" i="2"/>
  <c r="G7" i="2"/>
  <c r="F8" i="2"/>
  <c r="G8" i="2"/>
  <c r="F9" i="2"/>
  <c r="G9" i="2"/>
  <c r="F10" i="2"/>
  <c r="G10" i="2"/>
  <c r="F11" i="2"/>
  <c r="G11" i="2"/>
  <c r="F12" i="2"/>
  <c r="G12" i="2"/>
  <c r="F13" i="2"/>
  <c r="G13" i="2"/>
  <c r="F14" i="2"/>
  <c r="G14" i="2"/>
  <c r="F15" i="2"/>
  <c r="G15" i="2"/>
  <c r="F16" i="2"/>
  <c r="G16" i="2"/>
  <c r="F17" i="2"/>
  <c r="G17" i="2"/>
  <c r="F18" i="2"/>
  <c r="G18" i="2"/>
  <c r="F19" i="2"/>
  <c r="G19" i="2"/>
  <c r="G2" i="2"/>
  <c r="F2" i="2"/>
  <c r="D10" i="9"/>
  <c r="C10" i="9"/>
  <c r="E10" i="9" s="1"/>
  <c r="H9" i="9"/>
  <c r="F9" i="9"/>
  <c r="G9" i="9" s="1"/>
  <c r="D9" i="9"/>
  <c r="J9" i="9" s="1"/>
  <c r="C9" i="9"/>
  <c r="E9" i="9" s="1"/>
  <c r="J8" i="9"/>
  <c r="H8" i="9"/>
  <c r="E8" i="9"/>
  <c r="D8" i="9"/>
  <c r="H7" i="9"/>
  <c r="F7" i="9"/>
  <c r="G8" i="9" s="1"/>
  <c r="E7" i="9"/>
  <c r="D7" i="9"/>
  <c r="J7" i="9" s="1"/>
  <c r="H6" i="9"/>
  <c r="E6" i="9"/>
  <c r="D6" i="9"/>
  <c r="J6" i="9" s="1"/>
  <c r="E5" i="9"/>
  <c r="D5" i="9"/>
  <c r="J5" i="9" s="1"/>
  <c r="E4" i="9"/>
  <c r="D4" i="9"/>
  <c r="J4" i="9" s="1"/>
  <c r="E3" i="9"/>
  <c r="D3" i="9"/>
  <c r="J3" i="9" s="1"/>
  <c r="J2" i="9"/>
  <c r="K2" i="9" s="1"/>
  <c r="G2" i="9"/>
  <c r="E2" i="9"/>
  <c r="D2" i="9"/>
  <c r="H2" i="9" s="1"/>
  <c r="I2" i="9" s="1"/>
  <c r="I9" i="9" l="1"/>
  <c r="K9" i="9"/>
  <c r="G7" i="9"/>
  <c r="I7" i="9" s="1"/>
  <c r="K7" i="9"/>
  <c r="G6" i="9"/>
  <c r="I6" i="9" s="1"/>
  <c r="I8" i="9"/>
  <c r="K8" i="9"/>
  <c r="G5" i="9"/>
  <c r="K5" i="9" s="1"/>
  <c r="G4" i="9"/>
  <c r="K4" i="9" s="1"/>
  <c r="H5" i="9"/>
  <c r="G3" i="9"/>
  <c r="K3" i="9" s="1"/>
  <c r="H4" i="9"/>
  <c r="I4" i="9" s="1"/>
  <c r="H3" i="9"/>
  <c r="I3" i="9" s="1"/>
  <c r="K6" i="9" l="1"/>
  <c r="K11" i="9"/>
  <c r="I5" i="9"/>
  <c r="I11" i="9"/>
  <c r="I5" i="8"/>
  <c r="J7" i="8" l="1"/>
  <c r="J6" i="8"/>
  <c r="J4" i="8"/>
  <c r="J3" i="8"/>
  <c r="I7" i="8"/>
  <c r="I6" i="8"/>
  <c r="I4" i="8"/>
  <c r="I3" i="8"/>
  <c r="O3" i="5" l="1"/>
  <c r="P3" i="5" s="1"/>
  <c r="O4" i="5"/>
  <c r="P4" i="5" s="1"/>
  <c r="O5" i="5"/>
  <c r="P5" i="5" s="1"/>
  <c r="O6" i="5"/>
  <c r="P6" i="5" s="1"/>
  <c r="O7" i="5"/>
  <c r="P7" i="5" s="1"/>
  <c r="O8" i="5"/>
  <c r="P8" i="5" s="1"/>
  <c r="O9" i="5"/>
  <c r="P9" i="5" s="1"/>
  <c r="O10" i="5"/>
  <c r="P10" i="5" s="1"/>
  <c r="O11" i="5"/>
  <c r="P11" i="5" s="1"/>
  <c r="O12" i="5"/>
  <c r="P12" i="5" s="1"/>
  <c r="O13" i="5"/>
  <c r="P13" i="5" s="1"/>
  <c r="O14" i="5"/>
  <c r="P14" i="5" s="1"/>
  <c r="O15" i="5"/>
  <c r="P15" i="5" s="1"/>
  <c r="O16" i="5"/>
  <c r="P16" i="5" s="1"/>
  <c r="O17" i="5"/>
  <c r="P17" i="5" s="1"/>
  <c r="O18" i="5"/>
  <c r="P18" i="5" s="1"/>
  <c r="O19" i="5"/>
  <c r="P19" i="5" s="1"/>
  <c r="O2" i="5"/>
  <c r="P2" i="5" s="1"/>
  <c r="I10" i="5"/>
  <c r="M10" i="5" s="1"/>
  <c r="J11" i="5"/>
  <c r="J12" i="5"/>
  <c r="J17" i="5"/>
  <c r="S10" i="5" l="1"/>
  <c r="F4" i="8"/>
  <c r="Q10" i="5"/>
  <c r="F6" i="8"/>
  <c r="F3" i="8"/>
  <c r="F5" i="8"/>
  <c r="F7" i="8"/>
  <c r="J18" i="5"/>
  <c r="I18" i="5"/>
  <c r="M18" i="5" s="1"/>
  <c r="Q18" i="5" s="1"/>
  <c r="J10" i="5"/>
  <c r="N10" i="5" s="1"/>
  <c r="J19" i="5"/>
  <c r="I19" i="5"/>
  <c r="M19" i="5" s="1"/>
  <c r="Q19" i="5" s="1"/>
  <c r="J3" i="5"/>
  <c r="I3" i="5"/>
  <c r="M3" i="5" s="1"/>
  <c r="Q3" i="5" s="1"/>
  <c r="J9" i="5"/>
  <c r="I9" i="5"/>
  <c r="M9" i="5" s="1"/>
  <c r="Q9" i="5" s="1"/>
  <c r="I16" i="5"/>
  <c r="M16" i="5" s="1"/>
  <c r="S16" i="5" s="1"/>
  <c r="J16" i="5"/>
  <c r="I8" i="5"/>
  <c r="J8" i="5"/>
  <c r="J15" i="5"/>
  <c r="I15" i="5"/>
  <c r="M15" i="5" s="1"/>
  <c r="Q15" i="5" s="1"/>
  <c r="J7" i="5"/>
  <c r="I7" i="5"/>
  <c r="M7" i="5" s="1"/>
  <c r="S7" i="5" s="1"/>
  <c r="I14" i="5"/>
  <c r="J14" i="5"/>
  <c r="J6" i="5"/>
  <c r="I6" i="5"/>
  <c r="M6" i="5" s="1"/>
  <c r="Q6" i="5" s="1"/>
  <c r="J13" i="5"/>
  <c r="I13" i="5"/>
  <c r="M13" i="5" s="1"/>
  <c r="S13" i="5" s="1"/>
  <c r="J5" i="5"/>
  <c r="I5" i="5"/>
  <c r="I4" i="5"/>
  <c r="M4" i="5" s="1"/>
  <c r="Q4" i="5" s="1"/>
  <c r="J4" i="5"/>
  <c r="I17" i="5"/>
  <c r="I12" i="5"/>
  <c r="M12" i="5" s="1"/>
  <c r="Q12" i="5" s="1"/>
  <c r="I11" i="5"/>
  <c r="J2" i="5"/>
  <c r="M5" i="5" l="1"/>
  <c r="S5" i="5" s="1"/>
  <c r="K3" i="8"/>
  <c r="M14" i="5"/>
  <c r="K6" i="8"/>
  <c r="M11" i="5"/>
  <c r="S11" i="5" s="1"/>
  <c r="K5" i="8"/>
  <c r="M17" i="5"/>
  <c r="Q17" i="5" s="1"/>
  <c r="K7" i="8"/>
  <c r="M8" i="5"/>
  <c r="K4" i="8"/>
  <c r="N18" i="5"/>
  <c r="N8" i="5"/>
  <c r="N4" i="5"/>
  <c r="N14" i="5"/>
  <c r="N16" i="5"/>
  <c r="N13" i="5"/>
  <c r="N12" i="5"/>
  <c r="N15" i="5"/>
  <c r="N6" i="5"/>
  <c r="N19" i="5"/>
  <c r="N5" i="5"/>
  <c r="N7" i="5"/>
  <c r="N9" i="5"/>
  <c r="N3" i="5"/>
  <c r="S4" i="5"/>
  <c r="Q5" i="5"/>
  <c r="S15" i="5"/>
  <c r="C7" i="8"/>
  <c r="B4" i="8"/>
  <c r="C4" i="8"/>
  <c r="Q13" i="5"/>
  <c r="S12" i="5"/>
  <c r="G5" i="8" s="1"/>
  <c r="S3" i="5"/>
  <c r="S6" i="5"/>
  <c r="H3" i="8" s="1"/>
  <c r="B6" i="8"/>
  <c r="C6" i="8"/>
  <c r="Q8" i="5"/>
  <c r="S8" i="5"/>
  <c r="C3" i="8"/>
  <c r="B3" i="8"/>
  <c r="Q16" i="5"/>
  <c r="S9" i="5"/>
  <c r="S19" i="5"/>
  <c r="S18" i="5"/>
  <c r="Q7" i="5"/>
  <c r="S14" i="5"/>
  <c r="C5" i="8"/>
  <c r="B5" i="8"/>
  <c r="Q11" i="5"/>
  <c r="Q14" i="5"/>
  <c r="I2" i="5"/>
  <c r="M2" i="5" s="1"/>
  <c r="N2" i="5" s="1"/>
  <c r="S17" i="5" l="1"/>
  <c r="H7" i="8" s="1"/>
  <c r="N17" i="5"/>
  <c r="B7" i="8"/>
  <c r="N11" i="5"/>
  <c r="G3" i="8"/>
  <c r="H5" i="8"/>
  <c r="D3" i="8"/>
  <c r="G6" i="8"/>
  <c r="H6" i="8"/>
  <c r="G4" i="8"/>
  <c r="H4" i="8"/>
  <c r="E3" i="8"/>
  <c r="E7" i="8"/>
  <c r="D7" i="8"/>
  <c r="Q2" i="5"/>
  <c r="S2" i="5"/>
  <c r="E6" i="8"/>
  <c r="D6" i="8"/>
  <c r="D5" i="8"/>
  <c r="E5" i="8"/>
  <c r="D4" i="8"/>
  <c r="E4" i="8"/>
  <c r="G7" i="8" l="1"/>
</calcChain>
</file>

<file path=xl/sharedStrings.xml><?xml version="1.0" encoding="utf-8"?>
<sst xmlns="http://schemas.openxmlformats.org/spreadsheetml/2006/main" count="307" uniqueCount="126">
  <si>
    <t>Parameters</t>
  </si>
  <si>
    <t>Value</t>
  </si>
  <si>
    <t>Error</t>
  </si>
  <si>
    <t>Sample Volume</t>
  </si>
  <si>
    <t>Units</t>
  </si>
  <si>
    <t>mL</t>
  </si>
  <si>
    <t>Stock Activity</t>
  </si>
  <si>
    <t>Notes</t>
  </si>
  <si>
    <t>Experiment Date</t>
  </si>
  <si>
    <t>Mineral Type</t>
  </si>
  <si>
    <t>Sample ID</t>
  </si>
  <si>
    <t>% Error</t>
  </si>
  <si>
    <t>Final pH</t>
  </si>
  <si>
    <t>Activity of stock used to add radium (note you should use the actual activity, not the counted activity)</t>
  </si>
  <si>
    <t>Date</t>
  </si>
  <si>
    <t>Sample</t>
  </si>
  <si>
    <t>CPM</t>
  </si>
  <si>
    <t>Lumex %</t>
  </si>
  <si>
    <t>Elapsed Time</t>
  </si>
  <si>
    <t>Liquid volume</t>
  </si>
  <si>
    <t>Bq/mL</t>
  </si>
  <si>
    <t>Error (cps)</t>
  </si>
  <si>
    <t>Radium Stock Used</t>
  </si>
  <si>
    <t>Ra_Stock_4</t>
  </si>
  <si>
    <t>Counts (cps)</t>
  </si>
  <si>
    <t>Independent Cs?</t>
  </si>
  <si>
    <t>Mineral Mass (g)</t>
  </si>
  <si>
    <t>Mineral Mass Error (g)</t>
  </si>
  <si>
    <t>Stock Volume Added (mL)</t>
  </si>
  <si>
    <t>Stock Vol Err (mL)</t>
  </si>
  <si>
    <t>Cw (Bq/mL)</t>
  </si>
  <si>
    <t>dCw (Bq/mL)</t>
  </si>
  <si>
    <t>Cs (Bq/g)</t>
  </si>
  <si>
    <t>dCs (Bq/g)</t>
  </si>
  <si>
    <t>Total Activity (Bq)</t>
  </si>
  <si>
    <t>dTotal Activity (Bq)</t>
  </si>
  <si>
    <t>RaStd_0.01mL</t>
  </si>
  <si>
    <t>RaStd_0.05mL</t>
  </si>
  <si>
    <t>RaStd_0.1mL</t>
  </si>
  <si>
    <t>RaStd_0.5mL</t>
  </si>
  <si>
    <t>RaStd_1mL</t>
  </si>
  <si>
    <t>RaStd_5mL</t>
  </si>
  <si>
    <t>Mean (CPM)</t>
  </si>
  <si>
    <t>Error (CPM)</t>
  </si>
  <si>
    <t>Scintillation Counter (cps)</t>
  </si>
  <si>
    <t>Background</t>
  </si>
  <si>
    <t>Scintillation Counter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</si>
  <si>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</si>
  <si>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</si>
  <si>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</si>
  <si>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</si>
  <si>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</si>
  <si>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</si>
  <si>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</si>
  <si>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</si>
  <si>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</si>
  <si>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</si>
  <si>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</si>
  <si>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</si>
  <si>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</si>
  <si>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</si>
  <si>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</si>
  <si>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</si>
  <si>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</si>
  <si>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</si>
  <si>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</si>
  <si>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</si>
  <si>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</si>
  <si>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</si>
  <si>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</si>
  <si>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</si>
  <si>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</si>
  <si>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RESIDUAL OUTPUT</t>
  </si>
  <si>
    <t>Observation</t>
  </si>
  <si>
    <t>Predicted Y</t>
  </si>
  <si>
    <t>Residuals</t>
  </si>
  <si>
    <t>Solution counts (Bq)</t>
  </si>
  <si>
    <t>Solution Counts error (Bq)</t>
  </si>
  <si>
    <t>Total Volume (mL)</t>
  </si>
  <si>
    <t>Total Volume Error (mL)</t>
  </si>
  <si>
    <t>Counted Solution Vol (mL)</t>
  </si>
  <si>
    <t>Counted Solution Vol error (mL)</t>
  </si>
  <si>
    <t>Calibration Method</t>
  </si>
  <si>
    <t>Activity (Bq)</t>
  </si>
  <si>
    <t>Activity Error (Bq)</t>
  </si>
  <si>
    <t>Phase</t>
  </si>
  <si>
    <t>Water</t>
  </si>
  <si>
    <t>0A</t>
  </si>
  <si>
    <t>0B</t>
  </si>
  <si>
    <t>0C</t>
  </si>
  <si>
    <t>10A</t>
  </si>
  <si>
    <t>10B</t>
  </si>
  <si>
    <t>10C</t>
  </si>
  <si>
    <t>50A</t>
  </si>
  <si>
    <t>50B</t>
  </si>
  <si>
    <t>50C</t>
  </si>
  <si>
    <t>100A</t>
  </si>
  <si>
    <t>100B</t>
  </si>
  <si>
    <t>100C</t>
  </si>
  <si>
    <t>250A</t>
  </si>
  <si>
    <t>250B</t>
  </si>
  <si>
    <t>250C</t>
  </si>
  <si>
    <t>500A</t>
  </si>
  <si>
    <t>500B</t>
  </si>
  <si>
    <t>500C</t>
  </si>
  <si>
    <t>Na Montmorillonite</t>
  </si>
  <si>
    <t>sCw (Bq/mL)</t>
  </si>
  <si>
    <t>sCs (Bq/g)</t>
  </si>
  <si>
    <t>TotAct</t>
  </si>
  <si>
    <t>fSorb</t>
  </si>
  <si>
    <t>sfsorb</t>
  </si>
  <si>
    <t>pH</t>
  </si>
  <si>
    <t>spH</t>
  </si>
  <si>
    <t>RaStock5</t>
  </si>
  <si>
    <t>RaStock4</t>
  </si>
  <si>
    <t>Gamma counter measured activity (Corrected for Geometry, Bq)</t>
  </si>
  <si>
    <t>Expected Activity (Bq)</t>
  </si>
  <si>
    <t>Scint Counter Activity, with RaStock5</t>
  </si>
  <si>
    <t>Error from Expected</t>
  </si>
  <si>
    <t>Scint Counter Activity, without RaStock5</t>
  </si>
  <si>
    <t>Average Rel Error</t>
  </si>
  <si>
    <t>Scintillation Counter Calibration</t>
  </si>
  <si>
    <t>CPS-&gt;Bq w/Background (RaStd only)</t>
  </si>
  <si>
    <t>cps-&gt;Bq (background, Stds, and RaStock 5)</t>
  </si>
  <si>
    <t>Count</t>
  </si>
  <si>
    <t>counts below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</si>
</sst>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11" fontId="1" fillId="0" borderId="0" xfId="0" applyNumberFormat="1" applyFont="1"/>
    <xf numFmtId="0" fontId="4" fillId="0" borderId="2" xfId="0" applyFont="1" applyFill="1" applyBorder="1" applyAlignment="1">
      <alignment horizontal="centerContinuous"/>
    </xf>
    <xf numFmtId="0" fontId="0" fillId="0" borderId="0" xfId="0" applyFill="1" applyBorder="1" applyAlignment="1"/>
    <xf numFmtId="0" fontId="4" fillId="0" borderId="0" xfId="0" applyFont="1" applyFill="1" applyBorder="1" applyAlignment="1">
      <alignment horizontal="centerContinuous"/>
    </xf>
    <xf numFmtId="0" fontId="0" fillId="0" borderId="3" xfId="0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/>
    <xf numFmtId="0" fontId="0" fillId="0" borderId="0" xfId="0" applyFont="1" applyBorder="1" applyAlignment="1">
      <alignment horizontal="center" vertical="top"/>
    </xf>
    <xf numFmtId="11" fontId="0" fillId="0" borderId="0" xfId="0" applyNumberFormat="1"/>
    <xf numFmtId="22" fontId="0" fillId="0" borderId="0" xfId="0" applyNumberFormat="1"/>
    <xf numFmtId="14" fontId="0" fillId="0" borderId="0" xfId="0" applyNumberFormat="1"/>
    <xf numFmtId="0" fontId="2" fillId="0" borderId="4" xfId="0" applyFont="1" applyFill="1" applyBorder="1" applyAlignment="1">
      <alignment horizontal="center" vertical="top"/>
    </xf>
    <xf numFmtId="0" fontId="1" fillId="0" borderId="4" xfId="0" applyFont="1" applyBorder="1"/>
    <xf numFmtId="11" fontId="1" fillId="0" borderId="4" xfId="0" applyNumberFormat="1" applyFont="1" applyBorder="1"/>
    <xf numFmtId="0" fontId="0" fillId="0" borderId="4" xfId="0" applyBorder="1"/>
    <xf numFmtId="0" fontId="1" fillId="0" borderId="0" xfId="0" applyFont="1" applyBorder="1"/>
    <xf numFmtId="0" fontId="0" fillId="0" borderId="0" xfId="0" applyBorder="1"/>
    <xf numFmtId="0" fontId="1" fillId="0" borderId="0" xfId="0" applyFont="1" applyFill="1" applyBorder="1"/>
    <xf numFmtId="0" fontId="6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'Calibration Data'!$D$2:$D$8</c:f>
              <c:numCache>
                <c:formatCode>General</c:formatCode>
                <c:ptCount val="7"/>
                <c:pt idx="0">
                  <c:v>1.1544444444444444</c:v>
                </c:pt>
                <c:pt idx="1">
                  <c:v>3.5588888888888888</c:v>
                </c:pt>
                <c:pt idx="2">
                  <c:v>14.189444444444446</c:v>
                </c:pt>
                <c:pt idx="3">
                  <c:v>27.261666666666667</c:v>
                </c:pt>
                <c:pt idx="4">
                  <c:v>133.3138888888889</c:v>
                </c:pt>
                <c:pt idx="5">
                  <c:v>267.61888888888888</c:v>
                </c:pt>
                <c:pt idx="6">
                  <c:v>1343.9216666666666</c:v>
                </c:pt>
              </c:numCache>
            </c:numRef>
          </c:xVal>
          <c:yVal>
            <c:numRef>
              <c:f>'Calibration Data'!$G$2:$G$8</c:f>
              <c:numCache>
                <c:formatCode>General</c:formatCode>
                <c:ptCount val="7"/>
                <c:pt idx="0">
                  <c:v>0</c:v>
                </c:pt>
                <c:pt idx="1">
                  <c:v>0.42769009531437396</c:v>
                </c:pt>
                <c:pt idx="2">
                  <c:v>2.1384504765718702</c:v>
                </c:pt>
                <c:pt idx="3">
                  <c:v>4.2769009531437403</c:v>
                </c:pt>
                <c:pt idx="4">
                  <c:v>21.384504765718699</c:v>
                </c:pt>
                <c:pt idx="5">
                  <c:v>42.769009531437398</c:v>
                </c:pt>
                <c:pt idx="6">
                  <c:v>213.845047657187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numRef>
              <c:f>'Calibration Data'!$D$2:$D$8</c:f>
              <c:numCache>
                <c:formatCode>General</c:formatCode>
                <c:ptCount val="7"/>
                <c:pt idx="0">
                  <c:v>1.1544444444444444</c:v>
                </c:pt>
                <c:pt idx="1">
                  <c:v>3.5588888888888888</c:v>
                </c:pt>
                <c:pt idx="2">
                  <c:v>14.189444444444446</c:v>
                </c:pt>
                <c:pt idx="3">
                  <c:v>27.261666666666667</c:v>
                </c:pt>
                <c:pt idx="4">
                  <c:v>133.3138888888889</c:v>
                </c:pt>
                <c:pt idx="5">
                  <c:v>267.61888888888888</c:v>
                </c:pt>
                <c:pt idx="6">
                  <c:v>1343.9216666666666</c:v>
                </c:pt>
              </c:numCache>
            </c:numRef>
          </c:xVal>
          <c:yVal>
            <c:numRef>
              <c:f>'Calibration Data'!$B$38:$B$44</c:f>
              <c:numCache>
                <c:formatCode>General</c:formatCode>
                <c:ptCount val="7"/>
                <c:pt idx="0">
                  <c:v>0.1441714628506657</c:v>
                </c:pt>
                <c:pt idx="1">
                  <c:v>0.52694379154793525</c:v>
                </c:pt>
                <c:pt idx="2">
                  <c:v>2.2192609148432805</c:v>
                </c:pt>
                <c:pt idx="3">
                  <c:v>4.3002759088928997</c:v>
                </c:pt>
                <c:pt idx="4">
                  <c:v>21.183118079488228</c:v>
                </c:pt>
                <c:pt idx="5">
                  <c:v>42.563623553202696</c:v>
                </c:pt>
                <c:pt idx="6">
                  <c:v>213.90420976854736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611552"/>
        <c:axId val="199610376"/>
      </c:scatterChart>
      <c:valAx>
        <c:axId val="199611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9610376"/>
        <c:crosses val="autoZero"/>
        <c:crossBetween val="midCat"/>
      </c:valAx>
      <c:valAx>
        <c:axId val="1996103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96115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Line Fit  Plot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0519469016990174E-2"/>
          <c:y val="0.28624189833413682"/>
          <c:w val="0.83812820928248166"/>
          <c:h val="0.53549252771974931"/>
        </c:manualLayout>
      </c:layout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'Calibration Data'!$D$2:$D$9</c:f>
              <c:numCache>
                <c:formatCode>General</c:formatCode>
                <c:ptCount val="8"/>
                <c:pt idx="0">
                  <c:v>1.1544444444444444</c:v>
                </c:pt>
                <c:pt idx="1">
                  <c:v>3.5588888888888888</c:v>
                </c:pt>
                <c:pt idx="2">
                  <c:v>14.189444444444446</c:v>
                </c:pt>
                <c:pt idx="3">
                  <c:v>27.261666666666667</c:v>
                </c:pt>
                <c:pt idx="4">
                  <c:v>133.3138888888889</c:v>
                </c:pt>
                <c:pt idx="5">
                  <c:v>267.61888888888888</c:v>
                </c:pt>
                <c:pt idx="6">
                  <c:v>1343.9216666666666</c:v>
                </c:pt>
                <c:pt idx="7">
                  <c:v>5624.5516666666663</c:v>
                </c:pt>
              </c:numCache>
            </c:numRef>
          </c:xVal>
          <c:yVal>
            <c:numRef>
              <c:f>'Calibration Data'!$G$2:$G$9</c:f>
              <c:numCache>
                <c:formatCode>General</c:formatCode>
                <c:ptCount val="8"/>
                <c:pt idx="0">
                  <c:v>0</c:v>
                </c:pt>
                <c:pt idx="1">
                  <c:v>0.42769009531437396</c:v>
                </c:pt>
                <c:pt idx="2">
                  <c:v>2.1384504765718702</c:v>
                </c:pt>
                <c:pt idx="3">
                  <c:v>4.2769009531437403</c:v>
                </c:pt>
                <c:pt idx="4">
                  <c:v>21.384504765718699</c:v>
                </c:pt>
                <c:pt idx="5">
                  <c:v>42.769009531437398</c:v>
                </c:pt>
                <c:pt idx="6">
                  <c:v>213.845047657187</c:v>
                </c:pt>
                <c:pt idx="7">
                  <c:v>921.74647887323954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numRef>
              <c:f>'Calibration Data'!$D$2:$D$9</c:f>
              <c:numCache>
                <c:formatCode>General</c:formatCode>
                <c:ptCount val="8"/>
                <c:pt idx="0">
                  <c:v>1.1544444444444444</c:v>
                </c:pt>
                <c:pt idx="1">
                  <c:v>3.5588888888888888</c:v>
                </c:pt>
                <c:pt idx="2">
                  <c:v>14.189444444444446</c:v>
                </c:pt>
                <c:pt idx="3">
                  <c:v>27.261666666666667</c:v>
                </c:pt>
                <c:pt idx="4">
                  <c:v>133.3138888888889</c:v>
                </c:pt>
                <c:pt idx="5">
                  <c:v>267.61888888888888</c:v>
                </c:pt>
                <c:pt idx="6">
                  <c:v>1343.9216666666666</c:v>
                </c:pt>
                <c:pt idx="7">
                  <c:v>5624.5516666666663</c:v>
                </c:pt>
              </c:numCache>
            </c:numRef>
          </c:xVal>
          <c:yVal>
            <c:numRef>
              <c:f>'Calibration Data'!$B$72:$B$79</c:f>
              <c:numCache>
                <c:formatCode>General</c:formatCode>
                <c:ptCount val="8"/>
                <c:pt idx="0">
                  <c:v>-0.86244335302746633</c:v>
                </c:pt>
                <c:pt idx="1">
                  <c:v>-0.46848823374427229</c:v>
                </c:pt>
                <c:pt idx="2">
                  <c:v>1.273270363178999</c:v>
                </c:pt>
                <c:pt idx="3">
                  <c:v>3.4150827376553288</c:v>
                </c:pt>
                <c:pt idx="4">
                  <c:v>20.791161420752843</c:v>
                </c:pt>
                <c:pt idx="5">
                  <c:v>42.796303780178178</c:v>
                </c:pt>
                <c:pt idx="6">
                  <c:v>219.142648643325</c:v>
                </c:pt>
                <c:pt idx="7">
                  <c:v>920.50054699429393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608808"/>
        <c:axId val="199609592"/>
      </c:scatterChart>
      <c:valAx>
        <c:axId val="199608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9609592"/>
        <c:crosses val="autoZero"/>
        <c:crossBetween val="midCat"/>
      </c:valAx>
      <c:valAx>
        <c:axId val="1996095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96088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314326</xdr:colOff>
      <xdr:row>14</xdr:row>
      <xdr:rowOff>19049</xdr:rowOff>
    </xdr:from>
    <xdr:to>
      <xdr:col>13</xdr:col>
      <xdr:colOff>1214438</xdr:colOff>
      <xdr:row>40</xdr:row>
      <xdr:rowOff>47624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1457326</xdr:colOff>
      <xdr:row>48</xdr:row>
      <xdr:rowOff>104774</xdr:rowOff>
    </xdr:from>
    <xdr:to>
      <xdr:col>15</xdr:col>
      <xdr:colOff>119062</xdr:colOff>
      <xdr:row>77</xdr:row>
      <xdr:rowOff>119061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ichael\Dropbox%20(Personal)\work\MIT%20Graduate%20Work\Research\Standard%20Chemical%20Info\Radium_Stock\Radium%20Standards%20Lo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 Parameters"/>
      <sheetName val="Scintillation Counter Results"/>
      <sheetName val="Calibration Data Legacy"/>
      <sheetName val="Gamma Counter Multinuclide Stan"/>
      <sheetName val="Quality Control Notes"/>
      <sheetName val="Gamma Counter Geometry"/>
      <sheetName val="Scint Cocktail Testing"/>
      <sheetName val="Calibration Data"/>
      <sheetName val="Stock Log"/>
    </sheetNames>
    <sheetDataSet>
      <sheetData sheetId="0"/>
      <sheetData sheetId="1"/>
      <sheetData sheetId="2"/>
      <sheetData sheetId="3"/>
      <sheetData sheetId="4"/>
      <sheetData sheetId="5">
        <row r="6">
          <cell r="G6">
            <v>42.769009531437398</v>
          </cell>
        </row>
      </sheetData>
      <sheetData sheetId="6"/>
      <sheetData sheetId="7"/>
      <sheetData sheetId="8">
        <row r="6">
          <cell r="F6">
            <v>921.74647887323954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3" sqref="B3"/>
    </sheetView>
  </sheetViews>
  <sheetFormatPr defaultRowHeight="15" x14ac:dyDescent="0.25"/>
  <cols>
    <col min="1" max="1" width="26.5703125" bestFit="1" customWidth="1"/>
    <col min="2" max="2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7</v>
      </c>
    </row>
    <row r="2" spans="1:5" x14ac:dyDescent="0.25">
      <c r="A2" t="s">
        <v>8</v>
      </c>
      <c r="B2" s="16">
        <v>42431</v>
      </c>
    </row>
    <row r="3" spans="1:5" x14ac:dyDescent="0.25">
      <c r="A3" t="s">
        <v>3</v>
      </c>
      <c r="B3">
        <v>100</v>
      </c>
      <c r="C3">
        <v>0.17199999999999999</v>
      </c>
      <c r="D3" t="s">
        <v>5</v>
      </c>
      <c r="E3" t="s">
        <v>19</v>
      </c>
    </row>
    <row r="4" spans="1:5" x14ac:dyDescent="0.25">
      <c r="A4" t="s">
        <v>9</v>
      </c>
      <c r="B4" t="s">
        <v>105</v>
      </c>
    </row>
    <row r="5" spans="1:5" x14ac:dyDescent="0.25">
      <c r="A5" t="s">
        <v>22</v>
      </c>
      <c r="B5" t="s">
        <v>23</v>
      </c>
    </row>
    <row r="6" spans="1:5" x14ac:dyDescent="0.25">
      <c r="A6" t="s">
        <v>6</v>
      </c>
      <c r="B6">
        <v>471.73605764182452</v>
      </c>
      <c r="C6">
        <v>2.3454898264593513</v>
      </c>
      <c r="D6" t="s">
        <v>20</v>
      </c>
      <c r="E6" t="s">
        <v>13</v>
      </c>
    </row>
    <row r="7" spans="1:5" x14ac:dyDescent="0.25">
      <c r="A7" t="s">
        <v>25</v>
      </c>
      <c r="B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opLeftCell="A20" workbookViewId="0">
      <selection activeCell="C92" sqref="C92"/>
    </sheetView>
  </sheetViews>
  <sheetFormatPr defaultRowHeight="15" x14ac:dyDescent="0.25"/>
  <cols>
    <col min="1" max="1" width="14.85546875" bestFit="1" customWidth="1"/>
    <col min="6" max="6" width="12.7109375" bestFit="1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11</v>
      </c>
      <c r="E1" t="s">
        <v>17</v>
      </c>
      <c r="F1" t="s">
        <v>18</v>
      </c>
    </row>
    <row r="2" spans="1:6" x14ac:dyDescent="0.25">
      <c r="A2" s="15">
        <v>42464.413194444445</v>
      </c>
      <c r="B2" t="s">
        <v>87</v>
      </c>
      <c r="C2">
        <v>84.7</v>
      </c>
      <c r="D2">
        <v>6.87</v>
      </c>
      <c r="E2">
        <v>0.16</v>
      </c>
      <c r="F2">
        <v>202.21</v>
      </c>
    </row>
    <row r="3" spans="1:6" x14ac:dyDescent="0.25">
      <c r="A3" s="15">
        <v>42464.413194444445</v>
      </c>
      <c r="B3" t="s">
        <v>88</v>
      </c>
      <c r="C3">
        <v>79.7</v>
      </c>
      <c r="D3">
        <v>7.08</v>
      </c>
      <c r="E3">
        <v>0.13</v>
      </c>
      <c r="F3">
        <v>212.84</v>
      </c>
    </row>
    <row r="4" spans="1:6" x14ac:dyDescent="0.25">
      <c r="A4" s="15">
        <v>42464.413194444445</v>
      </c>
      <c r="B4" t="s">
        <v>89</v>
      </c>
      <c r="C4">
        <v>73.3</v>
      </c>
      <c r="D4">
        <v>7.39</v>
      </c>
      <c r="E4">
        <v>0.17</v>
      </c>
      <c r="F4">
        <v>223.47</v>
      </c>
    </row>
    <row r="5" spans="1:6" x14ac:dyDescent="0.25">
      <c r="A5" s="15">
        <v>42464.413194444445</v>
      </c>
      <c r="B5" t="s">
        <v>90</v>
      </c>
      <c r="C5">
        <v>302.2</v>
      </c>
      <c r="D5">
        <v>3.64</v>
      </c>
      <c r="E5">
        <v>0.04</v>
      </c>
      <c r="F5">
        <v>234.11</v>
      </c>
    </row>
    <row r="6" spans="1:6" x14ac:dyDescent="0.25">
      <c r="A6" s="15">
        <v>42464.413194444445</v>
      </c>
      <c r="B6" t="s">
        <v>91</v>
      </c>
      <c r="C6">
        <v>332.8</v>
      </c>
      <c r="D6">
        <v>3.47</v>
      </c>
      <c r="E6">
        <v>0.05</v>
      </c>
      <c r="F6">
        <v>244.75</v>
      </c>
    </row>
    <row r="7" spans="1:6" x14ac:dyDescent="0.25">
      <c r="A7" s="15">
        <v>42464.413194444445</v>
      </c>
      <c r="B7" t="s">
        <v>92</v>
      </c>
      <c r="C7">
        <v>322</v>
      </c>
      <c r="D7">
        <v>3.52</v>
      </c>
      <c r="E7">
        <v>0.05</v>
      </c>
      <c r="F7">
        <v>255.38</v>
      </c>
    </row>
    <row r="8" spans="1:6" x14ac:dyDescent="0.25">
      <c r="A8" s="15">
        <v>42464.413194444445</v>
      </c>
      <c r="B8" t="s">
        <v>93</v>
      </c>
      <c r="C8">
        <v>1189</v>
      </c>
      <c r="D8">
        <v>1.83</v>
      </c>
      <c r="E8">
        <v>0.01</v>
      </c>
      <c r="F8">
        <v>266.13</v>
      </c>
    </row>
    <row r="9" spans="1:6" x14ac:dyDescent="0.25">
      <c r="A9" s="15">
        <v>42464.413194444445</v>
      </c>
      <c r="B9" t="s">
        <v>94</v>
      </c>
      <c r="C9">
        <v>1365.7</v>
      </c>
      <c r="D9">
        <v>1.71</v>
      </c>
      <c r="E9">
        <v>0.01</v>
      </c>
      <c r="F9">
        <v>276.76</v>
      </c>
    </row>
    <row r="10" spans="1:6" x14ac:dyDescent="0.25">
      <c r="A10" s="15">
        <v>42464.413194444445</v>
      </c>
      <c r="B10" t="s">
        <v>95</v>
      </c>
      <c r="C10">
        <v>1322.5</v>
      </c>
      <c r="D10">
        <v>1.74</v>
      </c>
      <c r="E10">
        <v>0.01</v>
      </c>
      <c r="F10">
        <v>287.39999999999998</v>
      </c>
    </row>
    <row r="11" spans="1:6" x14ac:dyDescent="0.25">
      <c r="A11" s="15">
        <v>42464.413194444445</v>
      </c>
      <c r="B11" t="s">
        <v>96</v>
      </c>
      <c r="C11">
        <v>2723.1</v>
      </c>
      <c r="D11">
        <v>1.21</v>
      </c>
      <c r="E11">
        <v>0.01</v>
      </c>
      <c r="F11">
        <v>298.04000000000002</v>
      </c>
    </row>
    <row r="12" spans="1:6" x14ac:dyDescent="0.25">
      <c r="A12" s="15">
        <v>42464.413194444445</v>
      </c>
      <c r="B12" t="s">
        <v>97</v>
      </c>
      <c r="C12">
        <v>2791.2</v>
      </c>
      <c r="D12">
        <v>1.2</v>
      </c>
      <c r="E12">
        <v>0</v>
      </c>
      <c r="F12">
        <v>308.69</v>
      </c>
    </row>
    <row r="13" spans="1:6" x14ac:dyDescent="0.25">
      <c r="A13" s="15">
        <v>42464.413194444445</v>
      </c>
      <c r="B13" t="s">
        <v>98</v>
      </c>
      <c r="C13">
        <v>2697</v>
      </c>
      <c r="D13">
        <v>1.22</v>
      </c>
      <c r="E13">
        <v>0</v>
      </c>
      <c r="F13">
        <v>319.32</v>
      </c>
    </row>
    <row r="14" spans="1:6" x14ac:dyDescent="0.25">
      <c r="A14" s="15">
        <v>42464.413194444445</v>
      </c>
      <c r="B14" t="s">
        <v>99</v>
      </c>
      <c r="C14">
        <v>5857.2</v>
      </c>
      <c r="D14">
        <v>0.83</v>
      </c>
      <c r="E14">
        <v>0</v>
      </c>
      <c r="F14">
        <v>329.98</v>
      </c>
    </row>
    <row r="15" spans="1:6" x14ac:dyDescent="0.25">
      <c r="A15" s="15">
        <v>42464.413194444445</v>
      </c>
      <c r="B15" t="s">
        <v>100</v>
      </c>
      <c r="C15">
        <v>5974.5</v>
      </c>
      <c r="D15">
        <v>0.82</v>
      </c>
      <c r="E15">
        <v>0</v>
      </c>
      <c r="F15">
        <v>340.63</v>
      </c>
    </row>
    <row r="16" spans="1:6" x14ac:dyDescent="0.25">
      <c r="A16" s="15">
        <v>42464.413194444445</v>
      </c>
      <c r="B16" t="s">
        <v>101</v>
      </c>
      <c r="C16">
        <v>6703.1</v>
      </c>
      <c r="D16">
        <v>0.77</v>
      </c>
      <c r="E16">
        <v>0</v>
      </c>
      <c r="F16">
        <v>351.29</v>
      </c>
    </row>
    <row r="17" spans="1:6" x14ac:dyDescent="0.25">
      <c r="A17" s="15">
        <v>42464.413194444445</v>
      </c>
      <c r="B17" t="s">
        <v>102</v>
      </c>
      <c r="C17">
        <v>12338.6</v>
      </c>
      <c r="D17">
        <v>0.56999999999999995</v>
      </c>
      <c r="E17">
        <v>0</v>
      </c>
      <c r="F17">
        <v>361.98</v>
      </c>
    </row>
    <row r="18" spans="1:6" x14ac:dyDescent="0.25">
      <c r="A18" s="15">
        <v>42464.413194444445</v>
      </c>
      <c r="B18" t="s">
        <v>103</v>
      </c>
      <c r="C18">
        <v>12636.7</v>
      </c>
      <c r="D18">
        <v>0.56000000000000005</v>
      </c>
      <c r="E18">
        <v>0</v>
      </c>
      <c r="F18">
        <v>372.66</v>
      </c>
    </row>
    <row r="19" spans="1:6" x14ac:dyDescent="0.25">
      <c r="A19" s="15">
        <v>42464.413194444445</v>
      </c>
      <c r="B19" t="s">
        <v>104</v>
      </c>
      <c r="C19">
        <v>12643.4</v>
      </c>
      <c r="D19">
        <v>0.56000000000000005</v>
      </c>
      <c r="E19">
        <v>0</v>
      </c>
      <c r="F19">
        <v>383.35</v>
      </c>
    </row>
    <row r="20" spans="1:6" x14ac:dyDescent="0.25">
      <c r="A20" s="15">
        <v>42465.597222222219</v>
      </c>
      <c r="B20" t="s">
        <v>87</v>
      </c>
      <c r="C20">
        <v>81</v>
      </c>
      <c r="D20">
        <v>7.03</v>
      </c>
      <c r="E20">
        <v>0.12</v>
      </c>
      <c r="F20">
        <v>202.18</v>
      </c>
    </row>
    <row r="21" spans="1:6" x14ac:dyDescent="0.25">
      <c r="A21" s="15">
        <v>42465.597222222219</v>
      </c>
      <c r="B21" t="s">
        <v>88</v>
      </c>
      <c r="C21">
        <v>74.2</v>
      </c>
      <c r="D21">
        <v>7.34</v>
      </c>
      <c r="E21">
        <v>0.11</v>
      </c>
      <c r="F21">
        <v>212.81</v>
      </c>
    </row>
    <row r="22" spans="1:6" x14ac:dyDescent="0.25">
      <c r="A22" s="15">
        <v>42465.597222222219</v>
      </c>
      <c r="B22" t="s">
        <v>89</v>
      </c>
      <c r="C22">
        <v>75.5</v>
      </c>
      <c r="D22">
        <v>7.28</v>
      </c>
      <c r="E22">
        <v>0.13</v>
      </c>
      <c r="F22">
        <v>223.44</v>
      </c>
    </row>
    <row r="23" spans="1:6" x14ac:dyDescent="0.25">
      <c r="A23" s="15">
        <v>42465.597222222219</v>
      </c>
      <c r="B23" t="s">
        <v>90</v>
      </c>
      <c r="C23">
        <v>294.89999999999998</v>
      </c>
      <c r="D23">
        <v>3.68</v>
      </c>
      <c r="E23">
        <v>0.03</v>
      </c>
      <c r="F23">
        <v>234.08</v>
      </c>
    </row>
    <row r="24" spans="1:6" x14ac:dyDescent="0.25">
      <c r="A24" s="15">
        <v>42465.597222222219</v>
      </c>
      <c r="B24" t="s">
        <v>91</v>
      </c>
      <c r="C24">
        <v>320.60000000000002</v>
      </c>
      <c r="D24">
        <v>3.53</v>
      </c>
      <c r="E24">
        <v>0.03</v>
      </c>
      <c r="F24">
        <v>244.71</v>
      </c>
    </row>
    <row r="25" spans="1:6" x14ac:dyDescent="0.25">
      <c r="A25" s="15">
        <v>42465.597222222219</v>
      </c>
      <c r="B25" t="s">
        <v>92</v>
      </c>
      <c r="C25">
        <v>315.2</v>
      </c>
      <c r="D25">
        <v>3.56</v>
      </c>
      <c r="E25">
        <v>0.03</v>
      </c>
      <c r="F25">
        <v>255.36</v>
      </c>
    </row>
    <row r="26" spans="1:6" x14ac:dyDescent="0.25">
      <c r="A26" s="15">
        <v>42465.597222222219</v>
      </c>
      <c r="B26" t="s">
        <v>93</v>
      </c>
      <c r="C26">
        <v>1181.9000000000001</v>
      </c>
      <c r="D26">
        <v>1.84</v>
      </c>
      <c r="E26">
        <v>0.01</v>
      </c>
      <c r="F26">
        <v>266.10000000000002</v>
      </c>
    </row>
    <row r="27" spans="1:6" x14ac:dyDescent="0.25">
      <c r="A27" s="15">
        <v>42465.597222222219</v>
      </c>
      <c r="B27" t="s">
        <v>94</v>
      </c>
      <c r="C27">
        <v>1342.9</v>
      </c>
      <c r="D27">
        <v>1.73</v>
      </c>
      <c r="E27">
        <v>0.01</v>
      </c>
      <c r="F27">
        <v>276.73</v>
      </c>
    </row>
    <row r="28" spans="1:6" x14ac:dyDescent="0.25">
      <c r="A28" s="15">
        <v>42465.597222222219</v>
      </c>
      <c r="B28" t="s">
        <v>95</v>
      </c>
      <c r="C28">
        <v>1326.5</v>
      </c>
      <c r="D28">
        <v>1.74</v>
      </c>
      <c r="E28">
        <v>0.01</v>
      </c>
      <c r="F28">
        <v>287.37</v>
      </c>
    </row>
    <row r="29" spans="1:6" x14ac:dyDescent="0.25">
      <c r="A29" s="15">
        <v>42465.597222222219</v>
      </c>
      <c r="B29" t="s">
        <v>96</v>
      </c>
      <c r="C29">
        <v>2664.4</v>
      </c>
      <c r="D29">
        <v>1.23</v>
      </c>
      <c r="E29">
        <v>0</v>
      </c>
      <c r="F29">
        <v>298</v>
      </c>
    </row>
    <row r="30" spans="1:6" x14ac:dyDescent="0.25">
      <c r="A30" s="15">
        <v>42465.597222222219</v>
      </c>
      <c r="B30" t="s">
        <v>97</v>
      </c>
      <c r="C30">
        <v>2761.1</v>
      </c>
      <c r="D30">
        <v>1.2</v>
      </c>
      <c r="E30">
        <v>0</v>
      </c>
      <c r="F30">
        <v>308.63</v>
      </c>
    </row>
    <row r="31" spans="1:6" x14ac:dyDescent="0.25">
      <c r="A31" s="15">
        <v>42465.597222222219</v>
      </c>
      <c r="B31" t="s">
        <v>98</v>
      </c>
      <c r="C31">
        <v>2679</v>
      </c>
      <c r="D31">
        <v>1.22</v>
      </c>
      <c r="E31">
        <v>0</v>
      </c>
      <c r="F31">
        <v>319.29000000000002</v>
      </c>
    </row>
    <row r="32" spans="1:6" x14ac:dyDescent="0.25">
      <c r="A32" s="15">
        <v>42465.597222222219</v>
      </c>
      <c r="B32" t="s">
        <v>99</v>
      </c>
      <c r="C32">
        <v>5824.2</v>
      </c>
      <c r="D32">
        <v>0.83</v>
      </c>
      <c r="E32">
        <v>0</v>
      </c>
      <c r="F32">
        <v>329.93</v>
      </c>
    </row>
    <row r="33" spans="1:6" x14ac:dyDescent="0.25">
      <c r="A33" s="15">
        <v>42465.597222222219</v>
      </c>
      <c r="B33" t="s">
        <v>100</v>
      </c>
      <c r="C33">
        <v>5954.9</v>
      </c>
      <c r="D33">
        <v>0.82</v>
      </c>
      <c r="E33">
        <v>0</v>
      </c>
      <c r="F33">
        <v>340.6</v>
      </c>
    </row>
    <row r="34" spans="1:6" x14ac:dyDescent="0.25">
      <c r="A34" s="15">
        <v>42465.597222222219</v>
      </c>
      <c r="B34" t="s">
        <v>101</v>
      </c>
      <c r="C34">
        <v>6711.2</v>
      </c>
      <c r="D34">
        <v>0.77</v>
      </c>
      <c r="E34">
        <v>0</v>
      </c>
      <c r="F34">
        <v>351.25</v>
      </c>
    </row>
    <row r="35" spans="1:6" x14ac:dyDescent="0.25">
      <c r="A35" s="15">
        <v>42465.597222222219</v>
      </c>
      <c r="B35" t="s">
        <v>102</v>
      </c>
      <c r="C35">
        <v>12310.4</v>
      </c>
      <c r="D35">
        <v>0.56999999999999995</v>
      </c>
      <c r="E35">
        <v>0</v>
      </c>
      <c r="F35">
        <v>361.94</v>
      </c>
    </row>
    <row r="36" spans="1:6" x14ac:dyDescent="0.25">
      <c r="A36" s="15">
        <v>42465.597222222219</v>
      </c>
      <c r="B36" t="s">
        <v>103</v>
      </c>
      <c r="C36">
        <v>12627.1</v>
      </c>
      <c r="D36">
        <v>0.56000000000000005</v>
      </c>
      <c r="E36">
        <v>0</v>
      </c>
      <c r="F36">
        <v>372.63</v>
      </c>
    </row>
    <row r="37" spans="1:6" x14ac:dyDescent="0.25">
      <c r="A37" s="15">
        <v>42465.597222222219</v>
      </c>
      <c r="B37" t="s">
        <v>104</v>
      </c>
      <c r="C37">
        <v>12773.7</v>
      </c>
      <c r="D37">
        <v>0.56000000000000005</v>
      </c>
      <c r="E37">
        <v>0</v>
      </c>
      <c r="F37">
        <v>383.31</v>
      </c>
    </row>
    <row r="38" spans="1:6" x14ac:dyDescent="0.25">
      <c r="A38" s="15">
        <v>42466.703472222223</v>
      </c>
      <c r="B38" t="s">
        <v>87</v>
      </c>
      <c r="C38">
        <v>84.4</v>
      </c>
      <c r="D38">
        <v>6.88</v>
      </c>
      <c r="E38">
        <v>0.1</v>
      </c>
      <c r="F38">
        <v>202.17</v>
      </c>
    </row>
    <row r="39" spans="1:6" x14ac:dyDescent="0.25">
      <c r="A39" s="15">
        <v>42466.703472222223</v>
      </c>
      <c r="B39" t="s">
        <v>88</v>
      </c>
      <c r="C39">
        <v>74.2</v>
      </c>
      <c r="D39">
        <v>7.34</v>
      </c>
      <c r="E39">
        <v>0.11</v>
      </c>
      <c r="F39">
        <v>212.81</v>
      </c>
    </row>
    <row r="40" spans="1:6" x14ac:dyDescent="0.25">
      <c r="A40" s="15">
        <v>42466.703472222223</v>
      </c>
      <c r="B40" t="s">
        <v>89</v>
      </c>
      <c r="C40">
        <v>76.5</v>
      </c>
      <c r="D40">
        <v>7.23</v>
      </c>
      <c r="E40">
        <v>0.11</v>
      </c>
      <c r="F40">
        <v>223.44</v>
      </c>
    </row>
    <row r="41" spans="1:6" x14ac:dyDescent="0.25">
      <c r="A41" s="15">
        <v>42466.703472222223</v>
      </c>
      <c r="B41" t="s">
        <v>90</v>
      </c>
      <c r="C41">
        <v>307</v>
      </c>
      <c r="D41">
        <v>3.61</v>
      </c>
      <c r="E41">
        <v>0.02</v>
      </c>
      <c r="F41">
        <v>234.07</v>
      </c>
    </row>
    <row r="42" spans="1:6" x14ac:dyDescent="0.25">
      <c r="A42" s="15">
        <v>42466.703472222223</v>
      </c>
      <c r="B42" t="s">
        <v>91</v>
      </c>
      <c r="C42">
        <v>325.2</v>
      </c>
      <c r="D42">
        <v>3.51</v>
      </c>
      <c r="E42">
        <v>0.03</v>
      </c>
      <c r="F42">
        <v>244.71</v>
      </c>
    </row>
    <row r="43" spans="1:6" x14ac:dyDescent="0.25">
      <c r="A43" s="15">
        <v>42466.703472222223</v>
      </c>
      <c r="B43" t="s">
        <v>92</v>
      </c>
      <c r="C43">
        <v>333.4</v>
      </c>
      <c r="D43">
        <v>3.46</v>
      </c>
      <c r="E43">
        <v>0.03</v>
      </c>
      <c r="F43">
        <v>255.34</v>
      </c>
    </row>
    <row r="44" spans="1:6" x14ac:dyDescent="0.25">
      <c r="A44" s="15">
        <v>42466.703472222223</v>
      </c>
      <c r="B44" t="s">
        <v>93</v>
      </c>
      <c r="C44">
        <v>1187.0999999999999</v>
      </c>
      <c r="D44">
        <v>1.84</v>
      </c>
      <c r="E44">
        <v>0.01</v>
      </c>
      <c r="F44">
        <v>266.08</v>
      </c>
    </row>
    <row r="45" spans="1:6" x14ac:dyDescent="0.25">
      <c r="A45" s="15">
        <v>42466.703472222223</v>
      </c>
      <c r="B45" t="s">
        <v>94</v>
      </c>
      <c r="C45">
        <v>1363.6</v>
      </c>
      <c r="D45">
        <v>1.71</v>
      </c>
      <c r="E45">
        <v>0.01</v>
      </c>
      <c r="F45">
        <v>276.70999999999998</v>
      </c>
    </row>
    <row r="46" spans="1:6" x14ac:dyDescent="0.25">
      <c r="A46" s="15">
        <v>42466.703472222223</v>
      </c>
      <c r="B46" t="s">
        <v>95</v>
      </c>
      <c r="C46">
        <v>1308.2</v>
      </c>
      <c r="D46">
        <v>1.75</v>
      </c>
      <c r="E46">
        <v>0.01</v>
      </c>
      <c r="F46">
        <v>287.33999999999997</v>
      </c>
    </row>
    <row r="47" spans="1:6" x14ac:dyDescent="0.25">
      <c r="A47" s="15">
        <v>42466.703472222223</v>
      </c>
      <c r="B47" t="s">
        <v>96</v>
      </c>
      <c r="C47">
        <v>2644.8</v>
      </c>
      <c r="D47">
        <v>1.23</v>
      </c>
      <c r="E47">
        <v>0</v>
      </c>
      <c r="F47">
        <v>297.99</v>
      </c>
    </row>
    <row r="48" spans="1:6" x14ac:dyDescent="0.25">
      <c r="A48" s="15">
        <v>42466.703472222223</v>
      </c>
      <c r="B48" t="s">
        <v>97</v>
      </c>
      <c r="C48">
        <v>2807.2</v>
      </c>
      <c r="D48">
        <v>1.19</v>
      </c>
      <c r="E48">
        <v>0</v>
      </c>
      <c r="F48">
        <v>308.62</v>
      </c>
    </row>
    <row r="49" spans="1:6" x14ac:dyDescent="0.25">
      <c r="A49" s="15">
        <v>42466.703472222223</v>
      </c>
      <c r="B49" t="s">
        <v>98</v>
      </c>
      <c r="C49">
        <v>2659.2</v>
      </c>
      <c r="D49">
        <v>1.23</v>
      </c>
      <c r="E49">
        <v>0</v>
      </c>
      <c r="F49">
        <v>319.27</v>
      </c>
    </row>
    <row r="50" spans="1:6" x14ac:dyDescent="0.25">
      <c r="A50" s="15">
        <v>42466.703472222223</v>
      </c>
      <c r="B50" t="s">
        <v>99</v>
      </c>
      <c r="C50">
        <v>5950</v>
      </c>
      <c r="D50">
        <v>0.82</v>
      </c>
      <c r="E50">
        <v>0</v>
      </c>
      <c r="F50">
        <v>329.91</v>
      </c>
    </row>
    <row r="51" spans="1:6" x14ac:dyDescent="0.25">
      <c r="A51" s="15">
        <v>42466.703472222223</v>
      </c>
      <c r="B51" t="s">
        <v>100</v>
      </c>
      <c r="C51">
        <v>5967.7</v>
      </c>
      <c r="D51">
        <v>0.82</v>
      </c>
      <c r="E51">
        <v>0</v>
      </c>
      <c r="F51">
        <v>340.56</v>
      </c>
    </row>
    <row r="52" spans="1:6" x14ac:dyDescent="0.25">
      <c r="A52" s="15">
        <v>42466.703472222223</v>
      </c>
      <c r="B52" t="s">
        <v>101</v>
      </c>
      <c r="C52">
        <v>6767.6</v>
      </c>
      <c r="D52">
        <v>0.77</v>
      </c>
      <c r="E52">
        <v>0</v>
      </c>
      <c r="F52">
        <v>351.22</v>
      </c>
    </row>
    <row r="53" spans="1:6" x14ac:dyDescent="0.25">
      <c r="A53" s="15">
        <v>42466.703472222223</v>
      </c>
      <c r="B53" t="s">
        <v>102</v>
      </c>
      <c r="C53">
        <v>12318</v>
      </c>
      <c r="D53">
        <v>0.56999999999999995</v>
      </c>
      <c r="E53">
        <v>0</v>
      </c>
      <c r="F53">
        <v>361.9</v>
      </c>
    </row>
    <row r="54" spans="1:6" x14ac:dyDescent="0.25">
      <c r="A54" s="15">
        <v>42466.703472222223</v>
      </c>
      <c r="B54" t="s">
        <v>103</v>
      </c>
      <c r="C54">
        <v>12837.1</v>
      </c>
      <c r="D54">
        <v>0.56000000000000005</v>
      </c>
      <c r="E54">
        <v>0</v>
      </c>
      <c r="F54">
        <v>372.58</v>
      </c>
    </row>
    <row r="55" spans="1:6" x14ac:dyDescent="0.25">
      <c r="A55" s="15">
        <v>42466.703472222223</v>
      </c>
      <c r="B55" t="s">
        <v>104</v>
      </c>
      <c r="C55">
        <v>12811.3</v>
      </c>
      <c r="D55">
        <v>0.56000000000000005</v>
      </c>
      <c r="E55">
        <v>0</v>
      </c>
      <c r="F55">
        <v>383.26</v>
      </c>
    </row>
    <row r="56" spans="1:6" x14ac:dyDescent="0.25">
      <c r="A56" s="15">
        <v>42471.644444444442</v>
      </c>
      <c r="B56" t="s">
        <v>87</v>
      </c>
      <c r="C56">
        <v>81.400000000000006</v>
      </c>
      <c r="D56">
        <v>7.01</v>
      </c>
      <c r="E56">
        <v>0.08</v>
      </c>
      <c r="F56">
        <v>202.15</v>
      </c>
    </row>
    <row r="57" spans="1:6" x14ac:dyDescent="0.25">
      <c r="A57" s="15">
        <v>42471.644444444442</v>
      </c>
      <c r="B57" t="s">
        <v>88</v>
      </c>
      <c r="C57">
        <v>78.3</v>
      </c>
      <c r="D57">
        <v>7.15</v>
      </c>
      <c r="E57">
        <v>0.09</v>
      </c>
      <c r="F57">
        <v>212.79</v>
      </c>
    </row>
    <row r="58" spans="1:6" x14ac:dyDescent="0.25">
      <c r="A58" s="15">
        <v>42471.644444444442</v>
      </c>
      <c r="B58" t="s">
        <v>89</v>
      </c>
      <c r="C58">
        <v>69.7</v>
      </c>
      <c r="D58">
        <v>7.58</v>
      </c>
      <c r="E58">
        <v>0.09</v>
      </c>
      <c r="F58">
        <v>223.41</v>
      </c>
    </row>
    <row r="59" spans="1:6" x14ac:dyDescent="0.25">
      <c r="A59" s="15">
        <v>42471.644444444442</v>
      </c>
      <c r="B59" t="s">
        <v>90</v>
      </c>
      <c r="C59">
        <v>306.7</v>
      </c>
      <c r="D59">
        <v>3.61</v>
      </c>
      <c r="E59">
        <v>0.02</v>
      </c>
      <c r="F59">
        <v>234.04</v>
      </c>
    </row>
    <row r="60" spans="1:6" x14ac:dyDescent="0.25">
      <c r="A60" s="15">
        <v>42471.644444444442</v>
      </c>
      <c r="B60" t="s">
        <v>91</v>
      </c>
      <c r="C60">
        <v>337</v>
      </c>
      <c r="D60">
        <v>3.45</v>
      </c>
      <c r="E60">
        <v>0.02</v>
      </c>
      <c r="F60">
        <v>244.67</v>
      </c>
    </row>
    <row r="61" spans="1:6" x14ac:dyDescent="0.25">
      <c r="A61" s="15">
        <v>42471.644444444442</v>
      </c>
      <c r="B61" t="s">
        <v>92</v>
      </c>
      <c r="C61">
        <v>337</v>
      </c>
      <c r="D61">
        <v>3.45</v>
      </c>
      <c r="E61">
        <v>0.02</v>
      </c>
      <c r="F61">
        <v>255.31</v>
      </c>
    </row>
    <row r="62" spans="1:6" x14ac:dyDescent="0.25">
      <c r="A62" s="15">
        <v>42471.644444444442</v>
      </c>
      <c r="B62" t="s">
        <v>93</v>
      </c>
      <c r="C62">
        <v>1196.9000000000001</v>
      </c>
      <c r="D62">
        <v>1.83</v>
      </c>
      <c r="E62">
        <v>0.01</v>
      </c>
      <c r="F62">
        <v>266.04000000000002</v>
      </c>
    </row>
    <row r="63" spans="1:6" x14ac:dyDescent="0.25">
      <c r="A63" s="15">
        <v>42471.644444444442</v>
      </c>
      <c r="B63" t="s">
        <v>94</v>
      </c>
      <c r="C63">
        <v>1361.8</v>
      </c>
      <c r="D63">
        <v>1.71</v>
      </c>
      <c r="E63">
        <v>0</v>
      </c>
      <c r="F63">
        <v>276.68</v>
      </c>
    </row>
    <row r="64" spans="1:6" x14ac:dyDescent="0.25">
      <c r="A64" s="15">
        <v>42471.644444444442</v>
      </c>
      <c r="B64" t="s">
        <v>95</v>
      </c>
      <c r="C64">
        <v>1356.7</v>
      </c>
      <c r="D64">
        <v>1.72</v>
      </c>
      <c r="E64">
        <v>0.01</v>
      </c>
      <c r="F64">
        <v>287.31</v>
      </c>
    </row>
    <row r="65" spans="1:6" x14ac:dyDescent="0.25">
      <c r="A65" s="15">
        <v>42471.644444444442</v>
      </c>
      <c r="B65" t="s">
        <v>96</v>
      </c>
      <c r="C65">
        <v>2741.7</v>
      </c>
      <c r="D65">
        <v>1.21</v>
      </c>
      <c r="E65">
        <v>0</v>
      </c>
      <c r="F65">
        <v>297.95</v>
      </c>
    </row>
    <row r="66" spans="1:6" x14ac:dyDescent="0.25">
      <c r="A66" s="15">
        <v>42471.644444444442</v>
      </c>
      <c r="B66" t="s">
        <v>97</v>
      </c>
      <c r="C66">
        <v>2812.7</v>
      </c>
      <c r="D66">
        <v>1.19</v>
      </c>
      <c r="E66">
        <v>0</v>
      </c>
      <c r="F66">
        <v>308.58</v>
      </c>
    </row>
    <row r="67" spans="1:6" x14ac:dyDescent="0.25">
      <c r="A67" s="15">
        <v>42471.644444444442</v>
      </c>
      <c r="B67" t="s">
        <v>98</v>
      </c>
      <c r="C67">
        <v>2748.3</v>
      </c>
      <c r="D67">
        <v>1.21</v>
      </c>
      <c r="E67">
        <v>0</v>
      </c>
      <c r="F67">
        <v>319.23</v>
      </c>
    </row>
    <row r="68" spans="1:6" x14ac:dyDescent="0.25">
      <c r="A68" s="15">
        <v>42471.644444444442</v>
      </c>
      <c r="B68" t="s">
        <v>99</v>
      </c>
      <c r="C68">
        <v>6029.7</v>
      </c>
      <c r="D68">
        <v>0.81</v>
      </c>
      <c r="E68">
        <v>0</v>
      </c>
      <c r="F68">
        <v>329.88</v>
      </c>
    </row>
    <row r="69" spans="1:6" x14ac:dyDescent="0.25">
      <c r="A69" s="15">
        <v>42471.644444444442</v>
      </c>
      <c r="B69" t="s">
        <v>100</v>
      </c>
      <c r="C69">
        <v>5982.2</v>
      </c>
      <c r="D69">
        <v>0.82</v>
      </c>
      <c r="E69">
        <v>0</v>
      </c>
      <c r="F69">
        <v>340.53</v>
      </c>
    </row>
    <row r="70" spans="1:6" x14ac:dyDescent="0.25">
      <c r="A70" s="15">
        <v>42471.644444444442</v>
      </c>
      <c r="B70" t="s">
        <v>101</v>
      </c>
      <c r="C70">
        <v>6828.1</v>
      </c>
      <c r="D70">
        <v>0.77</v>
      </c>
      <c r="E70">
        <v>0</v>
      </c>
      <c r="F70">
        <v>351.19</v>
      </c>
    </row>
    <row r="71" spans="1:6" x14ac:dyDescent="0.25">
      <c r="A71" s="15">
        <v>42471.644444444442</v>
      </c>
      <c r="B71" t="s">
        <v>102</v>
      </c>
      <c r="C71">
        <v>12521.6</v>
      </c>
      <c r="D71">
        <v>0.56999999999999995</v>
      </c>
      <c r="E71">
        <v>0</v>
      </c>
      <c r="F71">
        <v>361.87</v>
      </c>
    </row>
    <row r="72" spans="1:6" x14ac:dyDescent="0.25">
      <c r="A72" s="15">
        <v>42471.644444444442</v>
      </c>
      <c r="B72" t="s">
        <v>103</v>
      </c>
      <c r="C72">
        <v>12916.4</v>
      </c>
      <c r="D72">
        <v>0.56000000000000005</v>
      </c>
      <c r="E72">
        <v>0</v>
      </c>
      <c r="F72">
        <v>372.54</v>
      </c>
    </row>
    <row r="73" spans="1:6" x14ac:dyDescent="0.25">
      <c r="A73" s="15">
        <v>42471.644444444442</v>
      </c>
      <c r="B73" t="s">
        <v>104</v>
      </c>
      <c r="C73">
        <v>13064.3</v>
      </c>
      <c r="D73">
        <v>0.55000000000000004</v>
      </c>
      <c r="E73">
        <v>0</v>
      </c>
      <c r="F73">
        <v>383.22</v>
      </c>
    </row>
    <row r="74" spans="1:6" x14ac:dyDescent="0.25">
      <c r="A74" s="15">
        <v>42472.4375</v>
      </c>
      <c r="B74" t="s">
        <v>87</v>
      </c>
      <c r="C74">
        <v>86.1</v>
      </c>
      <c r="D74">
        <v>6.82</v>
      </c>
      <c r="E74">
        <v>0.1</v>
      </c>
      <c r="F74">
        <v>202.13</v>
      </c>
    </row>
    <row r="75" spans="1:6" x14ac:dyDescent="0.25">
      <c r="A75" s="15">
        <v>42472.4375</v>
      </c>
      <c r="B75" t="s">
        <v>88</v>
      </c>
      <c r="C75">
        <v>76.400000000000006</v>
      </c>
      <c r="D75">
        <v>7.24</v>
      </c>
      <c r="E75">
        <v>0.09</v>
      </c>
      <c r="F75">
        <v>212.76</v>
      </c>
    </row>
    <row r="76" spans="1:6" x14ac:dyDescent="0.25">
      <c r="A76" s="15">
        <v>42472.4375</v>
      </c>
      <c r="B76" t="s">
        <v>89</v>
      </c>
      <c r="C76">
        <v>77.599999999999994</v>
      </c>
      <c r="D76">
        <v>7.18</v>
      </c>
      <c r="E76">
        <v>0.1</v>
      </c>
      <c r="F76">
        <v>223.39</v>
      </c>
    </row>
    <row r="77" spans="1:6" x14ac:dyDescent="0.25">
      <c r="A77" s="15">
        <v>42472.4375</v>
      </c>
      <c r="B77" t="s">
        <v>90</v>
      </c>
      <c r="C77">
        <v>313.3</v>
      </c>
      <c r="D77">
        <v>3.57</v>
      </c>
      <c r="E77">
        <v>0.03</v>
      </c>
      <c r="F77">
        <v>234.02</v>
      </c>
    </row>
    <row r="78" spans="1:6" x14ac:dyDescent="0.25">
      <c r="A78" s="15">
        <v>42472.4375</v>
      </c>
      <c r="B78" t="s">
        <v>91</v>
      </c>
      <c r="C78">
        <v>318.2</v>
      </c>
      <c r="D78">
        <v>3.55</v>
      </c>
      <c r="E78">
        <v>0.03</v>
      </c>
      <c r="F78">
        <v>244.66</v>
      </c>
    </row>
    <row r="79" spans="1:6" x14ac:dyDescent="0.25">
      <c r="A79" s="15">
        <v>42472.4375</v>
      </c>
      <c r="B79" t="s">
        <v>92</v>
      </c>
      <c r="C79">
        <v>345.6</v>
      </c>
      <c r="D79">
        <v>3.4</v>
      </c>
      <c r="E79">
        <v>0.02</v>
      </c>
      <c r="F79">
        <v>255.29</v>
      </c>
    </row>
    <row r="80" spans="1:6" x14ac:dyDescent="0.25">
      <c r="A80" s="15">
        <v>42472.4375</v>
      </c>
      <c r="B80" t="s">
        <v>93</v>
      </c>
      <c r="C80">
        <v>1191.8</v>
      </c>
      <c r="D80">
        <v>1.83</v>
      </c>
      <c r="E80">
        <v>0.01</v>
      </c>
      <c r="F80">
        <v>266.02999999999997</v>
      </c>
    </row>
    <row r="81" spans="1:6" x14ac:dyDescent="0.25">
      <c r="A81" s="15">
        <v>42472.4375</v>
      </c>
      <c r="B81" t="s">
        <v>94</v>
      </c>
      <c r="C81">
        <v>1368.1</v>
      </c>
      <c r="D81">
        <v>1.71</v>
      </c>
      <c r="E81">
        <v>0.01</v>
      </c>
      <c r="F81">
        <v>276.66000000000003</v>
      </c>
    </row>
    <row r="82" spans="1:6" x14ac:dyDescent="0.25">
      <c r="A82" s="15">
        <v>42472.4375</v>
      </c>
      <c r="B82" t="s">
        <v>95</v>
      </c>
      <c r="C82">
        <v>1368</v>
      </c>
      <c r="D82">
        <v>1.71</v>
      </c>
      <c r="E82">
        <v>0.01</v>
      </c>
      <c r="F82">
        <v>287.29000000000002</v>
      </c>
    </row>
    <row r="83" spans="1:6" x14ac:dyDescent="0.25">
      <c r="A83" s="15">
        <v>42472.4375</v>
      </c>
      <c r="B83" t="s">
        <v>96</v>
      </c>
      <c r="C83">
        <v>2740.9</v>
      </c>
      <c r="D83">
        <v>1.21</v>
      </c>
      <c r="E83">
        <v>0</v>
      </c>
      <c r="F83">
        <v>297.93</v>
      </c>
    </row>
    <row r="84" spans="1:6" x14ac:dyDescent="0.25">
      <c r="A84" s="15">
        <v>42472.4375</v>
      </c>
      <c r="B84" t="s">
        <v>97</v>
      </c>
      <c r="C84">
        <v>2795.8</v>
      </c>
      <c r="D84">
        <v>1.2</v>
      </c>
      <c r="E84">
        <v>0</v>
      </c>
      <c r="F84">
        <v>308.57</v>
      </c>
    </row>
    <row r="85" spans="1:6" x14ac:dyDescent="0.25">
      <c r="A85" s="15">
        <v>42472.4375</v>
      </c>
      <c r="B85" t="s">
        <v>98</v>
      </c>
      <c r="C85">
        <v>2717.6</v>
      </c>
      <c r="D85">
        <v>1.21</v>
      </c>
      <c r="E85">
        <v>0</v>
      </c>
      <c r="F85">
        <v>319.2</v>
      </c>
    </row>
    <row r="86" spans="1:6" x14ac:dyDescent="0.25">
      <c r="A86" s="15">
        <v>42472.4375</v>
      </c>
      <c r="B86" t="s">
        <v>99</v>
      </c>
      <c r="C86">
        <v>6012.7</v>
      </c>
      <c r="D86">
        <v>0.82</v>
      </c>
      <c r="E86">
        <v>0</v>
      </c>
      <c r="F86">
        <v>329.86</v>
      </c>
    </row>
    <row r="87" spans="1:6" x14ac:dyDescent="0.25">
      <c r="A87" s="15">
        <v>42472.4375</v>
      </c>
      <c r="B87" t="s">
        <v>100</v>
      </c>
      <c r="C87">
        <v>6069.3</v>
      </c>
      <c r="D87">
        <v>0.81</v>
      </c>
      <c r="E87">
        <v>0</v>
      </c>
      <c r="F87">
        <v>340.51</v>
      </c>
    </row>
    <row r="88" spans="1:6" x14ac:dyDescent="0.25">
      <c r="A88" s="15">
        <v>42472.4375</v>
      </c>
      <c r="B88" t="s">
        <v>101</v>
      </c>
      <c r="C88">
        <v>6750.4</v>
      </c>
      <c r="D88">
        <v>0.77</v>
      </c>
      <c r="E88">
        <v>0</v>
      </c>
      <c r="F88">
        <v>351.16</v>
      </c>
    </row>
    <row r="89" spans="1:6" x14ac:dyDescent="0.25">
      <c r="A89" s="15">
        <v>42472.4375</v>
      </c>
      <c r="B89" t="s">
        <v>102</v>
      </c>
      <c r="C89">
        <v>12580.6</v>
      </c>
      <c r="D89">
        <v>0.56000000000000005</v>
      </c>
      <c r="E89">
        <v>0</v>
      </c>
      <c r="F89">
        <v>361.84</v>
      </c>
    </row>
    <row r="90" spans="1:6" x14ac:dyDescent="0.25">
      <c r="A90" s="15">
        <v>42472.4375</v>
      </c>
      <c r="B90" t="s">
        <v>103</v>
      </c>
      <c r="C90">
        <v>12852.1</v>
      </c>
      <c r="D90">
        <v>0.56000000000000005</v>
      </c>
      <c r="E90">
        <v>0</v>
      </c>
      <c r="F90">
        <v>372.5</v>
      </c>
    </row>
    <row r="91" spans="1:6" x14ac:dyDescent="0.25">
      <c r="A91" s="15">
        <v>42472.4375</v>
      </c>
      <c r="B91" t="s">
        <v>104</v>
      </c>
      <c r="C91">
        <v>13035</v>
      </c>
      <c r="D91">
        <v>0.55000000000000004</v>
      </c>
      <c r="E91">
        <v>0</v>
      </c>
      <c r="F91">
        <v>383.19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1"/>
  <sheetViews>
    <sheetView zoomScale="85" zoomScaleNormal="85" workbookViewId="0">
      <selection activeCell="F34" sqref="F34"/>
    </sheetView>
  </sheetViews>
  <sheetFormatPr defaultRowHeight="15" x14ac:dyDescent="0.25"/>
  <cols>
    <col min="1" max="1" width="30" style="2" bestFit="1" customWidth="1"/>
    <col min="2" max="2" width="31.42578125" style="2" customWidth="1"/>
    <col min="3" max="3" width="12" style="2" customWidth="1"/>
    <col min="4" max="4" width="24.28515625" style="2" customWidth="1"/>
    <col min="5" max="5" width="10" style="2" customWidth="1"/>
    <col min="6" max="6" width="59" style="2" bestFit="1" customWidth="1"/>
    <col min="7" max="7" width="20.7109375" style="2" bestFit="1" customWidth="1"/>
    <col min="8" max="8" width="34.140625" style="2" bestFit="1" customWidth="1"/>
    <col min="9" max="9" width="34.140625" style="2" customWidth="1"/>
    <col min="10" max="10" width="37.140625" style="2" bestFit="1" customWidth="1"/>
    <col min="11" max="11" width="18.7109375" style="2" customWidth="1"/>
    <col min="12" max="12" width="32.85546875" bestFit="1" customWidth="1"/>
    <col min="13" max="13" width="34.7109375" bestFit="1" customWidth="1"/>
    <col min="14" max="14" width="35.5703125" bestFit="1" customWidth="1"/>
    <col min="15" max="15" width="14.5703125" bestFit="1" customWidth="1"/>
    <col min="23" max="23" width="18" bestFit="1" customWidth="1"/>
    <col min="24" max="24" width="12.7109375" bestFit="1" customWidth="1"/>
    <col min="25" max="25" width="12.7109375" style="22" customWidth="1"/>
    <col min="26" max="16384" width="9.140625" style="22"/>
  </cols>
  <sheetData>
    <row r="1" spans="1:24" x14ac:dyDescent="0.25">
      <c r="B1" s="3" t="s">
        <v>42</v>
      </c>
      <c r="C1" s="3" t="s">
        <v>43</v>
      </c>
      <c r="D1" s="4" t="s">
        <v>44</v>
      </c>
      <c r="E1" s="4" t="s">
        <v>21</v>
      </c>
      <c r="F1" s="2" t="s">
        <v>115</v>
      </c>
      <c r="G1" s="2" t="s">
        <v>116</v>
      </c>
      <c r="H1" s="2" t="s">
        <v>117</v>
      </c>
      <c r="I1" s="23" t="s">
        <v>118</v>
      </c>
      <c r="J1" s="23" t="s">
        <v>119</v>
      </c>
      <c r="K1" s="2" t="s">
        <v>118</v>
      </c>
      <c r="L1" s="2"/>
      <c r="M1" s="2"/>
      <c r="N1" s="2"/>
      <c r="O1" s="2"/>
    </row>
    <row r="2" spans="1:24" x14ac:dyDescent="0.25">
      <c r="A2" s="3" t="s">
        <v>45</v>
      </c>
      <c r="B2" s="2">
        <v>69.266666666666666</v>
      </c>
      <c r="C2" s="2">
        <v>4.0713088258637899</v>
      </c>
      <c r="D2" s="2">
        <f>B2/60</f>
        <v>1.1544444444444444</v>
      </c>
      <c r="E2" s="2">
        <f>C2/60</f>
        <v>6.7855147097729829E-2</v>
      </c>
      <c r="G2" s="12">
        <f>0</f>
        <v>0</v>
      </c>
      <c r="H2" s="2">
        <f>D2*$B$65+$B$64</f>
        <v>-0.86244335302746633</v>
      </c>
      <c r="I2" s="2" t="e">
        <f t="shared" ref="I2:I9" si="0">ABS(H2-G2)/G2</f>
        <v>#DIV/0!</v>
      </c>
      <c r="J2" s="2">
        <f>D2*$B$31+$B$30</f>
        <v>0.1441714628506657</v>
      </c>
      <c r="K2" s="2" t="e">
        <f t="shared" ref="K2:K9" si="1">ABS(J2-G2)/G2</f>
        <v>#DIV/0!</v>
      </c>
    </row>
    <row r="3" spans="1:24" x14ac:dyDescent="0.25">
      <c r="A3" s="3" t="s">
        <v>36</v>
      </c>
      <c r="B3" s="2">
        <v>213.53333333333333</v>
      </c>
      <c r="C3" s="2">
        <v>4.5389670875898238</v>
      </c>
      <c r="D3" s="2">
        <f t="shared" ref="D3:E10" si="2">B3/60</f>
        <v>3.5588888888888888</v>
      </c>
      <c r="E3" s="2">
        <f t="shared" si="2"/>
        <v>7.5649451459830402E-2</v>
      </c>
      <c r="G3" s="12">
        <f>F7*0.01</f>
        <v>0.42769009531437396</v>
      </c>
      <c r="H3" s="2">
        <f t="shared" ref="H3:H9" si="3">D3*$B$65+$B$64</f>
        <v>-0.46848823374427229</v>
      </c>
      <c r="I3" s="2">
        <f t="shared" si="0"/>
        <v>2.0953918243065921</v>
      </c>
      <c r="J3" s="2">
        <f t="shared" ref="J3:J9" si="4">D3*$B$31+$B$30</f>
        <v>0.52694379154793525</v>
      </c>
      <c r="K3" s="2">
        <f t="shared" si="1"/>
        <v>0.23206919524429195</v>
      </c>
    </row>
    <row r="4" spans="1:24" x14ac:dyDescent="0.25">
      <c r="A4" s="3" t="s">
        <v>37</v>
      </c>
      <c r="B4" s="2">
        <v>851.36666666666679</v>
      </c>
      <c r="C4" s="2">
        <v>12.530584805000577</v>
      </c>
      <c r="D4" s="2">
        <f t="shared" si="2"/>
        <v>14.189444444444446</v>
      </c>
      <c r="E4" s="2">
        <f t="shared" si="2"/>
        <v>0.20884308008334296</v>
      </c>
      <c r="G4" s="12">
        <f>F7*0.05</f>
        <v>2.1384504765718702</v>
      </c>
      <c r="H4" s="2">
        <f t="shared" si="3"/>
        <v>1.273270363178999</v>
      </c>
      <c r="I4" s="2">
        <f t="shared" si="0"/>
        <v>0.40458272140107415</v>
      </c>
      <c r="J4" s="2">
        <f t="shared" si="4"/>
        <v>2.2192609148432805</v>
      </c>
      <c r="K4" s="2">
        <f t="shared" si="1"/>
        <v>3.7789249345141149E-2</v>
      </c>
    </row>
    <row r="5" spans="1:24" x14ac:dyDescent="0.25">
      <c r="A5" s="3" t="s">
        <v>38</v>
      </c>
      <c r="B5" s="2">
        <v>1635.7</v>
      </c>
      <c r="C5" s="2">
        <v>32.620954410720707</v>
      </c>
      <c r="D5" s="2">
        <f t="shared" si="2"/>
        <v>27.261666666666667</v>
      </c>
      <c r="E5" s="2">
        <f t="shared" si="2"/>
        <v>0.54368257351201177</v>
      </c>
      <c r="G5" s="12">
        <f>F7*0.1</f>
        <v>4.2769009531437403</v>
      </c>
      <c r="H5" s="2">
        <f t="shared" si="3"/>
        <v>3.4150827376553288</v>
      </c>
      <c r="I5" s="2">
        <f t="shared" si="0"/>
        <v>0.20150530136895764</v>
      </c>
      <c r="J5" s="2">
        <f t="shared" si="4"/>
        <v>4.3002759088928997</v>
      </c>
      <c r="K5" s="2">
        <f t="shared" si="1"/>
        <v>5.465395622963303E-3</v>
      </c>
    </row>
    <row r="6" spans="1:24" x14ac:dyDescent="0.25">
      <c r="A6" s="3" t="s">
        <v>39</v>
      </c>
      <c r="B6" s="2">
        <v>7998.833333333333</v>
      </c>
      <c r="C6" s="2">
        <v>50.234140670352431</v>
      </c>
      <c r="D6" s="2">
        <f t="shared" si="2"/>
        <v>133.3138888888889</v>
      </c>
      <c r="E6" s="2">
        <f t="shared" si="2"/>
        <v>0.83723567783920716</v>
      </c>
      <c r="G6" s="12">
        <f>F7*0.5</f>
        <v>21.384504765718699</v>
      </c>
      <c r="H6" s="2">
        <f t="shared" si="3"/>
        <v>20.791161420752843</v>
      </c>
      <c r="I6" s="2">
        <f t="shared" si="0"/>
        <v>2.7746415054560394E-2</v>
      </c>
      <c r="J6" s="2">
        <f t="shared" si="4"/>
        <v>21.183118079488228</v>
      </c>
      <c r="K6" s="2">
        <f t="shared" si="1"/>
        <v>9.4174117397991877E-3</v>
      </c>
    </row>
    <row r="7" spans="1:24" x14ac:dyDescent="0.25">
      <c r="A7" s="3" t="s">
        <v>40</v>
      </c>
      <c r="B7" s="2">
        <v>16057.133333333333</v>
      </c>
      <c r="C7" s="2">
        <v>53.513259001171903</v>
      </c>
      <c r="D7" s="2">
        <f t="shared" si="2"/>
        <v>267.61888888888888</v>
      </c>
      <c r="E7" s="2">
        <f t="shared" si="2"/>
        <v>0.89188765001953174</v>
      </c>
      <c r="F7">
        <f>'[1]Gamma Counter Geometry'!G6</f>
        <v>42.769009531437398</v>
      </c>
      <c r="G7" s="12">
        <f>F7</f>
        <v>42.769009531437398</v>
      </c>
      <c r="H7" s="2">
        <f t="shared" si="3"/>
        <v>42.796303780178178</v>
      </c>
      <c r="I7" s="2">
        <f t="shared" si="0"/>
        <v>6.3817818181451417E-4</v>
      </c>
      <c r="J7" s="2">
        <f t="shared" si="4"/>
        <v>42.563623553202696</v>
      </c>
      <c r="K7" s="2">
        <f t="shared" si="1"/>
        <v>4.8022149796041616E-3</v>
      </c>
    </row>
    <row r="8" spans="1:24" x14ac:dyDescent="0.25">
      <c r="A8" s="3" t="s">
        <v>41</v>
      </c>
      <c r="B8" s="2">
        <v>80635.3</v>
      </c>
      <c r="C8" s="2">
        <v>80.454997758225829</v>
      </c>
      <c r="D8" s="2">
        <f t="shared" si="2"/>
        <v>1343.9216666666666</v>
      </c>
      <c r="E8" s="2">
        <f t="shared" si="2"/>
        <v>1.3409166293037638</v>
      </c>
      <c r="G8" s="12">
        <f>F7*5</f>
        <v>213.845047657187</v>
      </c>
      <c r="H8" s="2">
        <f t="shared" si="3"/>
        <v>219.142648643325</v>
      </c>
      <c r="I8" s="2">
        <f t="shared" si="0"/>
        <v>2.4773082398571806E-2</v>
      </c>
      <c r="J8" s="2">
        <f t="shared" si="4"/>
        <v>213.90420976854736</v>
      </c>
      <c r="K8" s="2">
        <f t="shared" si="1"/>
        <v>2.766587863900749E-4</v>
      </c>
    </row>
    <row r="9" spans="1:24" x14ac:dyDescent="0.25">
      <c r="A9" s="4" t="s">
        <v>113</v>
      </c>
      <c r="B9" s="2">
        <v>337473.1</v>
      </c>
      <c r="C9" s="2">
        <f>0.11/100*B9</f>
        <v>371.22041000000002</v>
      </c>
      <c r="D9" s="2">
        <f t="shared" si="2"/>
        <v>5624.5516666666663</v>
      </c>
      <c r="E9" s="2">
        <f t="shared" si="2"/>
        <v>6.1870068333333332</v>
      </c>
      <c r="F9">
        <f>'[1]Stock Log'!F6</f>
        <v>921.74647887323954</v>
      </c>
      <c r="G9" s="24">
        <f>F9</f>
        <v>921.74647887323954</v>
      </c>
      <c r="H9" s="2">
        <f t="shared" si="3"/>
        <v>920.50054699429393</v>
      </c>
      <c r="I9" s="2">
        <f t="shared" si="0"/>
        <v>1.3517077716083742E-3</v>
      </c>
      <c r="J9" s="2">
        <f t="shared" si="4"/>
        <v>895.35339740822087</v>
      </c>
      <c r="K9" s="2">
        <f t="shared" si="1"/>
        <v>2.8633775197364545E-2</v>
      </c>
    </row>
    <row r="10" spans="1:24" x14ac:dyDescent="0.25">
      <c r="A10" s="4" t="s">
        <v>114</v>
      </c>
      <c r="B10" s="23">
        <v>173514.3</v>
      </c>
      <c r="C10" s="2">
        <f>0.15/100*B10</f>
        <v>260.27145000000002</v>
      </c>
      <c r="D10" s="2">
        <f t="shared" si="2"/>
        <v>2891.9049999999997</v>
      </c>
      <c r="E10" s="2">
        <f t="shared" si="2"/>
        <v>4.3378575000000001</v>
      </c>
      <c r="F10"/>
      <c r="G10"/>
      <c r="H10" s="5"/>
      <c r="I10" s="5"/>
      <c r="J10" s="5"/>
      <c r="K10" s="5"/>
    </row>
    <row r="11" spans="1:24" x14ac:dyDescent="0.25">
      <c r="D11"/>
      <c r="F11"/>
      <c r="G11"/>
      <c r="H11" s="5" t="s">
        <v>120</v>
      </c>
      <c r="I11" s="5">
        <f>AVERAGE(I3:I9)</f>
        <v>0.39371274721188276</v>
      </c>
      <c r="J11" s="5"/>
      <c r="K11" s="5">
        <f>AVERAGE(K3:K8)</f>
        <v>4.8303354286364959E-2</v>
      </c>
    </row>
    <row r="12" spans="1:24" x14ac:dyDescent="0.25">
      <c r="A12" s="17" t="s">
        <v>121</v>
      </c>
      <c r="B12" s="18"/>
      <c r="C12" s="18"/>
      <c r="D12" s="18"/>
      <c r="E12" s="18"/>
      <c r="F12" s="18"/>
      <c r="G12" s="18"/>
      <c r="H12" s="18"/>
      <c r="I12" s="18"/>
      <c r="J12" s="19"/>
      <c r="K12" s="18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2"/>
      <c r="W12" s="22"/>
      <c r="X12" s="22"/>
    </row>
    <row r="13" spans="1:24" x14ac:dyDescent="0.25">
      <c r="A13" s="22" t="s">
        <v>122</v>
      </c>
      <c r="B13" s="22"/>
      <c r="C13" s="22"/>
      <c r="D13" s="22"/>
      <c r="E13" s="22"/>
      <c r="F13" s="22"/>
      <c r="G13" s="22"/>
      <c r="H13" s="22"/>
      <c r="I13" s="22"/>
      <c r="J13" s="22"/>
      <c r="K13" s="21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</row>
    <row r="14" spans="1:24" x14ac:dyDescent="0.25">
      <c r="A14" t="s">
        <v>47</v>
      </c>
      <c r="B14"/>
      <c r="C14"/>
      <c r="D14"/>
      <c r="E14"/>
      <c r="F14"/>
      <c r="G14"/>
      <c r="H14"/>
      <c r="I14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</row>
    <row r="15" spans="1:24" ht="15.75" thickBot="1" x14ac:dyDescent="0.3">
      <c r="A15"/>
      <c r="B15"/>
      <c r="C15"/>
      <c r="D15"/>
      <c r="E15"/>
      <c r="F15"/>
      <c r="G15"/>
      <c r="H15"/>
      <c r="I15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</row>
    <row r="16" spans="1:24" x14ac:dyDescent="0.25">
      <c r="A16" s="6" t="s">
        <v>48</v>
      </c>
      <c r="B16" s="6"/>
      <c r="C16"/>
      <c r="D16"/>
      <c r="E16"/>
      <c r="F16"/>
      <c r="G16"/>
      <c r="H16"/>
      <c r="I16"/>
      <c r="J16" s="8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</row>
    <row r="17" spans="1:24" x14ac:dyDescent="0.25">
      <c r="A17" s="7" t="s">
        <v>49</v>
      </c>
      <c r="B17" s="7">
        <v>0.99999829960800457</v>
      </c>
      <c r="C17"/>
      <c r="D17"/>
      <c r="E17"/>
      <c r="F17"/>
      <c r="G17"/>
      <c r="H17"/>
      <c r="I17"/>
      <c r="J17" s="7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</row>
    <row r="18" spans="1:24" x14ac:dyDescent="0.25">
      <c r="A18" s="7" t="s">
        <v>50</v>
      </c>
      <c r="B18" s="7">
        <v>0.99999659921890038</v>
      </c>
      <c r="C18"/>
      <c r="D18"/>
      <c r="E18"/>
      <c r="F18"/>
      <c r="G18"/>
      <c r="H18"/>
      <c r="I18"/>
      <c r="J18" s="7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</row>
    <row r="19" spans="1:24" x14ac:dyDescent="0.25">
      <c r="A19" s="7" t="s">
        <v>51</v>
      </c>
      <c r="B19" s="7">
        <v>0.99999591906268037</v>
      </c>
      <c r="C19"/>
      <c r="D19"/>
      <c r="E19"/>
      <c r="F19"/>
      <c r="G19"/>
      <c r="H19"/>
      <c r="I19"/>
      <c r="J19" s="7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</row>
    <row r="20" spans="1:24" ht="15.75" customHeight="1" x14ac:dyDescent="0.25">
      <c r="A20" s="7" t="s">
        <v>52</v>
      </c>
      <c r="B20" s="7">
        <v>0.15745067498955981</v>
      </c>
      <c r="C20"/>
      <c r="D20"/>
      <c r="E20"/>
      <c r="F20"/>
      <c r="G20"/>
      <c r="H20"/>
      <c r="I20"/>
      <c r="J20" s="7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</row>
    <row r="21" spans="1:24" ht="15.75" thickBot="1" x14ac:dyDescent="0.3">
      <c r="A21" s="9" t="s">
        <v>53</v>
      </c>
      <c r="B21" s="9">
        <v>7</v>
      </c>
      <c r="C21"/>
      <c r="D21"/>
      <c r="E21"/>
      <c r="F21"/>
      <c r="G21"/>
      <c r="H21"/>
      <c r="I21"/>
      <c r="J21" s="7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</row>
    <row r="22" spans="1:24" ht="15.75" customHeight="1" x14ac:dyDescent="0.25">
      <c r="A22"/>
      <c r="B22"/>
      <c r="C22"/>
      <c r="D22"/>
      <c r="E22"/>
      <c r="F22"/>
      <c r="G22"/>
      <c r="H22"/>
      <c r="I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</row>
    <row r="23" spans="1:24" ht="15.75" thickBot="1" x14ac:dyDescent="0.3">
      <c r="A23" t="s">
        <v>54</v>
      </c>
      <c r="B23"/>
      <c r="C23"/>
      <c r="D23"/>
      <c r="E23"/>
      <c r="F23"/>
      <c r="G23"/>
      <c r="H23"/>
      <c r="I23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</row>
    <row r="24" spans="1:24" x14ac:dyDescent="0.25">
      <c r="A24" s="10"/>
      <c r="B24" s="10" t="s">
        <v>55</v>
      </c>
      <c r="C24" s="10" t="s">
        <v>56</v>
      </c>
      <c r="D24" s="10" t="s">
        <v>57</v>
      </c>
      <c r="E24" s="10" t="s">
        <v>58</v>
      </c>
      <c r="F24" s="10" t="s">
        <v>59</v>
      </c>
      <c r="G24"/>
      <c r="H24"/>
      <c r="I24"/>
      <c r="J24" s="11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</row>
    <row r="25" spans="1:24" x14ac:dyDescent="0.25">
      <c r="A25" s="7" t="s">
        <v>60</v>
      </c>
      <c r="B25" s="7">
        <v>1</v>
      </c>
      <c r="C25" s="7">
        <v>36448.436434940144</v>
      </c>
      <c r="D25" s="7">
        <v>36448.436434940144</v>
      </c>
      <c r="E25" s="7">
        <v>1470245.4670857524</v>
      </c>
      <c r="F25" s="7">
        <v>7.2414589665754382E-15</v>
      </c>
      <c r="G25"/>
      <c r="H25"/>
      <c r="I25"/>
      <c r="J25" s="7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</row>
    <row r="26" spans="1:24" ht="15.75" customHeight="1" x14ac:dyDescent="0.25">
      <c r="A26" s="7" t="s">
        <v>61</v>
      </c>
      <c r="B26" s="7">
        <v>5</v>
      </c>
      <c r="C26" s="7">
        <v>0.12395357527333999</v>
      </c>
      <c r="D26" s="7">
        <v>2.4790715054667997E-2</v>
      </c>
      <c r="E26" s="7"/>
      <c r="F26" s="7"/>
      <c r="G26"/>
      <c r="H26"/>
      <c r="I26"/>
      <c r="J26" s="7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</row>
    <row r="27" spans="1:24" ht="15.75" thickBot="1" x14ac:dyDescent="0.3">
      <c r="A27" s="9" t="s">
        <v>62</v>
      </c>
      <c r="B27" s="9">
        <v>6</v>
      </c>
      <c r="C27" s="9">
        <v>36448.56038851542</v>
      </c>
      <c r="D27" s="9"/>
      <c r="E27" s="9"/>
      <c r="F27" s="9"/>
      <c r="G27"/>
      <c r="H27"/>
      <c r="I27"/>
      <c r="J27" s="7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</row>
    <row r="28" spans="1:24" ht="15.75" thickBot="1" x14ac:dyDescent="0.3">
      <c r="A28"/>
      <c r="B28"/>
      <c r="C28"/>
      <c r="D28"/>
      <c r="E28"/>
      <c r="F28"/>
      <c r="G28"/>
      <c r="H28"/>
      <c r="I28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</row>
    <row r="29" spans="1:24" x14ac:dyDescent="0.25">
      <c r="A29" s="10"/>
      <c r="B29" s="10" t="s">
        <v>63</v>
      </c>
      <c r="C29" s="10" t="s">
        <v>52</v>
      </c>
      <c r="D29" s="10" t="s">
        <v>64</v>
      </c>
      <c r="E29" s="10" t="s">
        <v>65</v>
      </c>
      <c r="F29" s="10" t="s">
        <v>66</v>
      </c>
      <c r="G29" s="10" t="s">
        <v>67</v>
      </c>
      <c r="H29" s="10" t="s">
        <v>68</v>
      </c>
      <c r="I29" s="10" t="s">
        <v>69</v>
      </c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</row>
    <row r="30" spans="1:24" ht="15.75" customHeight="1" x14ac:dyDescent="0.25">
      <c r="A30" s="7" t="s">
        <v>70</v>
      </c>
      <c r="B30" s="7">
        <v>-3.9608781842709107E-2</v>
      </c>
      <c r="C30" s="7">
        <v>6.8336946505889784E-2</v>
      </c>
      <c r="D30" s="7">
        <v>-0.57961006260786507</v>
      </c>
      <c r="E30" s="7">
        <v>0.5873118215120845</v>
      </c>
      <c r="F30" s="7">
        <v>-0.21527449523359993</v>
      </c>
      <c r="G30" s="7">
        <v>0.13605693154818171</v>
      </c>
      <c r="H30" s="7">
        <v>-0.21527449523359993</v>
      </c>
      <c r="I30" s="7">
        <v>0.13605693154818171</v>
      </c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</row>
    <row r="31" spans="1:24" ht="15.75" thickBot="1" x14ac:dyDescent="0.3">
      <c r="A31" s="9" t="s">
        <v>71</v>
      </c>
      <c r="B31" s="9">
        <v>0.15919366720311581</v>
      </c>
      <c r="C31" s="9">
        <v>1.3128976251852687E-4</v>
      </c>
      <c r="D31" s="9">
        <v>1212.5367899926798</v>
      </c>
      <c r="E31" s="9">
        <v>7.2414589665754382E-15</v>
      </c>
      <c r="F31" s="9">
        <v>0.15885617612438069</v>
      </c>
      <c r="G31" s="9">
        <v>0.15953115828185094</v>
      </c>
      <c r="H31" s="9">
        <v>0.15885617612438069</v>
      </c>
      <c r="I31" s="9">
        <v>0.15953115828185094</v>
      </c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</row>
    <row r="32" spans="1:24" x14ac:dyDescent="0.25">
      <c r="A32"/>
      <c r="B32"/>
      <c r="C32"/>
      <c r="D32"/>
      <c r="E32"/>
      <c r="F32"/>
      <c r="G32"/>
      <c r="H32"/>
      <c r="I3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</row>
    <row r="33" spans="1:24" x14ac:dyDescent="0.25">
      <c r="A33"/>
      <c r="B33"/>
      <c r="C33"/>
      <c r="D33"/>
      <c r="E33"/>
      <c r="F33"/>
      <c r="G33"/>
      <c r="H33"/>
      <c r="I33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</row>
    <row r="34" spans="1:24" x14ac:dyDescent="0.25">
      <c r="A34"/>
      <c r="B34"/>
      <c r="C34"/>
      <c r="D34"/>
      <c r="E34"/>
      <c r="F34"/>
      <c r="G34"/>
      <c r="H34"/>
      <c r="I34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</row>
    <row r="35" spans="1:24" x14ac:dyDescent="0.25">
      <c r="A35" t="s">
        <v>72</v>
      </c>
      <c r="B35"/>
      <c r="C35"/>
      <c r="D35"/>
      <c r="E35"/>
      <c r="F35"/>
      <c r="G35"/>
      <c r="H35"/>
      <c r="I35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</row>
    <row r="36" spans="1:24" ht="15.75" thickBot="1" x14ac:dyDescent="0.3">
      <c r="A36"/>
      <c r="B36"/>
      <c r="C36"/>
      <c r="D36"/>
      <c r="E36"/>
      <c r="F36"/>
      <c r="G36"/>
      <c r="H36"/>
      <c r="I36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</row>
    <row r="37" spans="1:24" x14ac:dyDescent="0.25">
      <c r="A37" s="10" t="s">
        <v>73</v>
      </c>
      <c r="B37" s="10" t="s">
        <v>74</v>
      </c>
      <c r="C37" s="10" t="s">
        <v>75</v>
      </c>
      <c r="D37"/>
      <c r="E37"/>
      <c r="F37"/>
      <c r="G37"/>
      <c r="H37"/>
      <c r="I37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</row>
    <row r="38" spans="1:24" x14ac:dyDescent="0.25">
      <c r="A38" s="7">
        <v>1</v>
      </c>
      <c r="B38" s="7">
        <v>0.1441714628506657</v>
      </c>
      <c r="C38" s="7">
        <v>-0.1441714628506657</v>
      </c>
      <c r="D38"/>
      <c r="E38"/>
      <c r="F38"/>
      <c r="G38"/>
      <c r="H38"/>
      <c r="I38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</row>
    <row r="39" spans="1:24" x14ac:dyDescent="0.25">
      <c r="A39" s="7">
        <v>2</v>
      </c>
      <c r="B39" s="7">
        <v>0.52694379154793525</v>
      </c>
      <c r="C39" s="7">
        <v>-9.9253696233561284E-2</v>
      </c>
      <c r="D39"/>
      <c r="E39"/>
      <c r="F39"/>
      <c r="G39"/>
      <c r="H39"/>
      <c r="I39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</row>
    <row r="40" spans="1:24" x14ac:dyDescent="0.25">
      <c r="A40" s="7">
        <v>3</v>
      </c>
      <c r="B40" s="7">
        <v>2.2192609148432805</v>
      </c>
      <c r="C40" s="7">
        <v>-8.0810438271410323E-2</v>
      </c>
      <c r="D40"/>
      <c r="E40"/>
      <c r="F40"/>
      <c r="G40"/>
      <c r="H40"/>
      <c r="I40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</row>
    <row r="41" spans="1:24" x14ac:dyDescent="0.25">
      <c r="A41" s="7">
        <v>4</v>
      </c>
      <c r="B41" s="7">
        <v>4.3002759088928997</v>
      </c>
      <c r="C41" s="7">
        <v>-2.3374955749159376E-2</v>
      </c>
      <c r="D41"/>
      <c r="E41"/>
      <c r="F41"/>
      <c r="G41"/>
      <c r="H41"/>
      <c r="I41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</row>
    <row r="42" spans="1:24" ht="15.75" customHeight="1" x14ac:dyDescent="0.25">
      <c r="A42" s="7">
        <v>5</v>
      </c>
      <c r="B42" s="7">
        <v>21.183118079488228</v>
      </c>
      <c r="C42" s="7">
        <v>0.20138668623047096</v>
      </c>
      <c r="D42"/>
      <c r="E42"/>
      <c r="F42"/>
      <c r="G42"/>
      <c r="H42"/>
      <c r="I4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</row>
    <row r="43" spans="1:24" ht="15.75" customHeight="1" x14ac:dyDescent="0.25">
      <c r="A43" s="7">
        <v>6</v>
      </c>
      <c r="B43" s="7">
        <v>42.563623553202696</v>
      </c>
      <c r="C43" s="7">
        <v>0.20538597823470184</v>
      </c>
      <c r="D43"/>
      <c r="E43"/>
      <c r="F43"/>
      <c r="G43"/>
      <c r="H43"/>
      <c r="I43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</row>
    <row r="44" spans="1:24" ht="15.75" thickBot="1" x14ac:dyDescent="0.3">
      <c r="A44" s="9">
        <v>7</v>
      </c>
      <c r="B44" s="9">
        <v>213.90420976854736</v>
      </c>
      <c r="C44" s="9">
        <v>-5.9162111360365088E-2</v>
      </c>
      <c r="D44"/>
      <c r="E44"/>
      <c r="F44"/>
      <c r="G44"/>
      <c r="H44"/>
      <c r="I44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</row>
    <row r="45" spans="1:24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</row>
    <row r="46" spans="1:24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</row>
    <row r="47" spans="1:24" x14ac:dyDescent="0.25">
      <c r="A47" s="22" t="s">
        <v>123</v>
      </c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</row>
    <row r="48" spans="1:24" x14ac:dyDescent="0.25">
      <c r="A48" t="s">
        <v>47</v>
      </c>
      <c r="B48"/>
      <c r="C48"/>
      <c r="D48"/>
      <c r="E48"/>
      <c r="F48"/>
      <c r="G48"/>
      <c r="H48"/>
      <c r="I48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</row>
    <row r="49" spans="1:24" ht="15.75" thickBot="1" x14ac:dyDescent="0.3">
      <c r="A49"/>
      <c r="B49"/>
      <c r="C49"/>
      <c r="D49"/>
      <c r="E49"/>
      <c r="F49"/>
      <c r="G49"/>
      <c r="H49"/>
      <c r="I49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</row>
    <row r="50" spans="1:24" x14ac:dyDescent="0.25">
      <c r="A50" s="6" t="s">
        <v>48</v>
      </c>
      <c r="B50" s="6"/>
      <c r="C50"/>
      <c r="D50"/>
      <c r="E50"/>
      <c r="F50"/>
      <c r="G50"/>
      <c r="H50"/>
      <c r="I50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</row>
    <row r="51" spans="1:24" x14ac:dyDescent="0.25">
      <c r="A51" s="7" t="s">
        <v>49</v>
      </c>
      <c r="B51" s="7">
        <v>0.99997693899899576</v>
      </c>
      <c r="C51"/>
      <c r="D51"/>
      <c r="E51"/>
      <c r="F51"/>
      <c r="G51"/>
      <c r="H51"/>
      <c r="I51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</row>
    <row r="52" spans="1:24" x14ac:dyDescent="0.25">
      <c r="A52" s="7" t="s">
        <v>50</v>
      </c>
      <c r="B52" s="7">
        <v>0.99995387852980122</v>
      </c>
      <c r="C52"/>
      <c r="D52"/>
      <c r="E52"/>
      <c r="F52"/>
      <c r="G52"/>
      <c r="H52"/>
      <c r="I5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</row>
    <row r="53" spans="1:24" x14ac:dyDescent="0.25">
      <c r="A53" s="7" t="s">
        <v>51</v>
      </c>
      <c r="B53" s="7">
        <v>0.99994619161810139</v>
      </c>
      <c r="C53"/>
      <c r="D53"/>
      <c r="E53"/>
      <c r="F53"/>
      <c r="G53"/>
      <c r="H53"/>
      <c r="I53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</row>
    <row r="54" spans="1:24" x14ac:dyDescent="0.25">
      <c r="A54" s="7" t="s">
        <v>52</v>
      </c>
      <c r="B54" s="7">
        <v>2.3454898264593513</v>
      </c>
      <c r="C54"/>
      <c r="D54"/>
      <c r="E54"/>
      <c r="F54"/>
      <c r="G54"/>
      <c r="H54"/>
      <c r="I54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</row>
    <row r="55" spans="1:24" ht="15.75" thickBot="1" x14ac:dyDescent="0.3">
      <c r="A55" s="9" t="s">
        <v>53</v>
      </c>
      <c r="B55" s="9">
        <v>8</v>
      </c>
      <c r="C55"/>
      <c r="D55"/>
      <c r="E55"/>
      <c r="F55"/>
      <c r="G55"/>
      <c r="H55"/>
      <c r="I55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</row>
    <row r="56" spans="1:24" x14ac:dyDescent="0.25">
      <c r="A56"/>
      <c r="B56"/>
      <c r="C56"/>
      <c r="D56"/>
      <c r="E56"/>
      <c r="F56"/>
      <c r="G56"/>
      <c r="H56"/>
      <c r="I56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</row>
    <row r="57" spans="1:24" ht="15.75" customHeight="1" thickBot="1" x14ac:dyDescent="0.3">
      <c r="A57" t="s">
        <v>54</v>
      </c>
      <c r="B57"/>
      <c r="C57"/>
      <c r="D57"/>
      <c r="E57"/>
      <c r="F57"/>
      <c r="G57"/>
      <c r="H57"/>
      <c r="I57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</row>
    <row r="58" spans="1:24" x14ac:dyDescent="0.25">
      <c r="A58" s="10"/>
      <c r="B58" s="10" t="s">
        <v>55</v>
      </c>
      <c r="C58" s="10" t="s">
        <v>56</v>
      </c>
      <c r="D58" s="10" t="s">
        <v>57</v>
      </c>
      <c r="E58" s="10" t="s">
        <v>58</v>
      </c>
      <c r="F58" s="10" t="s">
        <v>59</v>
      </c>
      <c r="G58"/>
      <c r="H58"/>
      <c r="I58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</row>
    <row r="59" spans="1:24" x14ac:dyDescent="0.25">
      <c r="A59" s="7" t="s">
        <v>60</v>
      </c>
      <c r="B59" s="7">
        <v>1</v>
      </c>
      <c r="C59" s="7">
        <v>715640.95071954106</v>
      </c>
      <c r="D59" s="7">
        <v>715640.95071954106</v>
      </c>
      <c r="E59" s="7">
        <v>130085.25628776736</v>
      </c>
      <c r="F59" s="7">
        <v>3.0659633657492487E-14</v>
      </c>
      <c r="G59"/>
      <c r="H59"/>
      <c r="I59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</row>
    <row r="60" spans="1:24" x14ac:dyDescent="0.25">
      <c r="A60" s="7" t="s">
        <v>61</v>
      </c>
      <c r="B60" s="7">
        <v>6</v>
      </c>
      <c r="C60" s="7">
        <v>33.007935156145905</v>
      </c>
      <c r="D60" s="7">
        <v>5.5013225260243175</v>
      </c>
      <c r="E60" s="7"/>
      <c r="F60" s="7"/>
      <c r="G60"/>
      <c r="H60"/>
      <c r="I60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</row>
    <row r="61" spans="1:24" ht="15.75" thickBot="1" x14ac:dyDescent="0.3">
      <c r="A61" s="9" t="s">
        <v>62</v>
      </c>
      <c r="B61" s="9">
        <v>7</v>
      </c>
      <c r="C61" s="9">
        <v>715673.95865469717</v>
      </c>
      <c r="D61" s="9"/>
      <c r="E61" s="9"/>
      <c r="F61" s="9"/>
      <c r="G61"/>
      <c r="H61"/>
      <c r="I61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</row>
    <row r="62" spans="1:24" ht="15.75" thickBot="1" x14ac:dyDescent="0.3">
      <c r="A62"/>
      <c r="B62"/>
      <c r="C62"/>
      <c r="D62"/>
      <c r="E62"/>
      <c r="F62"/>
      <c r="G62"/>
      <c r="H62"/>
      <c r="I6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</row>
    <row r="63" spans="1:24" x14ac:dyDescent="0.25">
      <c r="A63" s="10"/>
      <c r="B63" s="10" t="s">
        <v>63</v>
      </c>
      <c r="C63" s="10" t="s">
        <v>52</v>
      </c>
      <c r="D63" s="10" t="s">
        <v>64</v>
      </c>
      <c r="E63" s="10" t="s">
        <v>65</v>
      </c>
      <c r="F63" s="10" t="s">
        <v>66</v>
      </c>
      <c r="G63" s="10" t="s">
        <v>67</v>
      </c>
      <c r="H63" s="10" t="s">
        <v>68</v>
      </c>
      <c r="I63" s="10" t="s">
        <v>69</v>
      </c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</row>
    <row r="64" spans="1:24" x14ac:dyDescent="0.25">
      <c r="A64" s="7" t="s">
        <v>70</v>
      </c>
      <c r="B64" s="7">
        <v>-1.0515927841435655</v>
      </c>
      <c r="C64" s="7">
        <v>0.93004309568280563</v>
      </c>
      <c r="D64" s="7">
        <v>-1.1306925335234301</v>
      </c>
      <c r="E64" s="7">
        <v>0.30134624757372269</v>
      </c>
      <c r="F64" s="7">
        <v>-3.3273262570453777</v>
      </c>
      <c r="G64" s="7">
        <v>1.2241406887582467</v>
      </c>
      <c r="H64" s="7">
        <v>-3.3273262570453777</v>
      </c>
      <c r="I64" s="7">
        <v>1.2241406887582467</v>
      </c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</row>
    <row r="65" spans="1:24" ht="15.75" thickBot="1" x14ac:dyDescent="0.3">
      <c r="A65" s="9" t="s">
        <v>71</v>
      </c>
      <c r="B65" s="9">
        <v>0.16384455053367589</v>
      </c>
      <c r="C65" s="9">
        <v>4.5427408560216718E-4</v>
      </c>
      <c r="D65" s="9">
        <v>360.6733373674403</v>
      </c>
      <c r="E65" s="9">
        <v>3.0659633657492487E-14</v>
      </c>
      <c r="F65" s="9">
        <v>0.16273298188994789</v>
      </c>
      <c r="G65" s="9">
        <v>0.16495611917740388</v>
      </c>
      <c r="H65" s="9">
        <v>0.16273298188994789</v>
      </c>
      <c r="I65" s="9">
        <v>0.16495611917740388</v>
      </c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</row>
    <row r="66" spans="1:24" x14ac:dyDescent="0.25">
      <c r="A66"/>
      <c r="B66"/>
      <c r="C66"/>
      <c r="D66"/>
      <c r="E66"/>
      <c r="F66"/>
      <c r="G66"/>
      <c r="H66"/>
      <c r="I66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</row>
    <row r="67" spans="1:24" x14ac:dyDescent="0.25">
      <c r="A67"/>
      <c r="B67"/>
      <c r="C67"/>
      <c r="D67"/>
      <c r="E67"/>
      <c r="F67"/>
      <c r="G67"/>
      <c r="H67"/>
      <c r="I67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</row>
    <row r="68" spans="1:24" x14ac:dyDescent="0.25">
      <c r="A68"/>
      <c r="B68"/>
      <c r="C68"/>
      <c r="D68"/>
      <c r="E68"/>
      <c r="F68"/>
      <c r="G68"/>
      <c r="H68"/>
      <c r="I68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</row>
    <row r="69" spans="1:24" x14ac:dyDescent="0.25">
      <c r="A69" t="s">
        <v>72</v>
      </c>
      <c r="B69"/>
      <c r="C69"/>
      <c r="D69"/>
      <c r="E69"/>
      <c r="F69"/>
      <c r="G69"/>
      <c r="H69"/>
      <c r="I69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</row>
    <row r="70" spans="1:24" ht="15.75" thickBot="1" x14ac:dyDescent="0.3">
      <c r="A70"/>
      <c r="B70"/>
      <c r="C70"/>
      <c r="D70"/>
      <c r="E70"/>
      <c r="F70"/>
      <c r="G70"/>
      <c r="H70"/>
      <c r="I70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</row>
    <row r="71" spans="1:24" x14ac:dyDescent="0.25">
      <c r="A71" s="10" t="s">
        <v>73</v>
      </c>
      <c r="B71" s="10" t="s">
        <v>74</v>
      </c>
      <c r="C71" s="10" t="s">
        <v>75</v>
      </c>
      <c r="D71"/>
      <c r="E71"/>
      <c r="F71"/>
      <c r="G71"/>
      <c r="H71"/>
      <c r="I71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</row>
    <row r="72" spans="1:24" x14ac:dyDescent="0.25">
      <c r="A72" s="7">
        <v>1</v>
      </c>
      <c r="B72" s="7">
        <v>-0.86244335302746633</v>
      </c>
      <c r="C72" s="7">
        <v>0.86244335302746633</v>
      </c>
      <c r="D72"/>
      <c r="E72"/>
      <c r="F72"/>
      <c r="G72"/>
      <c r="H72"/>
      <c r="I7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</row>
    <row r="73" spans="1:24" x14ac:dyDescent="0.25">
      <c r="A73" s="7">
        <v>2</v>
      </c>
      <c r="B73" s="7">
        <v>-0.46848823374427229</v>
      </c>
      <c r="C73" s="7">
        <v>0.89617832905864625</v>
      </c>
      <c r="D73"/>
      <c r="E73"/>
      <c r="F73"/>
      <c r="G73"/>
      <c r="H73"/>
      <c r="I73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</row>
    <row r="74" spans="1:24" x14ac:dyDescent="0.25">
      <c r="A74" s="7">
        <v>3</v>
      </c>
      <c r="B74" s="7">
        <v>1.273270363178999</v>
      </c>
      <c r="C74" s="7">
        <v>0.86518011339287115</v>
      </c>
      <c r="D74"/>
      <c r="E74"/>
      <c r="F74"/>
      <c r="G74"/>
      <c r="H74"/>
      <c r="I74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</row>
    <row r="75" spans="1:24" x14ac:dyDescent="0.25">
      <c r="A75" s="7">
        <v>4</v>
      </c>
      <c r="B75" s="7">
        <v>3.4150827376553288</v>
      </c>
      <c r="C75" s="7">
        <v>0.86181821548841153</v>
      </c>
      <c r="D75"/>
      <c r="E75"/>
      <c r="F75"/>
      <c r="G75"/>
      <c r="H75"/>
      <c r="I75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</row>
    <row r="76" spans="1:24" x14ac:dyDescent="0.25">
      <c r="A76" s="7">
        <v>5</v>
      </c>
      <c r="B76" s="7">
        <v>20.791161420752843</v>
      </c>
      <c r="C76" s="7">
        <v>0.59334334496585583</v>
      </c>
      <c r="D76"/>
      <c r="E76"/>
      <c r="F76"/>
      <c r="G76"/>
      <c r="H76"/>
      <c r="I76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</row>
    <row r="77" spans="1:24" x14ac:dyDescent="0.25">
      <c r="A77" s="7">
        <v>6</v>
      </c>
      <c r="B77" s="7">
        <v>42.796303780178178</v>
      </c>
      <c r="C77" s="7">
        <v>-2.7294248740780347E-2</v>
      </c>
      <c r="D77"/>
      <c r="E77"/>
      <c r="F77"/>
      <c r="G77"/>
      <c r="H77"/>
      <c r="I77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</row>
    <row r="78" spans="1:24" x14ac:dyDescent="0.25">
      <c r="A78" s="7">
        <v>7</v>
      </c>
      <c r="B78" s="7">
        <v>219.142648643325</v>
      </c>
      <c r="C78" s="7">
        <v>-5.2976009861380078</v>
      </c>
      <c r="D78"/>
      <c r="E78"/>
      <c r="F78"/>
      <c r="G78"/>
      <c r="H78"/>
      <c r="I78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</row>
    <row r="79" spans="1:24" ht="15.75" thickBot="1" x14ac:dyDescent="0.3">
      <c r="A79" s="9">
        <v>8</v>
      </c>
      <c r="B79" s="9">
        <v>920.50054699429393</v>
      </c>
      <c r="C79" s="9">
        <v>1.245931878945612</v>
      </c>
      <c r="D79"/>
      <c r="E79"/>
      <c r="F79"/>
      <c r="G79"/>
      <c r="H79"/>
      <c r="I79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</row>
    <row r="80" spans="1:24" x14ac:dyDescent="0.25">
      <c r="A80"/>
      <c r="B80"/>
      <c r="C80"/>
      <c r="D80"/>
      <c r="E80"/>
      <c r="F80"/>
      <c r="G80"/>
      <c r="H80"/>
      <c r="I80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</row>
    <row r="81" spans="1:24" x14ac:dyDescent="0.25">
      <c r="A81"/>
      <c r="B81"/>
      <c r="C81"/>
      <c r="D81"/>
      <c r="E81"/>
      <c r="F81"/>
      <c r="G81"/>
      <c r="H81"/>
      <c r="I81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</row>
    <row r="82" spans="1:24" x14ac:dyDescent="0.25">
      <c r="A82"/>
      <c r="B82"/>
      <c r="C82"/>
      <c r="D82"/>
      <c r="E82"/>
      <c r="F82"/>
      <c r="G82"/>
      <c r="H82"/>
      <c r="I8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</row>
    <row r="83" spans="1:24" x14ac:dyDescent="0.25">
      <c r="A83"/>
      <c r="B83"/>
      <c r="C83"/>
      <c r="D83"/>
      <c r="E83"/>
      <c r="F83"/>
      <c r="G83"/>
      <c r="H83"/>
      <c r="I83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</row>
    <row r="84" spans="1:24" x14ac:dyDescent="0.25">
      <c r="A84"/>
      <c r="B84"/>
      <c r="C84"/>
      <c r="D84"/>
      <c r="E84"/>
      <c r="F84"/>
      <c r="G84"/>
      <c r="H84"/>
      <c r="I84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</row>
    <row r="85" spans="1:24" x14ac:dyDescent="0.25">
      <c r="A85"/>
      <c r="B85"/>
      <c r="C85"/>
      <c r="D85"/>
      <c r="E85"/>
      <c r="F85"/>
      <c r="G85"/>
      <c r="H85"/>
      <c r="I85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</row>
    <row r="86" spans="1:24" x14ac:dyDescent="0.25">
      <c r="A86"/>
      <c r="B86"/>
      <c r="C86"/>
      <c r="D86"/>
      <c r="E86"/>
      <c r="F86"/>
      <c r="G86"/>
      <c r="H86"/>
      <c r="I86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</row>
    <row r="87" spans="1:24" x14ac:dyDescent="0.25">
      <c r="A87"/>
      <c r="B87"/>
      <c r="C87"/>
      <c r="D87"/>
      <c r="E87"/>
      <c r="F87"/>
      <c r="G87"/>
      <c r="H87"/>
      <c r="I87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</row>
    <row r="88" spans="1:24" x14ac:dyDescent="0.25">
      <c r="A88"/>
      <c r="B88"/>
      <c r="C88"/>
      <c r="D88"/>
      <c r="E88"/>
      <c r="F88"/>
      <c r="G88"/>
      <c r="H88"/>
      <c r="I88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</row>
    <row r="89" spans="1:24" x14ac:dyDescent="0.25">
      <c r="A89"/>
      <c r="B89"/>
      <c r="C89"/>
      <c r="D89"/>
      <c r="E89"/>
      <c r="F89"/>
      <c r="G89"/>
      <c r="H89"/>
      <c r="I89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</row>
    <row r="90" spans="1:24" x14ac:dyDescent="0.25">
      <c r="A90"/>
      <c r="B90"/>
      <c r="C90"/>
      <c r="D90"/>
      <c r="E90"/>
      <c r="F90"/>
      <c r="G90"/>
      <c r="H90"/>
      <c r="I90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</row>
    <row r="91" spans="1:24" x14ac:dyDescent="0.25">
      <c r="A91"/>
      <c r="B91"/>
      <c r="C91"/>
      <c r="D91"/>
      <c r="E91"/>
      <c r="F91"/>
      <c r="G91"/>
      <c r="H91"/>
      <c r="I91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</row>
    <row r="92" spans="1:24" x14ac:dyDescent="0.25">
      <c r="A92"/>
      <c r="B92"/>
      <c r="C92"/>
      <c r="D92"/>
      <c r="E92"/>
      <c r="F92"/>
      <c r="G92"/>
      <c r="H92"/>
      <c r="I9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</row>
    <row r="93" spans="1:24" x14ac:dyDescent="0.25">
      <c r="A93"/>
      <c r="B93"/>
      <c r="C93"/>
      <c r="D93"/>
      <c r="E93"/>
      <c r="F93"/>
      <c r="G93"/>
      <c r="H93"/>
      <c r="I93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</row>
    <row r="94" spans="1:24" x14ac:dyDescent="0.25">
      <c r="A94"/>
      <c r="B94"/>
      <c r="C94"/>
      <c r="D94"/>
      <c r="E94"/>
      <c r="F94"/>
      <c r="G94"/>
      <c r="H94"/>
      <c r="I94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</row>
    <row r="95" spans="1:24" x14ac:dyDescent="0.25">
      <c r="A95"/>
      <c r="B95"/>
      <c r="C95"/>
      <c r="D95"/>
      <c r="E95"/>
      <c r="F95"/>
      <c r="G95"/>
      <c r="H95"/>
      <c r="I95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</row>
    <row r="96" spans="1:24" x14ac:dyDescent="0.25">
      <c r="A96"/>
      <c r="B96"/>
      <c r="C96"/>
      <c r="D96"/>
      <c r="E96"/>
      <c r="F96"/>
      <c r="G96"/>
      <c r="H96"/>
      <c r="I96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</row>
    <row r="97" spans="1:24" x14ac:dyDescent="0.25">
      <c r="A97"/>
      <c r="B97"/>
      <c r="C97"/>
      <c r="D97"/>
      <c r="E97"/>
      <c r="F97"/>
      <c r="G97"/>
      <c r="H97"/>
      <c r="I97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</row>
    <row r="98" spans="1:24" x14ac:dyDescent="0.25">
      <c r="A98"/>
      <c r="B98"/>
      <c r="C98"/>
      <c r="D98"/>
      <c r="E98"/>
      <c r="F98"/>
      <c r="G98"/>
      <c r="H98"/>
      <c r="I98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</row>
    <row r="99" spans="1:24" x14ac:dyDescent="0.25">
      <c r="A99"/>
      <c r="B99"/>
      <c r="C99"/>
      <c r="D99"/>
      <c r="E99"/>
      <c r="F99"/>
      <c r="G99"/>
      <c r="H99"/>
      <c r="I99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</row>
    <row r="100" spans="1:24" x14ac:dyDescent="0.25">
      <c r="A100"/>
      <c r="B100"/>
      <c r="C100"/>
      <c r="D100"/>
      <c r="E100"/>
      <c r="F100"/>
      <c r="G100"/>
      <c r="H100"/>
      <c r="I100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</row>
    <row r="101" spans="1:24" x14ac:dyDescent="0.25">
      <c r="A101"/>
      <c r="B101"/>
      <c r="C101"/>
      <c r="D101"/>
      <c r="E101"/>
      <c r="F101"/>
      <c r="G101"/>
      <c r="H101"/>
      <c r="I101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</row>
    <row r="102" spans="1:24" x14ac:dyDescent="0.25">
      <c r="A102"/>
      <c r="B102"/>
      <c r="C102"/>
      <c r="D102"/>
      <c r="E102"/>
      <c r="F102"/>
      <c r="G102"/>
      <c r="H102"/>
      <c r="I10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</row>
    <row r="103" spans="1:24" x14ac:dyDescent="0.25">
      <c r="A103"/>
      <c r="B103"/>
      <c r="C103"/>
      <c r="D103"/>
      <c r="E103"/>
      <c r="F103"/>
      <c r="G103"/>
      <c r="H103"/>
      <c r="I103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</row>
    <row r="104" spans="1:24" x14ac:dyDescent="0.25">
      <c r="A104"/>
      <c r="B104"/>
      <c r="C104"/>
      <c r="D104"/>
      <c r="E104"/>
      <c r="F104"/>
      <c r="G104"/>
      <c r="H104"/>
      <c r="I104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</row>
    <row r="105" spans="1:24" x14ac:dyDescent="0.25">
      <c r="A105"/>
      <c r="B105"/>
      <c r="C105"/>
      <c r="D105"/>
      <c r="E105"/>
      <c r="F105"/>
      <c r="G105"/>
      <c r="H105"/>
      <c r="I105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</row>
    <row r="106" spans="1:24" x14ac:dyDescent="0.25">
      <c r="A106"/>
      <c r="B106"/>
      <c r="C106"/>
      <c r="D106"/>
      <c r="E106"/>
      <c r="F106"/>
      <c r="G106"/>
      <c r="H106"/>
      <c r="I106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</row>
    <row r="107" spans="1:24" x14ac:dyDescent="0.25">
      <c r="A107"/>
      <c r="B107"/>
      <c r="C107"/>
      <c r="D107"/>
      <c r="E107"/>
      <c r="F107"/>
      <c r="G107"/>
      <c r="H107"/>
      <c r="I107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</row>
    <row r="108" spans="1:24" x14ac:dyDescent="0.25">
      <c r="A108"/>
      <c r="B108"/>
      <c r="C108"/>
      <c r="D108"/>
      <c r="E108"/>
      <c r="F108"/>
      <c r="G108"/>
      <c r="H108"/>
      <c r="I108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</row>
    <row r="109" spans="1:24" x14ac:dyDescent="0.25">
      <c r="A109"/>
      <c r="B109"/>
      <c r="C109"/>
      <c r="D109"/>
      <c r="E109"/>
      <c r="F109"/>
      <c r="G109"/>
      <c r="H109"/>
      <c r="I109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</row>
    <row r="110" spans="1:24" x14ac:dyDescent="0.25">
      <c r="A110"/>
      <c r="B110"/>
      <c r="C110"/>
      <c r="D110"/>
      <c r="E110"/>
      <c r="F110"/>
      <c r="G110"/>
      <c r="H110"/>
      <c r="I110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</row>
    <row r="111" spans="1:24" x14ac:dyDescent="0.25">
      <c r="A111"/>
      <c r="B111"/>
      <c r="C111"/>
      <c r="D111"/>
      <c r="E111"/>
      <c r="F111"/>
      <c r="G111"/>
      <c r="H111"/>
      <c r="I111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F2" sqref="F2:G19"/>
    </sheetView>
  </sheetViews>
  <sheetFormatPr defaultRowHeight="15" x14ac:dyDescent="0.25"/>
  <cols>
    <col min="1" max="1" width="9.85546875" bestFit="1" customWidth="1"/>
    <col min="2" max="2" width="9.85546875" customWidth="1"/>
    <col min="3" max="4" width="12" bestFit="1" customWidth="1"/>
    <col min="5" max="5" width="18.42578125" bestFit="1" customWidth="1"/>
    <col min="6" max="6" width="11.85546875" bestFit="1" customWidth="1"/>
    <col min="7" max="7" width="16.7109375" bestFit="1" customWidth="1"/>
    <col min="8" max="8" width="30.85546875" bestFit="1" customWidth="1"/>
  </cols>
  <sheetData>
    <row r="1" spans="1:7" x14ac:dyDescent="0.25">
      <c r="A1" t="s">
        <v>10</v>
      </c>
      <c r="B1" t="s">
        <v>85</v>
      </c>
      <c r="C1" t="s">
        <v>24</v>
      </c>
      <c r="D1" t="s">
        <v>21</v>
      </c>
      <c r="E1" t="s">
        <v>82</v>
      </c>
      <c r="F1" t="s">
        <v>83</v>
      </c>
      <c r="G1" t="s">
        <v>84</v>
      </c>
    </row>
    <row r="2" spans="1:7" x14ac:dyDescent="0.25">
      <c r="A2" t="s">
        <v>87</v>
      </c>
      <c r="B2" s="13" t="s">
        <v>86</v>
      </c>
      <c r="C2">
        <v>1.3919999999999999</v>
      </c>
      <c r="D2">
        <v>9.6354239999999994E-2</v>
      </c>
      <c r="E2" s="1" t="s">
        <v>46</v>
      </c>
      <c r="F2" s="1">
        <f>C2*'Calibration Data'!$B$31+'Calibration Data'!$B$30</f>
        <v>0.18198880290402808</v>
      </c>
      <c r="G2" s="14">
        <f>'Calibration Data'!$B$20</f>
        <v>0.15745067498955981</v>
      </c>
    </row>
    <row r="3" spans="1:7" x14ac:dyDescent="0.25">
      <c r="A3" t="s">
        <v>88</v>
      </c>
      <c r="B3" s="13" t="s">
        <v>86</v>
      </c>
      <c r="C3">
        <v>1.276</v>
      </c>
      <c r="D3">
        <v>9.2254799999999998E-2</v>
      </c>
      <c r="E3" s="1" t="s">
        <v>46</v>
      </c>
      <c r="F3" s="1">
        <f>C3*'Calibration Data'!$B$31+'Calibration Data'!$B$30</f>
        <v>0.16352233750846668</v>
      </c>
      <c r="G3" s="14">
        <f>'Calibration Data'!$B$20</f>
        <v>0.15745067498955981</v>
      </c>
    </row>
    <row r="4" spans="1:7" x14ac:dyDescent="0.25">
      <c r="A4" t="s">
        <v>89</v>
      </c>
      <c r="B4" s="13" t="s">
        <v>86</v>
      </c>
      <c r="C4">
        <v>1.242</v>
      </c>
      <c r="D4">
        <v>9.1063439999999995E-2</v>
      </c>
      <c r="E4" s="1" t="s">
        <v>46</v>
      </c>
      <c r="F4" s="1">
        <f>C4*'Calibration Data'!$B$31+'Calibration Data'!$B$30</f>
        <v>0.15810975282356074</v>
      </c>
      <c r="G4" s="14">
        <f>'Calibration Data'!$B$20</f>
        <v>0.15745067498955981</v>
      </c>
    </row>
    <row r="5" spans="1:7" x14ac:dyDescent="0.25">
      <c r="A5" t="s">
        <v>90</v>
      </c>
      <c r="B5" s="13" t="s">
        <v>86</v>
      </c>
      <c r="C5">
        <v>5.0803333333333303</v>
      </c>
      <c r="D5">
        <v>0.18400967333333301</v>
      </c>
      <c r="E5" s="1" t="s">
        <v>46</v>
      </c>
      <c r="F5" s="1">
        <f>C5*'Calibration Data'!$B$31+'Calibration Data'!$B$30</f>
        <v>0.76914811210485312</v>
      </c>
      <c r="G5" s="14">
        <f>'Calibration Data'!$B$20</f>
        <v>0.15745067498955981</v>
      </c>
    </row>
    <row r="6" spans="1:7" x14ac:dyDescent="0.25">
      <c r="A6" t="s">
        <v>91</v>
      </c>
      <c r="B6" s="13" t="s">
        <v>86</v>
      </c>
      <c r="C6">
        <v>5.4459999999999997</v>
      </c>
      <c r="D6">
        <v>0.19071891999999999</v>
      </c>
      <c r="E6" s="1" t="s">
        <v>46</v>
      </c>
      <c r="F6" s="1">
        <f>C6*'Calibration Data'!$B$31+'Calibration Data'!$B$30</f>
        <v>0.82735992974545958</v>
      </c>
      <c r="G6" s="14">
        <f>'Calibration Data'!$B$20</f>
        <v>0.15745067498955981</v>
      </c>
    </row>
    <row r="7" spans="1:7" x14ac:dyDescent="0.25">
      <c r="A7" t="s">
        <v>92</v>
      </c>
      <c r="B7" s="13" t="s">
        <v>86</v>
      </c>
      <c r="C7">
        <v>5.5106666666666699</v>
      </c>
      <c r="D7">
        <v>0.191660986666667</v>
      </c>
      <c r="E7" s="1" t="s">
        <v>46</v>
      </c>
      <c r="F7" s="1">
        <f>C7*'Calibration Data'!$B$31+'Calibration Data'!$B$30</f>
        <v>0.83765445355792834</v>
      </c>
      <c r="G7" s="14">
        <f>'Calibration Data'!$B$20</f>
        <v>0.15745067498955981</v>
      </c>
    </row>
    <row r="8" spans="1:7" ht="15.75" customHeight="1" x14ac:dyDescent="0.25">
      <c r="A8" t="s">
        <v>93</v>
      </c>
      <c r="B8" s="13" t="s">
        <v>86</v>
      </c>
      <c r="C8">
        <v>19.822333333333301</v>
      </c>
      <c r="D8">
        <v>0.36354159333333302</v>
      </c>
      <c r="E8" s="1" t="s">
        <v>46</v>
      </c>
      <c r="F8" s="1">
        <f>C8*'Calibration Data'!$B$31+'Calibration Data'!$B$30</f>
        <v>3.1159811540131819</v>
      </c>
      <c r="G8" s="14">
        <f>'Calibration Data'!$B$20</f>
        <v>0.15745067498955981</v>
      </c>
    </row>
    <row r="9" spans="1:7" x14ac:dyDescent="0.25">
      <c r="A9" t="s">
        <v>94</v>
      </c>
      <c r="B9" s="13" t="s">
        <v>86</v>
      </c>
      <c r="C9">
        <v>22.673666666666701</v>
      </c>
      <c r="D9">
        <v>0.38862664666666702</v>
      </c>
      <c r="E9" s="1" t="s">
        <v>46</v>
      </c>
      <c r="F9" s="1">
        <f>C9*'Calibration Data'!$B$31+'Calibration Data'!$B$30</f>
        <v>3.5698953637650099</v>
      </c>
      <c r="G9" s="14">
        <f>'Calibration Data'!$B$20</f>
        <v>0.15745067498955981</v>
      </c>
    </row>
    <row r="10" spans="1:7" x14ac:dyDescent="0.25">
      <c r="A10" t="s">
        <v>95</v>
      </c>
      <c r="B10" s="13" t="s">
        <v>86</v>
      </c>
      <c r="C10">
        <v>22.273</v>
      </c>
      <c r="D10">
        <v>0.38576835999999998</v>
      </c>
      <c r="E10" s="1" t="s">
        <v>46</v>
      </c>
      <c r="F10" s="1">
        <f>C10*'Calibration Data'!$B$31+'Calibration Data'!$B$30</f>
        <v>3.5061117677722895</v>
      </c>
      <c r="G10" s="14">
        <f>'Calibration Data'!$B$20</f>
        <v>0.15745067498955981</v>
      </c>
    </row>
    <row r="11" spans="1:7" x14ac:dyDescent="0.25">
      <c r="A11" t="s">
        <v>96</v>
      </c>
      <c r="B11" s="13" t="s">
        <v>86</v>
      </c>
      <c r="C11">
        <v>45.049666666666702</v>
      </c>
      <c r="D11">
        <v>0.54870494000000003</v>
      </c>
      <c r="E11" s="1" t="s">
        <v>46</v>
      </c>
      <c r="F11" s="1">
        <f>C11*'Calibration Data'!$B$31+'Calibration Data'!$B$30</f>
        <v>7.1320128611019298</v>
      </c>
      <c r="G11" s="14">
        <f>'Calibration Data'!$B$20</f>
        <v>0.15745067498955981</v>
      </c>
    </row>
    <row r="12" spans="1:7" x14ac:dyDescent="0.25">
      <c r="A12" t="s">
        <v>97</v>
      </c>
      <c r="B12" s="13" t="s">
        <v>86</v>
      </c>
      <c r="C12">
        <v>46.56</v>
      </c>
      <c r="D12">
        <v>0.55685759999999995</v>
      </c>
      <c r="E12" s="1" t="s">
        <v>46</v>
      </c>
      <c r="F12" s="1">
        <f>C12*'Calibration Data'!$B$31+'Calibration Data'!$B$30</f>
        <v>7.3724483631343638</v>
      </c>
      <c r="G12" s="14">
        <f>'Calibration Data'!$B$20</f>
        <v>0.15745067498955981</v>
      </c>
    </row>
    <row r="13" spans="1:7" x14ac:dyDescent="0.25">
      <c r="A13" t="s">
        <v>98</v>
      </c>
      <c r="B13" s="13" t="s">
        <v>86</v>
      </c>
      <c r="C13">
        <v>45.003666666666703</v>
      </c>
      <c r="D13">
        <v>0.54814465999999995</v>
      </c>
      <c r="E13" s="1" t="s">
        <v>46</v>
      </c>
      <c r="F13" s="1">
        <f>C13*'Calibration Data'!$B$31+'Calibration Data'!$B$30</f>
        <v>7.124689952410586</v>
      </c>
      <c r="G13" s="14">
        <f>'Calibration Data'!$B$20</f>
        <v>0.15745067498955981</v>
      </c>
    </row>
    <row r="14" spans="1:7" x14ac:dyDescent="0.25">
      <c r="A14" t="s">
        <v>99</v>
      </c>
      <c r="B14" s="13" t="s">
        <v>86</v>
      </c>
      <c r="C14">
        <v>98.912666666666695</v>
      </c>
      <c r="D14">
        <v>0.81306212</v>
      </c>
      <c r="E14" s="1" t="s">
        <v>46</v>
      </c>
      <c r="F14" s="1">
        <f>C14*'Calibration Data'!$B$31+'Calibration Data'!$B$30</f>
        <v>15.706661357663355</v>
      </c>
      <c r="G14" s="14">
        <f>'Calibration Data'!$B$20</f>
        <v>0.15745067498955981</v>
      </c>
    </row>
    <row r="15" spans="1:7" x14ac:dyDescent="0.25">
      <c r="A15" t="s">
        <v>100</v>
      </c>
      <c r="B15" s="13" t="s">
        <v>86</v>
      </c>
      <c r="C15">
        <v>99.828666666666706</v>
      </c>
      <c r="D15">
        <v>0.81659849333333301</v>
      </c>
      <c r="E15" s="1" t="s">
        <v>46</v>
      </c>
      <c r="F15" s="1">
        <f>C15*'Calibration Data'!$B$31+'Calibration Data'!$B$30</f>
        <v>15.852482756821411</v>
      </c>
      <c r="G15" s="14">
        <f>'Calibration Data'!$B$20</f>
        <v>0.15745067498955981</v>
      </c>
    </row>
    <row r="16" spans="1:7" x14ac:dyDescent="0.25">
      <c r="A16" t="s">
        <v>101</v>
      </c>
      <c r="B16" s="13" t="s">
        <v>86</v>
      </c>
      <c r="C16">
        <v>112.53466666666699</v>
      </c>
      <c r="D16">
        <v>0.86651693333333302</v>
      </c>
      <c r="E16" s="1" t="s">
        <v>46</v>
      </c>
      <c r="F16" s="1">
        <f>C16*'Calibration Data'!$B$31+'Calibration Data'!$B$30</f>
        <v>17.875197492304245</v>
      </c>
      <c r="G16" s="14">
        <f>'Calibration Data'!$B$20</f>
        <v>0.15745067498955981</v>
      </c>
    </row>
    <row r="17" spans="1:7" x14ac:dyDescent="0.25">
      <c r="A17" t="s">
        <v>102</v>
      </c>
      <c r="B17" s="13" t="s">
        <v>86</v>
      </c>
      <c r="C17">
        <v>206.89733333333299</v>
      </c>
      <c r="D17">
        <v>1.17517685333333</v>
      </c>
      <c r="E17" s="1" t="s">
        <v>46</v>
      </c>
      <c r="F17" s="1">
        <f>C17*'Calibration Data'!$B$31+'Calibration Data'!$B$30</f>
        <v>32.897136446036022</v>
      </c>
      <c r="G17" s="14">
        <f>'Calibration Data'!$B$20</f>
        <v>0.15745067498955981</v>
      </c>
    </row>
    <row r="18" spans="1:7" x14ac:dyDescent="0.25">
      <c r="A18" t="s">
        <v>103</v>
      </c>
      <c r="B18" s="13" t="s">
        <v>86</v>
      </c>
      <c r="C18">
        <v>212.898</v>
      </c>
      <c r="D18">
        <v>1.1922288000000001</v>
      </c>
      <c r="E18" s="1" t="s">
        <v>46</v>
      </c>
      <c r="F18" s="1">
        <f>C18*'Calibration Data'!$B$31+'Calibration Data'!$B$30</f>
        <v>33.85240457836624</v>
      </c>
      <c r="G18" s="14">
        <f>'Calibration Data'!$B$20</f>
        <v>0.15745067498955981</v>
      </c>
    </row>
    <row r="19" spans="1:7" x14ac:dyDescent="0.25">
      <c r="A19" t="s">
        <v>104</v>
      </c>
      <c r="B19" s="13" t="s">
        <v>86</v>
      </c>
      <c r="C19">
        <v>214.42566666666701</v>
      </c>
      <c r="D19">
        <v>1.1922067066666699</v>
      </c>
      <c r="E19" s="1" t="s">
        <v>46</v>
      </c>
      <c r="F19" s="1">
        <f>C19*'Calibration Data'!$B$31+'Calibration Data'!$B$30</f>
        <v>34.095599437296926</v>
      </c>
      <c r="G19" s="14">
        <f>'Calibration Data'!$B$20</f>
        <v>0.15745067498955981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S10" sqref="S10"/>
    </sheetView>
  </sheetViews>
  <sheetFormatPr defaultRowHeight="15" x14ac:dyDescent="0.25"/>
  <cols>
    <col min="1" max="1" width="9.85546875" bestFit="1" customWidth="1"/>
    <col min="2" max="2" width="24.28515625" bestFit="1" customWidth="1"/>
    <col min="3" max="3" width="16.5703125" bestFit="1" customWidth="1"/>
    <col min="4" max="4" width="8.140625" bestFit="1" customWidth="1"/>
    <col min="5" max="5" width="15.7109375" bestFit="1" customWidth="1"/>
    <col min="6" max="6" width="20.5703125" bestFit="1" customWidth="1"/>
    <col min="7" max="7" width="17.5703125" bestFit="1" customWidth="1"/>
    <col min="8" max="8" width="22.42578125" bestFit="1" customWidth="1"/>
    <col min="9" max="9" width="19.140625" bestFit="1" customWidth="1"/>
    <col min="10" max="10" width="24.42578125" bestFit="1" customWidth="1"/>
    <col min="11" max="11" width="24.7109375" bestFit="1" customWidth="1"/>
    <col min="12" max="12" width="29.85546875" bestFit="1" customWidth="1"/>
    <col min="13" max="13" width="11.28515625" bestFit="1" customWidth="1"/>
    <col min="14" max="14" width="12.42578125" bestFit="1" customWidth="1"/>
    <col min="15" max="15" width="16.85546875" bestFit="1" customWidth="1"/>
    <col min="16" max="16" width="18.140625" bestFit="1" customWidth="1"/>
    <col min="17" max="17" width="9" bestFit="1" customWidth="1"/>
    <col min="18" max="18" width="10.140625" bestFit="1" customWidth="1"/>
    <col min="19" max="19" width="13.140625" bestFit="1" customWidth="1"/>
    <col min="20" max="20" width="14.28515625" bestFit="1" customWidth="1"/>
  </cols>
  <sheetData>
    <row r="1" spans="1:19" x14ac:dyDescent="0.25">
      <c r="A1" t="s">
        <v>10</v>
      </c>
      <c r="B1" t="s">
        <v>28</v>
      </c>
      <c r="C1" t="s">
        <v>29</v>
      </c>
      <c r="D1" t="s">
        <v>12</v>
      </c>
      <c r="E1" t="s">
        <v>26</v>
      </c>
      <c r="F1" t="s">
        <v>27</v>
      </c>
      <c r="G1" t="s">
        <v>78</v>
      </c>
      <c r="H1" t="s">
        <v>79</v>
      </c>
      <c r="I1" t="s">
        <v>76</v>
      </c>
      <c r="J1" t="s">
        <v>77</v>
      </c>
      <c r="K1" t="s">
        <v>80</v>
      </c>
      <c r="L1" t="s">
        <v>81</v>
      </c>
      <c r="M1" t="s">
        <v>30</v>
      </c>
      <c r="N1" t="s">
        <v>31</v>
      </c>
      <c r="O1" t="s">
        <v>34</v>
      </c>
      <c r="P1" t="s">
        <v>35</v>
      </c>
      <c r="Q1" t="s">
        <v>32</v>
      </c>
      <c r="R1" t="s">
        <v>33</v>
      </c>
      <c r="S1" t="s">
        <v>109</v>
      </c>
    </row>
    <row r="2" spans="1:19" x14ac:dyDescent="0.25">
      <c r="A2" t="s">
        <v>87</v>
      </c>
      <c r="B2">
        <v>0</v>
      </c>
      <c r="C2">
        <v>0</v>
      </c>
      <c r="D2" s="1">
        <v>5</v>
      </c>
      <c r="E2" s="1">
        <v>2.98E-2</v>
      </c>
      <c r="F2" s="1">
        <v>1E-4</v>
      </c>
      <c r="G2" s="1">
        <v>100</v>
      </c>
      <c r="H2" s="1">
        <v>5</v>
      </c>
      <c r="I2" s="1">
        <f>'Count-&gt;Actual Activity'!F2</f>
        <v>0.18198880290402808</v>
      </c>
      <c r="J2" s="1">
        <f>'Count-&gt;Actual Activity'!G2</f>
        <v>0.15745067498955981</v>
      </c>
      <c r="K2" s="1">
        <v>10</v>
      </c>
      <c r="L2" s="1">
        <v>0.02</v>
      </c>
      <c r="M2">
        <f>I2/K2</f>
        <v>1.8198880290402807E-2</v>
      </c>
      <c r="N2">
        <f>SQRT((L2/K2)^2+(J2/I2)^2)*M2</f>
        <v>1.5745109569121937E-2</v>
      </c>
      <c r="O2">
        <f>B2*Parameters!$B$6</f>
        <v>0</v>
      </c>
      <c r="P2" t="e">
        <f>SQRT((C2/B2)^2+(Parameters!$C$6/Parameters!$B$6)^2)*'Bottle Results'!O2</f>
        <v>#DIV/0!</v>
      </c>
      <c r="Q2">
        <f>(O2-M2*G2)/E2</f>
        <v>-61.070068088600017</v>
      </c>
      <c r="S2" t="e">
        <f>(O2-M2*G2)/O2</f>
        <v>#DIV/0!</v>
      </c>
    </row>
    <row r="3" spans="1:19" x14ac:dyDescent="0.25">
      <c r="A3" t="s">
        <v>88</v>
      </c>
      <c r="B3">
        <v>0</v>
      </c>
      <c r="C3">
        <v>0</v>
      </c>
      <c r="D3" s="1">
        <v>5</v>
      </c>
      <c r="E3" s="1">
        <v>2.9499999999999998E-2</v>
      </c>
      <c r="F3" s="1">
        <v>1E-4</v>
      </c>
      <c r="G3" s="1">
        <v>100</v>
      </c>
      <c r="H3" s="1">
        <v>5</v>
      </c>
      <c r="I3" s="1">
        <f>'Count-&gt;Actual Activity'!F3</f>
        <v>0.16352233750846668</v>
      </c>
      <c r="J3" s="1">
        <f>'Count-&gt;Actual Activity'!G3</f>
        <v>0.15745067498955981</v>
      </c>
      <c r="K3" s="1">
        <v>10</v>
      </c>
      <c r="L3" s="1">
        <v>0.02</v>
      </c>
      <c r="M3">
        <f>I3/K3</f>
        <v>1.6352233750846667E-2</v>
      </c>
      <c r="N3">
        <f>SQRT((L3/K3)^2+(J3/I3)^2)*M3</f>
        <v>1.5745101464546822E-2</v>
      </c>
      <c r="O3">
        <f>B3*Parameters!$B$6</f>
        <v>0</v>
      </c>
      <c r="P3" t="e">
        <f>SQRT((C3/B3)^2+(Parameters!$C$6/Parameters!$B$6)^2)*'Bottle Results'!O3</f>
        <v>#DIV/0!</v>
      </c>
      <c r="Q3">
        <f>(O3-M3*G3)/E3</f>
        <v>-55.431300850327688</v>
      </c>
      <c r="S3" t="e">
        <f>(O3-M3*G3)/O3</f>
        <v>#DIV/0!</v>
      </c>
    </row>
    <row r="4" spans="1:19" x14ac:dyDescent="0.25">
      <c r="A4" t="s">
        <v>89</v>
      </c>
      <c r="B4">
        <v>0</v>
      </c>
      <c r="C4">
        <v>0</v>
      </c>
      <c r="D4" s="1">
        <v>5.01</v>
      </c>
      <c r="E4" s="1">
        <v>3.09E-2</v>
      </c>
      <c r="F4" s="1">
        <v>1E-4</v>
      </c>
      <c r="G4" s="1">
        <v>100</v>
      </c>
      <c r="H4" s="1">
        <v>5</v>
      </c>
      <c r="I4" s="1">
        <f>'Count-&gt;Actual Activity'!F4</f>
        <v>0.15810975282356074</v>
      </c>
      <c r="J4" s="1">
        <f>'Count-&gt;Actual Activity'!G4</f>
        <v>0.15745067498955981</v>
      </c>
      <c r="K4" s="1">
        <v>10</v>
      </c>
      <c r="L4" s="1">
        <v>0.02</v>
      </c>
      <c r="M4">
        <f>I4/K4</f>
        <v>1.5810975282356074E-2</v>
      </c>
      <c r="N4">
        <f>SQRT((L4/K4)^2+(J4/I4)^2)*M4</f>
        <v>1.5745099253241863E-2</v>
      </c>
      <c r="O4">
        <f>B4*Parameters!$B$6</f>
        <v>0</v>
      </c>
      <c r="P4" t="e">
        <f>SQRT((C4/B4)^2+(Parameters!$C$6/Parameters!$B$6)^2)*'Bottle Results'!O4</f>
        <v>#DIV/0!</v>
      </c>
      <c r="Q4">
        <f>(O4-M4*G4)/E4</f>
        <v>-51.168204797268849</v>
      </c>
      <c r="S4" t="e">
        <f>(O4-M4*G4)/O4</f>
        <v>#DIV/0!</v>
      </c>
    </row>
    <row r="5" spans="1:19" x14ac:dyDescent="0.25">
      <c r="A5" t="s">
        <v>90</v>
      </c>
      <c r="B5">
        <v>1.5800000000000002E-2</v>
      </c>
      <c r="C5">
        <v>1E-4</v>
      </c>
      <c r="D5" s="1">
        <v>5</v>
      </c>
      <c r="E5" s="1">
        <v>2.9499999999999998E-2</v>
      </c>
      <c r="F5" s="1">
        <v>1E-4</v>
      </c>
      <c r="G5" s="1">
        <v>100</v>
      </c>
      <c r="H5" s="1">
        <v>5</v>
      </c>
      <c r="I5" s="1">
        <f>'Count-&gt;Actual Activity'!F5</f>
        <v>0.76914811210485312</v>
      </c>
      <c r="J5" s="1">
        <f>'Count-&gt;Actual Activity'!G5</f>
        <v>0.15745067498955981</v>
      </c>
      <c r="K5" s="1">
        <v>10</v>
      </c>
      <c r="L5" s="1">
        <v>0.02</v>
      </c>
      <c r="M5">
        <f>I5/K5</f>
        <v>7.6914811210485309E-2</v>
      </c>
      <c r="N5">
        <f>SQRT((L5/K5)^2+(J5/I5)^2)*M5</f>
        <v>1.5745818940258841E-2</v>
      </c>
      <c r="O5">
        <f>B5*Parameters!$B$6</f>
        <v>7.4534297107408278</v>
      </c>
      <c r="P5">
        <f>SQRT((C5/B5)^2+(Parameters!$C$6/Parameters!$B$6)^2)*'Bottle Results'!O5</f>
        <v>5.9989159322257707E-2</v>
      </c>
      <c r="Q5">
        <f>(O5-M5*G5)/E5</f>
        <v>-8.0695393324645064</v>
      </c>
      <c r="S5">
        <f>(O5-M5*G5)/O5</f>
        <v>-3.1938506103392501E-2</v>
      </c>
    </row>
    <row r="6" spans="1:19" x14ac:dyDescent="0.25">
      <c r="A6" t="s">
        <v>91</v>
      </c>
      <c r="B6">
        <v>1.5800000000000002E-2</v>
      </c>
      <c r="C6">
        <v>1E-4</v>
      </c>
      <c r="D6" s="1">
        <v>5</v>
      </c>
      <c r="E6" s="1">
        <v>2.93E-2</v>
      </c>
      <c r="F6" s="1">
        <v>1E-4</v>
      </c>
      <c r="G6" s="1">
        <v>100</v>
      </c>
      <c r="H6" s="1">
        <v>5</v>
      </c>
      <c r="I6" s="1">
        <f>'Count-&gt;Actual Activity'!F6</f>
        <v>0.82735992974545958</v>
      </c>
      <c r="J6" s="1">
        <f>'Count-&gt;Actual Activity'!G6</f>
        <v>0.15745067498955981</v>
      </c>
      <c r="K6" s="1">
        <v>10</v>
      </c>
      <c r="L6" s="1">
        <v>0.02</v>
      </c>
      <c r="M6">
        <f>I6/K6</f>
        <v>8.2735992974545952E-2</v>
      </c>
      <c r="N6">
        <f>SQRT((L6/K6)^2+(J6/I6)^2)*M6</f>
        <v>1.5745936984657784E-2</v>
      </c>
      <c r="O6">
        <f>B6*Parameters!$B$6</f>
        <v>7.4534297107408278</v>
      </c>
      <c r="P6">
        <f>SQRT((C6/B6)^2+(Parameters!$C$6/Parameters!$B$6)^2)*'Bottle Results'!O6</f>
        <v>5.9989159322257707E-2</v>
      </c>
      <c r="Q6">
        <f>(O6-M6*G6)/E6</f>
        <v>-27.992136065316288</v>
      </c>
      <c r="S6">
        <f>(O6-M6*G6)/O6</f>
        <v>-0.11003921933171987</v>
      </c>
    </row>
    <row r="7" spans="1:19" x14ac:dyDescent="0.25">
      <c r="A7" t="s">
        <v>92</v>
      </c>
      <c r="B7">
        <v>1.5800000000000002E-2</v>
      </c>
      <c r="C7">
        <v>1E-4</v>
      </c>
      <c r="D7" s="1">
        <v>5</v>
      </c>
      <c r="E7" s="1">
        <v>3.0499999999999999E-2</v>
      </c>
      <c r="F7" s="1">
        <v>1E-4</v>
      </c>
      <c r="G7" s="1">
        <v>100</v>
      </c>
      <c r="H7" s="1">
        <v>5</v>
      </c>
      <c r="I7" s="1">
        <f>'Count-&gt;Actual Activity'!F7</f>
        <v>0.83765445355792834</v>
      </c>
      <c r="J7" s="1">
        <f>'Count-&gt;Actual Activity'!G7</f>
        <v>0.15745067498955981</v>
      </c>
      <c r="K7" s="1">
        <v>10</v>
      </c>
      <c r="L7" s="1">
        <v>0.02</v>
      </c>
      <c r="M7">
        <f>I7/K7</f>
        <v>8.3765445355792834E-2</v>
      </c>
      <c r="N7">
        <f>SQRT((L7/K7)^2+(J7/I7)^2)*M7</f>
        <v>1.5745958756011733E-2</v>
      </c>
      <c r="O7">
        <f>B7*Parameters!$B$6</f>
        <v>7.4534297107408278</v>
      </c>
      <c r="P7">
        <f>SQRT((C7/B7)^2+(Parameters!$C$6/Parameters!$B$6)^2)*'Bottle Results'!O7</f>
        <v>5.9989159322257707E-2</v>
      </c>
      <c r="Q7">
        <f>(O7-M7*G7)/E7</f>
        <v>-30.266059830769027</v>
      </c>
      <c r="S7">
        <f>(O7-M7*G7)/O7</f>
        <v>-0.12385101364921881</v>
      </c>
    </row>
    <row r="8" spans="1:19" ht="15.75" customHeight="1" x14ac:dyDescent="0.25">
      <c r="A8" t="s">
        <v>93</v>
      </c>
      <c r="B8">
        <v>7.9200000000000007E-2</v>
      </c>
      <c r="C8">
        <v>1E-4</v>
      </c>
      <c r="D8" s="1">
        <v>5.0199999999999996</v>
      </c>
      <c r="E8" s="1">
        <v>2.98E-2</v>
      </c>
      <c r="F8" s="1">
        <v>1E-4</v>
      </c>
      <c r="G8" s="1">
        <v>100</v>
      </c>
      <c r="H8" s="1">
        <v>5</v>
      </c>
      <c r="I8" s="1">
        <f>'Count-&gt;Actual Activity'!F8</f>
        <v>3.1159811540131819</v>
      </c>
      <c r="J8" s="1">
        <f>'Count-&gt;Actual Activity'!G8</f>
        <v>0.15745067498955981</v>
      </c>
      <c r="K8" s="1">
        <v>10</v>
      </c>
      <c r="L8" s="1">
        <v>0.02</v>
      </c>
      <c r="M8">
        <f>I8/K8</f>
        <v>0.31159811540131821</v>
      </c>
      <c r="N8">
        <f>SQRT((L8/K8)^2+(J8/I8)^2)*M8</f>
        <v>1.5757395853654457E-2</v>
      </c>
      <c r="O8">
        <f>B8*Parameters!$B$6</f>
        <v>37.361495765232505</v>
      </c>
      <c r="P8">
        <f>SQRT((C8/B8)^2+(Parameters!$C$6/Parameters!$B$6)^2)*'Bottle Results'!O8</f>
        <v>0.19165898051079078</v>
      </c>
      <c r="Q8">
        <f>(O8-M8*G8)/E8</f>
        <v>208.11020889599615</v>
      </c>
      <c r="S8">
        <f>(O8-M8*G8)/O8</f>
        <v>0.16599132604513622</v>
      </c>
    </row>
    <row r="9" spans="1:19" x14ac:dyDescent="0.25">
      <c r="A9" t="s">
        <v>94</v>
      </c>
      <c r="B9">
        <v>7.9200000000000007E-2</v>
      </c>
      <c r="C9">
        <v>1E-4</v>
      </c>
      <c r="D9" s="1">
        <v>5</v>
      </c>
      <c r="E9" s="1">
        <v>3.0300000000000001E-2</v>
      </c>
      <c r="F9" s="1">
        <v>1E-4</v>
      </c>
      <c r="G9" s="1">
        <v>100</v>
      </c>
      <c r="H9" s="1">
        <v>5</v>
      </c>
      <c r="I9" s="1">
        <f>'Count-&gt;Actual Activity'!F9</f>
        <v>3.5698953637650099</v>
      </c>
      <c r="J9" s="1">
        <f>'Count-&gt;Actual Activity'!G9</f>
        <v>0.15745067498955981</v>
      </c>
      <c r="K9" s="1">
        <v>10</v>
      </c>
      <c r="L9" s="1">
        <v>0.02</v>
      </c>
      <c r="M9">
        <f>I9/K9</f>
        <v>0.35698953637650099</v>
      </c>
      <c r="N9">
        <f>SQRT((L9/K9)^2+(J9/I9)^2)*M9</f>
        <v>1.5761247306701621E-2</v>
      </c>
      <c r="O9">
        <f>B9*Parameters!$B$6</f>
        <v>37.361495765232505</v>
      </c>
      <c r="P9">
        <f>SQRT((C9/B9)^2+(Parameters!$C$6/Parameters!$B$6)^2)*'Bottle Results'!O9</f>
        <v>0.19165898051079078</v>
      </c>
      <c r="Q9">
        <f>(O9-M9*G9)/E9</f>
        <v>54.869377147934166</v>
      </c>
      <c r="S9">
        <f>(O9-M9*G9)/O9</f>
        <v>4.4498810701511515E-2</v>
      </c>
    </row>
    <row r="10" spans="1:19" x14ac:dyDescent="0.25">
      <c r="A10" t="s">
        <v>95</v>
      </c>
      <c r="B10">
        <v>7.9200000000000007E-2</v>
      </c>
      <c r="C10">
        <v>1E-4</v>
      </c>
      <c r="D10" s="1">
        <v>5.01</v>
      </c>
      <c r="E10" s="1">
        <v>3.0700000000000002E-2</v>
      </c>
      <c r="F10" s="1">
        <v>1E-4</v>
      </c>
      <c r="G10" s="1">
        <v>100</v>
      </c>
      <c r="H10" s="1">
        <v>5</v>
      </c>
      <c r="I10" s="1">
        <f>'Count-&gt;Actual Activity'!F10</f>
        <v>3.5061117677722895</v>
      </c>
      <c r="J10" s="1">
        <f>'Count-&gt;Actual Activity'!G10</f>
        <v>0.15745067498955981</v>
      </c>
      <c r="K10" s="1">
        <v>10</v>
      </c>
      <c r="L10" s="1">
        <v>0.02</v>
      </c>
      <c r="M10">
        <f>I10/K10</f>
        <v>0.35061117677722897</v>
      </c>
      <c r="N10">
        <f>SQRT((L10/K10)^2+(J10/I10)^2)*M10</f>
        <v>1.576067458377986E-2</v>
      </c>
      <c r="O10">
        <f>B10*Parameters!$B$6</f>
        <v>37.361495765232505</v>
      </c>
      <c r="P10">
        <f>SQRT((C10/B10)^2+(Parameters!$C$6/Parameters!$B$6)^2)*'Bottle Results'!O10</f>
        <v>0.19165898051079078</v>
      </c>
      <c r="Q10">
        <f>(O10-M10*G10)/E10</f>
        <v>74.930882329303159</v>
      </c>
      <c r="S10">
        <f>(O10-M10*G10)/O10</f>
        <v>6.1570824197308242E-2</v>
      </c>
    </row>
    <row r="11" spans="1:19" x14ac:dyDescent="0.25">
      <c r="A11" t="s">
        <v>96</v>
      </c>
      <c r="B11">
        <v>0.158</v>
      </c>
      <c r="C11">
        <v>1E-3</v>
      </c>
      <c r="D11" s="1">
        <v>5</v>
      </c>
      <c r="E11" s="1">
        <v>3.0200000000000001E-2</v>
      </c>
      <c r="F11" s="1">
        <v>1E-4</v>
      </c>
      <c r="G11" s="1">
        <v>100</v>
      </c>
      <c r="H11" s="1">
        <v>5</v>
      </c>
      <c r="I11" s="1">
        <f>'Count-&gt;Actual Activity'!F11</f>
        <v>7.1320128611019298</v>
      </c>
      <c r="J11" s="1">
        <f>'Count-&gt;Actual Activity'!G11</f>
        <v>0.15745067498955981</v>
      </c>
      <c r="K11" s="1">
        <v>10</v>
      </c>
      <c r="L11" s="1">
        <v>0.02</v>
      </c>
      <c r="M11">
        <f>I11/K11</f>
        <v>0.71320128611019296</v>
      </c>
      <c r="N11">
        <f>SQRT((L11/K11)^2+(J11/I11)^2)*M11</f>
        <v>1.5809546952544745E-2</v>
      </c>
      <c r="O11">
        <f>B11*Parameters!$B$6</f>
        <v>74.534297107408278</v>
      </c>
      <c r="P11">
        <f>SQRT((C11/B11)^2+(Parameters!$C$6/Parameters!$B$6)^2)*'Bottle Results'!O11</f>
        <v>0.59989159322257712</v>
      </c>
      <c r="Q11">
        <f>(O11-M11*G11)/E11</f>
        <v>106.42942041023107</v>
      </c>
      <c r="S11">
        <f>(O11-M11*G11)/O11</f>
        <v>4.3123348862566906E-2</v>
      </c>
    </row>
    <row r="12" spans="1:19" x14ac:dyDescent="0.25">
      <c r="A12" t="s">
        <v>97</v>
      </c>
      <c r="B12">
        <v>0.158</v>
      </c>
      <c r="C12">
        <v>1E-3</v>
      </c>
      <c r="D12" s="1">
        <v>5.0199999999999996</v>
      </c>
      <c r="E12" s="1">
        <v>2.98E-2</v>
      </c>
      <c r="F12" s="1">
        <v>1E-4</v>
      </c>
      <c r="G12" s="1">
        <v>100</v>
      </c>
      <c r="H12" s="1">
        <v>5</v>
      </c>
      <c r="I12" s="1">
        <f>'Count-&gt;Actual Activity'!F12</f>
        <v>7.3724483631343638</v>
      </c>
      <c r="J12" s="1">
        <f>'Count-&gt;Actual Activity'!G12</f>
        <v>0.15745067498955981</v>
      </c>
      <c r="K12" s="1">
        <v>10</v>
      </c>
      <c r="L12" s="1">
        <v>0.02</v>
      </c>
      <c r="M12">
        <f>I12/K12</f>
        <v>0.7372448363134364</v>
      </c>
      <c r="N12">
        <f>SQRT((L12/K12)^2+(J12/I12)^2)*M12</f>
        <v>1.5813958085860835E-2</v>
      </c>
      <c r="O12">
        <f>B12*Parameters!$B$6</f>
        <v>74.534297107408278</v>
      </c>
      <c r="P12">
        <f>SQRT((C12/B12)^2+(Parameters!$C$6/Parameters!$B$6)^2)*'Bottle Results'!O12</f>
        <v>0.59989159322257712</v>
      </c>
      <c r="Q12">
        <f>(O12-M12*G12)/E12</f>
        <v>27.1749488612293</v>
      </c>
      <c r="S12">
        <f>(O12-M12*G12)/O12</f>
        <v>1.0864977701441856E-2</v>
      </c>
    </row>
    <row r="13" spans="1:19" x14ac:dyDescent="0.25">
      <c r="A13" t="s">
        <v>98</v>
      </c>
      <c r="B13">
        <v>0.158</v>
      </c>
      <c r="C13">
        <v>1E-3</v>
      </c>
      <c r="D13" s="1">
        <v>4.9800000000000004</v>
      </c>
      <c r="E13" s="1">
        <v>2.9700000000000001E-2</v>
      </c>
      <c r="F13" s="1">
        <v>1E-4</v>
      </c>
      <c r="G13" s="1">
        <v>100</v>
      </c>
      <c r="H13" s="1">
        <v>5</v>
      </c>
      <c r="I13" s="1">
        <f>'Count-&gt;Actual Activity'!F13</f>
        <v>7.124689952410586</v>
      </c>
      <c r="J13" s="1">
        <f>'Count-&gt;Actual Activity'!G13</f>
        <v>0.15745067498955981</v>
      </c>
      <c r="K13" s="1">
        <v>10</v>
      </c>
      <c r="L13" s="1">
        <v>0.02</v>
      </c>
      <c r="M13">
        <f>I13/K13</f>
        <v>0.71246899524105856</v>
      </c>
      <c r="N13">
        <f>SQRT((L13/K13)^2+(J13/I13)^2)*M13</f>
        <v>1.5809414879223046E-2</v>
      </c>
      <c r="O13">
        <f>B13*Parameters!$B$6</f>
        <v>74.534297107408278</v>
      </c>
      <c r="P13">
        <f>SQRT((C13/B13)^2+(Parameters!$C$6/Parameters!$B$6)^2)*'Bottle Results'!O13</f>
        <v>0.59989159322257712</v>
      </c>
      <c r="Q13">
        <f>(O13-M13*G13)/E13</f>
        <v>110.68678731657985</v>
      </c>
      <c r="S13">
        <f>(O13-M13*G13)/O13</f>
        <v>4.4105837324327213E-2</v>
      </c>
    </row>
    <row r="14" spans="1:19" x14ac:dyDescent="0.25">
      <c r="A14" t="s">
        <v>99</v>
      </c>
      <c r="B14">
        <v>0.39600000000000002</v>
      </c>
      <c r="C14">
        <v>1E-3</v>
      </c>
      <c r="D14" s="1">
        <v>5</v>
      </c>
      <c r="E14" s="1">
        <v>3.0800000000000001E-2</v>
      </c>
      <c r="F14" s="1">
        <v>1E-4</v>
      </c>
      <c r="G14" s="1">
        <v>100</v>
      </c>
      <c r="H14" s="1">
        <v>5</v>
      </c>
      <c r="I14" s="1">
        <f>'Count-&gt;Actual Activity'!F14</f>
        <v>15.706661357663355</v>
      </c>
      <c r="J14" s="1">
        <f>'Count-&gt;Actual Activity'!G14</f>
        <v>0.15745067498955981</v>
      </c>
      <c r="K14" s="1">
        <v>10</v>
      </c>
      <c r="L14" s="1">
        <v>0.02</v>
      </c>
      <c r="M14">
        <f>I14/K14</f>
        <v>1.5706661357663356</v>
      </c>
      <c r="N14">
        <f>SQRT((L14/K14)^2+(J14/I14)^2)*M14</f>
        <v>1.605537663796314E-2</v>
      </c>
      <c r="O14">
        <f>B14*Parameters!$B$6</f>
        <v>186.80747882616251</v>
      </c>
      <c r="P14">
        <f>SQRT((C14/B14)^2+(Parameters!$C$6/Parameters!$B$6)^2)*'Bottle Results'!O14</f>
        <v>1.041743875105815</v>
      </c>
      <c r="Q14">
        <f>(O14-M14*G14)/E14</f>
        <v>965.61250810158936</v>
      </c>
      <c r="S14">
        <f>(O14-M14*G14)/O14</f>
        <v>0.15920596667976508</v>
      </c>
    </row>
    <row r="15" spans="1:19" x14ac:dyDescent="0.25">
      <c r="A15" t="s">
        <v>100</v>
      </c>
      <c r="B15">
        <v>0.39600000000000002</v>
      </c>
      <c r="C15">
        <v>1E-3</v>
      </c>
      <c r="D15" s="1">
        <v>5.01</v>
      </c>
      <c r="E15" s="1">
        <v>3.0800000000000001E-2</v>
      </c>
      <c r="F15" s="1">
        <v>1E-4</v>
      </c>
      <c r="G15" s="1">
        <v>100</v>
      </c>
      <c r="H15" s="1">
        <v>5</v>
      </c>
      <c r="I15" s="1">
        <f>'Count-&gt;Actual Activity'!F15</f>
        <v>15.852482756821411</v>
      </c>
      <c r="J15" s="1">
        <f>'Count-&gt;Actual Activity'!G15</f>
        <v>0.15745067498955981</v>
      </c>
      <c r="K15" s="1">
        <v>10</v>
      </c>
      <c r="L15" s="1">
        <v>0.02</v>
      </c>
      <c r="M15">
        <f>I15/K15</f>
        <v>1.5852482756821411</v>
      </c>
      <c r="N15">
        <f>SQRT((L15/K15)^2+(J15/I15)^2)*M15</f>
        <v>1.6061108272124085E-2</v>
      </c>
      <c r="O15">
        <f>B15*Parameters!$B$6</f>
        <v>186.80747882616251</v>
      </c>
      <c r="P15">
        <f>SQRT((C15/B15)^2+(Parameters!$C$6/Parameters!$B$6)^2)*'Bottle Results'!O15</f>
        <v>1.041743875105815</v>
      </c>
      <c r="Q15">
        <f>(O15-M15*G15)/E15</f>
        <v>918.26789798533764</v>
      </c>
      <c r="S15">
        <f>(O15-M15*G15)/O15</f>
        <v>0.15139999445240304</v>
      </c>
    </row>
    <row r="16" spans="1:19" x14ac:dyDescent="0.25">
      <c r="A16" t="s">
        <v>101</v>
      </c>
      <c r="B16">
        <v>0.39600000000000002</v>
      </c>
      <c r="C16">
        <v>1E-3</v>
      </c>
      <c r="D16" s="1">
        <v>5.01</v>
      </c>
      <c r="E16" s="1">
        <v>3.04E-2</v>
      </c>
      <c r="F16" s="1">
        <v>1E-4</v>
      </c>
      <c r="G16" s="1">
        <v>100</v>
      </c>
      <c r="H16" s="1">
        <v>5</v>
      </c>
      <c r="I16" s="1">
        <f>'Count-&gt;Actual Activity'!F16</f>
        <v>17.875197492304245</v>
      </c>
      <c r="J16" s="1">
        <f>'Count-&gt;Actual Activity'!G16</f>
        <v>0.15745067498955981</v>
      </c>
      <c r="K16" s="1">
        <v>10</v>
      </c>
      <c r="L16" s="1">
        <v>0.02</v>
      </c>
      <c r="M16">
        <f>I16/K16</f>
        <v>1.7875197492304244</v>
      </c>
      <c r="N16">
        <f>SQRT((L16/K16)^2+(J16/I16)^2)*M16</f>
        <v>1.6145837171303166E-2</v>
      </c>
      <c r="O16">
        <f>B16*Parameters!$B$6</f>
        <v>186.80747882616251</v>
      </c>
      <c r="P16">
        <f>SQRT((C16/B16)^2+(Parameters!$C$6/Parameters!$B$6)^2)*'Bottle Results'!O16</f>
        <v>1.041743875105815</v>
      </c>
      <c r="Q16">
        <f>(O16-M16*G16)/E16</f>
        <v>264.98368102368647</v>
      </c>
      <c r="S16">
        <f>(O16-M16*G16)/O16</f>
        <v>4.3121956110848653E-2</v>
      </c>
    </row>
    <row r="17" spans="1:19" x14ac:dyDescent="0.25">
      <c r="A17" t="s">
        <v>102</v>
      </c>
      <c r="B17">
        <v>0.79200000000000004</v>
      </c>
      <c r="C17">
        <v>1E-3</v>
      </c>
      <c r="D17" s="1">
        <v>5.0199999999999996</v>
      </c>
      <c r="E17" s="1">
        <v>3.0499999999999999E-2</v>
      </c>
      <c r="F17" s="1">
        <v>1E-4</v>
      </c>
      <c r="G17" s="1">
        <v>100</v>
      </c>
      <c r="H17" s="1">
        <v>5</v>
      </c>
      <c r="I17" s="1">
        <f>'Count-&gt;Actual Activity'!F17</f>
        <v>32.897136446036022</v>
      </c>
      <c r="J17" s="1">
        <f>'Count-&gt;Actual Activity'!G17</f>
        <v>0.15745067498955981</v>
      </c>
      <c r="K17" s="1">
        <v>10</v>
      </c>
      <c r="L17" s="1">
        <v>0.02</v>
      </c>
      <c r="M17">
        <f>I17/K17</f>
        <v>3.2897136446036024</v>
      </c>
      <c r="N17">
        <f>SQRT((L17/K17)^2+(J17/I17)^2)*M17</f>
        <v>1.7064466414179039E-2</v>
      </c>
      <c r="O17">
        <f>B17*Parameters!$B$6</f>
        <v>373.61495765232502</v>
      </c>
      <c r="P17">
        <f>SQRT((C17/B17)^2+(Parameters!$C$6/Parameters!$B$6)^2)*'Bottle Results'!O17</f>
        <v>1.9165898051079078</v>
      </c>
      <c r="Q17">
        <f>(O17-M17*G17)/E17</f>
        <v>1463.724366949665</v>
      </c>
      <c r="S17">
        <f>(O17-M17*G17)/O17</f>
        <v>0.11949091511884485</v>
      </c>
    </row>
    <row r="18" spans="1:19" x14ac:dyDescent="0.25">
      <c r="A18" t="s">
        <v>103</v>
      </c>
      <c r="B18">
        <v>0.79200000000000004</v>
      </c>
      <c r="C18">
        <v>1E-3</v>
      </c>
      <c r="D18" s="1">
        <v>5</v>
      </c>
      <c r="E18" s="1">
        <v>2.9399999999999999E-2</v>
      </c>
      <c r="F18" s="1">
        <v>1E-4</v>
      </c>
      <c r="G18" s="1">
        <v>100</v>
      </c>
      <c r="H18" s="1">
        <v>5</v>
      </c>
      <c r="I18" s="1">
        <f>'Count-&gt;Actual Activity'!F18</f>
        <v>33.85240457836624</v>
      </c>
      <c r="J18" s="1">
        <f>'Count-&gt;Actual Activity'!G18</f>
        <v>0.15745067498955981</v>
      </c>
      <c r="K18" s="1">
        <v>10</v>
      </c>
      <c r="L18" s="1">
        <v>0.02</v>
      </c>
      <c r="M18">
        <f>I18/K18</f>
        <v>3.3852404578366242</v>
      </c>
      <c r="N18">
        <f>SQRT((L18/K18)^2+(J18/I18)^2)*M18</f>
        <v>1.7139036214915228E-2</v>
      </c>
      <c r="O18">
        <f>B18*Parameters!$B$6</f>
        <v>373.61495765232502</v>
      </c>
      <c r="P18">
        <f>SQRT((C18/B18)^2+(Parameters!$C$6/Parameters!$B$6)^2)*'Bottle Results'!O18</f>
        <v>1.9165898051079078</v>
      </c>
      <c r="Q18">
        <f>(O18-M18*G18)/E18</f>
        <v>1193.5684309068913</v>
      </c>
      <c r="S18">
        <f>(O18-M18*G18)/O18</f>
        <v>9.3922663292611439E-2</v>
      </c>
    </row>
    <row r="19" spans="1:19" x14ac:dyDescent="0.25">
      <c r="A19" t="s">
        <v>104</v>
      </c>
      <c r="B19">
        <v>0.79200000000000004</v>
      </c>
      <c r="C19">
        <v>1E-3</v>
      </c>
      <c r="D19" s="1">
        <v>5</v>
      </c>
      <c r="E19" s="1">
        <v>3.0200000000000001E-2</v>
      </c>
      <c r="F19" s="1">
        <v>1E-4</v>
      </c>
      <c r="G19" s="1">
        <v>100</v>
      </c>
      <c r="H19" s="1">
        <v>5</v>
      </c>
      <c r="I19" s="1">
        <f>'Count-&gt;Actual Activity'!F19</f>
        <v>34.095599437296926</v>
      </c>
      <c r="J19" s="1">
        <f>'Count-&gt;Actual Activity'!G19</f>
        <v>0.15745067498955981</v>
      </c>
      <c r="K19" s="1">
        <v>10</v>
      </c>
      <c r="L19" s="1">
        <v>0.02</v>
      </c>
      <c r="M19">
        <f>I19/K19</f>
        <v>3.4095599437296924</v>
      </c>
      <c r="N19">
        <f>SQRT((L19/K19)^2+(J19/I19)^2)*M19</f>
        <v>1.7158308383585601E-2</v>
      </c>
      <c r="O19">
        <f>B19*Parameters!$B$6</f>
        <v>373.61495765232502</v>
      </c>
      <c r="P19">
        <f>SQRT((C19/B19)^2+(Parameters!$C$6/Parameters!$B$6)^2)*'Bottle Results'!O19</f>
        <v>1.9165898051079078</v>
      </c>
      <c r="Q19">
        <f>(O19-M19*G19)/E19</f>
        <v>1081.4226251442303</v>
      </c>
      <c r="S19">
        <f>(O19-M19*G19)/O19</f>
        <v>8.7413425534604058E-2</v>
      </c>
    </row>
  </sheetData>
  <conditionalFormatting sqref="I2:I19">
    <cfRule type="cellIs" dxfId="0" priority="1" operator="lessThan">
      <formula>0.209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F9" sqref="F9"/>
    </sheetView>
  </sheetViews>
  <sheetFormatPr defaultRowHeight="15" x14ac:dyDescent="0.25"/>
  <sheetData>
    <row r="1" spans="1:12" x14ac:dyDescent="0.25">
      <c r="A1" t="s">
        <v>15</v>
      </c>
      <c r="B1" t="s">
        <v>30</v>
      </c>
      <c r="C1" t="s">
        <v>106</v>
      </c>
      <c r="D1" t="s">
        <v>32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124</v>
      </c>
      <c r="L1" t="s">
        <v>7</v>
      </c>
    </row>
    <row r="2" spans="1:12" x14ac:dyDescent="0.25">
      <c r="A2">
        <v>0</v>
      </c>
      <c r="B2">
        <f>AVERAGE('Bottle Results'!M2:M4)</f>
        <v>1.6787363107868516E-2</v>
      </c>
      <c r="C2">
        <f>_xlfn.STDEV.S('Bottle Results'!M2:M4)</f>
        <v>1.2520086860203297E-3</v>
      </c>
      <c r="D2">
        <f>AVERAGE('Bottle Results'!Q2:Q4)</f>
        <v>-55.889857912065516</v>
      </c>
      <c r="E2">
        <f>_xlfn.STDEV.S('Bottle Results'!Q2:Q4)</f>
        <v>4.9668330044612077</v>
      </c>
      <c r="F2">
        <f>AVERAGE('Bottle Results'!O2:O4)</f>
        <v>0</v>
      </c>
      <c r="G2" t="e">
        <f>AVERAGE('Bottle Results'!S2:S4)</f>
        <v>#DIV/0!</v>
      </c>
      <c r="H2" t="e">
        <f>_xlfn.STDEV.S('Bottle Results'!S2:S4)</f>
        <v>#DIV/0!</v>
      </c>
      <c r="I2">
        <f>AVERAGE('Bottle Results'!D2:D4)</f>
        <v>5.003333333333333</v>
      </c>
      <c r="J2">
        <f>_xlfn.STDEV.S('Bottle Results'!D2:D4)</f>
        <v>5.7735026918961348E-3</v>
      </c>
      <c r="K2">
        <f>COUNT('Bottle Results'!I2:I4)</f>
        <v>3</v>
      </c>
      <c r="L2" t="s">
        <v>125</v>
      </c>
    </row>
    <row r="3" spans="1:12" x14ac:dyDescent="0.25">
      <c r="A3">
        <v>10</v>
      </c>
      <c r="B3">
        <f>AVERAGE('Bottle Results'!M5:M7)</f>
        <v>8.113874984694136E-2</v>
      </c>
      <c r="C3">
        <f>_xlfn.STDEV.S('Bottle Results'!M5:M7)</f>
        <v>3.6940744787731881E-3</v>
      </c>
      <c r="D3">
        <f>AVERAGE('Bottle Results'!Q5:Q7)</f>
        <v>-22.109245076183274</v>
      </c>
      <c r="E3">
        <f>_xlfn.STDEV.S('Bottle Results'!Q5:Q7)</f>
        <v>12.211784691453987</v>
      </c>
      <c r="F3">
        <f>AVERAGE('Bottle Results'!O5:O7)</f>
        <v>7.4534297107408278</v>
      </c>
      <c r="G3">
        <f>AVERAGE('Bottle Results'!S5:S7)</f>
        <v>-8.8609579694777063E-2</v>
      </c>
      <c r="H3">
        <f>_xlfn.STDEV.S('Bottle Results'!S5:S7)</f>
        <v>4.9562075744134404E-2</v>
      </c>
      <c r="I3">
        <f>AVERAGE('Bottle Results'!D5:D7)</f>
        <v>5</v>
      </c>
      <c r="J3">
        <f>_xlfn.STDEV.S('Bottle Results'!D5:D7)</f>
        <v>0</v>
      </c>
      <c r="K3">
        <f>COUNT('Bottle Results'!I5:I7)</f>
        <v>3</v>
      </c>
    </row>
    <row r="4" spans="1:12" x14ac:dyDescent="0.25">
      <c r="A4">
        <v>50</v>
      </c>
      <c r="B4">
        <f>AVERAGE('Bottle Results'!M8:M10)</f>
        <v>0.33973294285168271</v>
      </c>
      <c r="C4">
        <f>_xlfn.STDEV.S('Bottle Results'!M8:M10)</f>
        <v>2.4573303696099655E-2</v>
      </c>
      <c r="D4">
        <f>AVERAGE('Bottle Results'!Q8:Q10)</f>
        <v>112.63682279107782</v>
      </c>
      <c r="E4">
        <f>_xlfn.STDEV.S('Bottle Results'!Q8:Q10)</f>
        <v>83.288604192228092</v>
      </c>
      <c r="F4">
        <f>AVERAGE('Bottle Results'!O8:O10)</f>
        <v>37.361495765232505</v>
      </c>
      <c r="G4">
        <f>AVERAGE('Bottle Results'!S8:S10)</f>
        <v>9.0686986981318662E-2</v>
      </c>
      <c r="H4">
        <f>_xlfn.STDEV.S('Bottle Results'!S8:S10)</f>
        <v>6.577173422207265E-2</v>
      </c>
      <c r="I4">
        <f>AVERAGE('Bottle Results'!D8:D10)</f>
        <v>5.01</v>
      </c>
      <c r="J4">
        <f>_xlfn.STDEV.S('Bottle Results'!D8:D10)</f>
        <v>9.9999999999997868E-3</v>
      </c>
      <c r="K4">
        <f>COUNT('Bottle Results'!I8:I10)</f>
        <v>3</v>
      </c>
    </row>
    <row r="5" spans="1:12" x14ac:dyDescent="0.25">
      <c r="A5">
        <v>100</v>
      </c>
      <c r="B5">
        <f>AVERAGE('Bottle Results'!M11:M13)</f>
        <v>0.72097170588822923</v>
      </c>
      <c r="C5">
        <f>_xlfn.STDEV.S('Bottle Results'!M11:M13)</f>
        <v>1.4097699913677588E-2</v>
      </c>
      <c r="D5">
        <f>AVERAGE('Bottle Results'!Q11:Q13)</f>
        <v>81.430385529346736</v>
      </c>
      <c r="E5">
        <f>_xlfn.STDEV.S('Bottle Results'!Q11:Q13)</f>
        <v>47.034780740212817</v>
      </c>
      <c r="F5">
        <f>AVERAGE('Bottle Results'!O11:O13)</f>
        <v>74.534297107408278</v>
      </c>
      <c r="G5">
        <f>AVERAGE('Bottle Results'!S11:S13)</f>
        <v>3.2698054629445326E-2</v>
      </c>
      <c r="H5">
        <f>_xlfn.STDEV.S('Bottle Results'!S11:S13)</f>
        <v>1.8914379635675639E-2</v>
      </c>
      <c r="I5">
        <f>AVERAGE('Bottle Results'!D11:D13)</f>
        <v>5</v>
      </c>
      <c r="J5">
        <f>_xlfn.STDEV.S('Bottle Results'!D11:D13)</f>
        <v>1.9999999999999574E-2</v>
      </c>
      <c r="K5">
        <f>COUNT('Bottle Results'!I11:I13)</f>
        <v>3</v>
      </c>
    </row>
    <row r="6" spans="1:12" x14ac:dyDescent="0.25">
      <c r="A6">
        <v>250</v>
      </c>
      <c r="B6">
        <f>AVERAGE('Bottle Results'!M14:M16)</f>
        <v>1.6478113868929671</v>
      </c>
      <c r="C6">
        <f>_xlfn.STDEV.S('Bottle Results'!M14:M16)</f>
        <v>0.12121047636814132</v>
      </c>
      <c r="D6">
        <f>AVERAGE('Bottle Results'!Q14:Q16)</f>
        <v>716.28802903687119</v>
      </c>
      <c r="E6">
        <f>_xlfn.STDEV.S('Bottle Results'!Q14:Q16)</f>
        <v>391.55726136603471</v>
      </c>
      <c r="F6">
        <f>AVERAGE('Bottle Results'!O14:O16)</f>
        <v>186.80747882616251</v>
      </c>
      <c r="G6">
        <f>AVERAGE('Bottle Results'!S14:S16)</f>
        <v>0.11790930574767226</v>
      </c>
      <c r="H6">
        <f>_xlfn.STDEV.S('Bottle Results'!S14:S16)</f>
        <v>6.4885237534272514E-2</v>
      </c>
      <c r="I6">
        <f>AVERAGE('Bottle Results'!D14:D16)</f>
        <v>5.0066666666666668</v>
      </c>
      <c r="J6">
        <f>_xlfn.STDEV.S('Bottle Results'!D14:D16)</f>
        <v>5.7735026918961348E-3</v>
      </c>
      <c r="K6">
        <f>COUNT('Bottle Results'!I14:I16)</f>
        <v>3</v>
      </c>
    </row>
    <row r="7" spans="1:12" x14ac:dyDescent="0.25">
      <c r="A7">
        <v>500</v>
      </c>
      <c r="B7">
        <f>AVERAGE('Bottle Results'!M17:M19)</f>
        <v>3.3615046820566392</v>
      </c>
      <c r="C7">
        <f>_xlfn.STDEV.S('Bottle Results'!M17:M19)</f>
        <v>6.3350802224307598E-2</v>
      </c>
      <c r="D7">
        <f>AVERAGE('Bottle Results'!Q17:Q19)</f>
        <v>1246.2384743335954</v>
      </c>
      <c r="E7">
        <f>_xlfn.STDEV.S('Bottle Results'!Q17:Q19)</f>
        <v>196.5178250256086</v>
      </c>
      <c r="F7">
        <f>AVERAGE('Bottle Results'!O17:O19)</f>
        <v>373.61495765232502</v>
      </c>
      <c r="G7">
        <f>AVERAGE('Bottle Results'!S17:S19)</f>
        <v>0.10027566798202013</v>
      </c>
      <c r="H7">
        <f>_xlfn.STDEV.S('Bottle Results'!S17:S19)</f>
        <v>1.6956173977183166E-2</v>
      </c>
      <c r="I7">
        <f>AVERAGE('Bottle Results'!D17:D19)</f>
        <v>5.0066666666666668</v>
      </c>
      <c r="J7">
        <f>_xlfn.STDEV.S('Bottle Results'!D17:D19)</f>
        <v>1.154700538379227E-2</v>
      </c>
      <c r="K7">
        <f>COUNT('Bottle Results'!I17:I19)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Scintillation Counter Results</vt:lpstr>
      <vt:lpstr>Calibration Data</vt:lpstr>
      <vt:lpstr>Count-&gt;Actual Activity</vt:lpstr>
      <vt:lpstr>Bottle Results</vt:lpstr>
      <vt:lpstr>Averaged Results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2015-08-25T20:19:30Z</dcterms:created>
  <dcterms:modified xsi:type="dcterms:W3CDTF">2017-07-06T22:06:23Z</dcterms:modified>
</cp:coreProperties>
</file>