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3\"/>
    </mc:Choice>
  </mc:AlternateContent>
  <bookViews>
    <workbookView xWindow="0" yWindow="0" windowWidth="7470" windowHeight="12285" firstSheet="3" activeTab="4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definedNames>
    <definedName name="_xlnm._FilterDatabase" localSheetId="1" hidden="1">'Scintillation Counter Results'!$A$1:$F$37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8" l="1"/>
  <c r="K7" i="8" l="1"/>
  <c r="K6" i="8"/>
  <c r="K5" i="8"/>
  <c r="K4" i="8"/>
  <c r="K2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H9" i="9"/>
  <c r="F9" i="9"/>
  <c r="G9" i="9" s="1"/>
  <c r="D9" i="9"/>
  <c r="J9" i="9" s="1"/>
  <c r="C9" i="9"/>
  <c r="E9" i="9" s="1"/>
  <c r="J8" i="9"/>
  <c r="H8" i="9"/>
  <c r="E8" i="9"/>
  <c r="D8" i="9"/>
  <c r="H7" i="9"/>
  <c r="F7" i="9"/>
  <c r="G5" i="9" s="1"/>
  <c r="E7" i="9"/>
  <c r="D7" i="9"/>
  <c r="J7" i="9" s="1"/>
  <c r="H6" i="9"/>
  <c r="E6" i="9"/>
  <c r="D6" i="9"/>
  <c r="J6" i="9" s="1"/>
  <c r="E5" i="9"/>
  <c r="D5" i="9"/>
  <c r="J5" i="9" s="1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K5" i="9" l="1"/>
  <c r="K9" i="9"/>
  <c r="I9" i="9"/>
  <c r="G4" i="9"/>
  <c r="K4" i="9" s="1"/>
  <c r="H5" i="9"/>
  <c r="I5" i="9" s="1"/>
  <c r="G3" i="9"/>
  <c r="K3" i="9" s="1"/>
  <c r="H4" i="9"/>
  <c r="H3" i="9"/>
  <c r="G8" i="9"/>
  <c r="I8" i="9" s="1"/>
  <c r="G6" i="9"/>
  <c r="I6" i="9" s="1"/>
  <c r="G7" i="9"/>
  <c r="K7" i="9" s="1"/>
  <c r="I7" i="9" l="1"/>
  <c r="K8" i="9"/>
  <c r="K6" i="9"/>
  <c r="K11" i="9" s="1"/>
  <c r="I3" i="9"/>
  <c r="I11" i="9" s="1"/>
  <c r="I4" i="9"/>
  <c r="J7" i="8"/>
  <c r="J6" i="8"/>
  <c r="J5" i="8"/>
  <c r="J4" i="8"/>
  <c r="J3" i="8"/>
  <c r="I7" i="8"/>
  <c r="I6" i="8"/>
  <c r="I5" i="8"/>
  <c r="I4" i="8"/>
  <c r="I3" i="8"/>
  <c r="J2" i="8"/>
  <c r="I2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Q10" i="5" l="1"/>
  <c r="S10" i="5"/>
  <c r="F4" i="8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J16" i="5"/>
  <c r="I8" i="5"/>
  <c r="M8" i="5" s="1"/>
  <c r="Q8" i="5" s="1"/>
  <c r="J8" i="5"/>
  <c r="J15" i="5"/>
  <c r="I15" i="5"/>
  <c r="M15" i="5" s="1"/>
  <c r="Q15" i="5" s="1"/>
  <c r="J7" i="5"/>
  <c r="I7" i="5"/>
  <c r="M7" i="5" s="1"/>
  <c r="I14" i="5"/>
  <c r="M14" i="5" s="1"/>
  <c r="Q14" i="5" s="1"/>
  <c r="J14" i="5"/>
  <c r="J6" i="5"/>
  <c r="I6" i="5"/>
  <c r="M6" i="5" s="1"/>
  <c r="Q6" i="5" s="1"/>
  <c r="J13" i="5"/>
  <c r="I13" i="5"/>
  <c r="M13" i="5" s="1"/>
  <c r="J5" i="5"/>
  <c r="I5" i="5"/>
  <c r="M5" i="5" s="1"/>
  <c r="I4" i="5"/>
  <c r="M4" i="5" s="1"/>
  <c r="Q4" i="5" s="1"/>
  <c r="J4" i="5"/>
  <c r="I17" i="5"/>
  <c r="M17" i="5" s="1"/>
  <c r="Q17" i="5" s="1"/>
  <c r="I12" i="5"/>
  <c r="M12" i="5" s="1"/>
  <c r="Q12" i="5" s="1"/>
  <c r="I11" i="5"/>
  <c r="M11" i="5" s="1"/>
  <c r="J2" i="5"/>
  <c r="N4" i="5" l="1"/>
  <c r="N14" i="5"/>
  <c r="N8" i="5"/>
  <c r="N16" i="5"/>
  <c r="S5" i="5"/>
  <c r="Q5" i="5"/>
  <c r="S13" i="5"/>
  <c r="Q13" i="5"/>
  <c r="S11" i="5"/>
  <c r="Q11" i="5"/>
  <c r="S16" i="5"/>
  <c r="Q16" i="5"/>
  <c r="S7" i="5"/>
  <c r="Q7" i="5"/>
  <c r="N18" i="5"/>
  <c r="N17" i="5"/>
  <c r="N13" i="5"/>
  <c r="N12" i="5"/>
  <c r="N15" i="5"/>
  <c r="N6" i="5"/>
  <c r="N19" i="5"/>
  <c r="N5" i="5"/>
  <c r="N7" i="5"/>
  <c r="N9" i="5"/>
  <c r="N11" i="5"/>
  <c r="N3" i="5"/>
  <c r="S4" i="5"/>
  <c r="S15" i="5"/>
  <c r="B7" i="8"/>
  <c r="C7" i="8"/>
  <c r="B4" i="8"/>
  <c r="C4" i="8"/>
  <c r="S12" i="5"/>
  <c r="G5" i="8" s="1"/>
  <c r="S3" i="5"/>
  <c r="S6" i="5"/>
  <c r="B6" i="8"/>
  <c r="C6" i="8"/>
  <c r="S8" i="5"/>
  <c r="C3" i="8"/>
  <c r="B3" i="8"/>
  <c r="S9" i="5"/>
  <c r="S19" i="5"/>
  <c r="S18" i="5"/>
  <c r="S17" i="5"/>
  <c r="S14" i="5"/>
  <c r="C5" i="8"/>
  <c r="B5" i="8"/>
  <c r="I2" i="5"/>
  <c r="M2" i="5" s="1"/>
  <c r="H3" i="8" l="1"/>
  <c r="G3" i="8"/>
  <c r="N2" i="5"/>
  <c r="Q2" i="5"/>
  <c r="H5" i="8"/>
  <c r="D3" i="8"/>
  <c r="G6" i="8"/>
  <c r="H6" i="8"/>
  <c r="G4" i="8"/>
  <c r="H4" i="8"/>
  <c r="G7" i="8"/>
  <c r="H7" i="8"/>
  <c r="E3" i="8"/>
  <c r="E7" i="8"/>
  <c r="D7" i="8"/>
  <c r="C2" i="8"/>
  <c r="B2" i="8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<sst xmlns="http://schemas.openxmlformats.org/spreadsheetml/2006/main" count="254" uniqueCount="127">
  <si>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</si>
  <si>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</si>
  <si>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</si>
  <si>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</si>
  <si>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</si>
  <si>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</si>
  <si>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</si>
  <si>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</si>
  <si>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</si>
  <si>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</si>
  <si>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</si>
  <si>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</si>
  <si>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</si>
  <si>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</si>
  <si>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</si>
  <si>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</si>
  <si>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</si>
  <si>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</si>
  <si>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</si>
  <si>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</si>
  <si>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</si>
  <si>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</si>
  <si>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</si>
  <si>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</si>
  <si>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</si>
  <si>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</si>
  <si>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</si>
  <si>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</si>
  <si>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</si>
  <si>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</si>
  <si>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</si>
  <si>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</si>
  <si>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</si>
  <si>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</si>
  <si>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</si>
  <si>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</si>
  <si>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</si>
  <si>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</si>
  <si>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</si>
  <si>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</si>
  <si>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</si>
  <si>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</si>
  <si>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</si>
  <si>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</si>
  <si>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</si>
  <si>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</si>
  <si>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</si>
  <si>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</si>
  <si>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</si>
  <si>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</si>
  <si>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</si>
  <si>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</si>
  <si>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</si>
  <si>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</si>
  <si>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</si>
  <si>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</si>
  <si>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</si>
  <si>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</si>
  <si>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</si>
  <si>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</si>
  <si>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</si>
  <si>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</si>
  <si>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</si>
  <si>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</si>
  <si>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</si>
  <si>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</si>
  <si>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</si>
  <si>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</si>
  <si>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</si>
  <si>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</si>
  <si>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</si>
  <si>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</si>
  <si>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</si>
  <si>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</si>
  <si>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</si>
  <si>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</si>
  <si>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</si>
  <si>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</si>
  <si>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</si>
  <si>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</si>
  <si>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</si>
  <si>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</si>
  <si>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</si>
  <si>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</si>
  <si>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</si>
  <si>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</si>
  <si>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</si>
  <si>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</si>
  <si>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</si>
  <si>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</si>
  <si>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</si>
  <si>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</si>
  <si>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</si>
  <si>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</si>
  <si>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</si>
  <si>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</si>
  <si>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</si>
  <si>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</si>
  <si>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</si>
  <si>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</si>
  <si>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</si>
  <si>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</si>
  <si>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</si>
  <si>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</si>
  <si>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</si>
  <si>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</si>
  <si>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</si>
  <si>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</si>
  <si>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</si>
  <si>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</si>
  <si>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</si>
  <si>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</si>
  <si>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</si>
  <si>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Comments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</si>
  <si>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</si>
  <si>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</si>
  <si>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</si>
  <si>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</si>
  <si>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</si>
  <si>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</si>
  <si>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</si>
  <si>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</si>
  <si>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</si>
  <si>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</si>
  <si>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</si>
  <si>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</si>
  <si>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Counts below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</si>
</sst>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58944"/>
        <c:axId val="226857768"/>
      </c:scatterChart>
      <c:valAx>
        <c:axId val="2268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7768"/>
        <c:crosses val="autoZero"/>
        <c:crossBetween val="midCat"/>
      </c:valAx>
      <c:valAx>
        <c:axId val="226857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60120"/>
        <c:axId val="226858552"/>
      </c:scatterChart>
      <c:valAx>
        <c:axId val="22686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8552"/>
        <c:crosses val="autoZero"/>
        <c:crossBetween val="midCat"/>
      </c:valAx>
      <c:valAx>
        <c:axId val="22685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60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14" sqref="C14:C1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42459.724305555559</v>
      </c>
      <c r="B2" t="s">
        <v>87</v>
      </c>
      <c r="C2">
        <v>75.400000000000006</v>
      </c>
      <c r="D2">
        <v>7.28</v>
      </c>
      <c r="E2">
        <v>0.11</v>
      </c>
      <c r="F2">
        <v>181.09</v>
      </c>
    </row>
    <row r="3" spans="1:6" x14ac:dyDescent="0.25">
      <c r="A3" s="15">
        <v>42460.505555555559</v>
      </c>
      <c r="B3" t="s">
        <v>87</v>
      </c>
      <c r="C3">
        <v>76</v>
      </c>
      <c r="D3">
        <v>7.25</v>
      </c>
      <c r="E3">
        <v>0.11</v>
      </c>
      <c r="F3">
        <v>181.09</v>
      </c>
    </row>
    <row r="4" spans="1:6" x14ac:dyDescent="0.25">
      <c r="A4" s="15">
        <v>42459.724305555559</v>
      </c>
      <c r="B4" t="s">
        <v>88</v>
      </c>
      <c r="C4">
        <v>91.1</v>
      </c>
      <c r="D4">
        <v>6.63</v>
      </c>
      <c r="E4">
        <v>25.26</v>
      </c>
      <c r="F4">
        <v>191.98</v>
      </c>
    </row>
    <row r="5" spans="1:6" x14ac:dyDescent="0.25">
      <c r="A5" s="15">
        <v>42460.505555555559</v>
      </c>
      <c r="B5" t="s">
        <v>88</v>
      </c>
      <c r="C5">
        <v>90.9</v>
      </c>
      <c r="D5">
        <v>6.63</v>
      </c>
      <c r="E5">
        <v>17.29</v>
      </c>
      <c r="F5">
        <v>191.93</v>
      </c>
    </row>
    <row r="6" spans="1:6" x14ac:dyDescent="0.25">
      <c r="A6" s="15">
        <v>42459.724305555559</v>
      </c>
      <c r="B6" t="s">
        <v>89</v>
      </c>
      <c r="C6">
        <v>64.599999999999994</v>
      </c>
      <c r="D6">
        <v>7.87</v>
      </c>
      <c r="E6">
        <v>0.14000000000000001</v>
      </c>
      <c r="F6">
        <v>202.6</v>
      </c>
    </row>
    <row r="7" spans="1:6" x14ac:dyDescent="0.25">
      <c r="A7" s="15">
        <v>42460.505555555559</v>
      </c>
      <c r="B7" t="s">
        <v>89</v>
      </c>
      <c r="C7">
        <v>67.099999999999994</v>
      </c>
      <c r="D7">
        <v>7.72</v>
      </c>
      <c r="E7">
        <v>0.13</v>
      </c>
      <c r="F7">
        <v>202.55</v>
      </c>
    </row>
    <row r="8" spans="1:6" x14ac:dyDescent="0.25">
      <c r="A8" s="15">
        <v>42459.724305555559</v>
      </c>
      <c r="B8" t="s">
        <v>96</v>
      </c>
      <c r="C8">
        <v>492.7</v>
      </c>
      <c r="D8">
        <v>2.85</v>
      </c>
      <c r="E8">
        <v>0.02</v>
      </c>
      <c r="F8">
        <v>277.13</v>
      </c>
    </row>
    <row r="9" spans="1:6" x14ac:dyDescent="0.25">
      <c r="A9" s="15">
        <v>42460.505555555559</v>
      </c>
      <c r="B9" t="s">
        <v>96</v>
      </c>
      <c r="C9">
        <v>484.9</v>
      </c>
      <c r="D9">
        <v>2.87</v>
      </c>
      <c r="E9">
        <v>0.02</v>
      </c>
      <c r="F9">
        <v>277.08</v>
      </c>
    </row>
    <row r="10" spans="1:6" x14ac:dyDescent="0.25">
      <c r="A10" s="15">
        <v>42459.724305555559</v>
      </c>
      <c r="B10" t="s">
        <v>97</v>
      </c>
      <c r="C10">
        <v>507.9</v>
      </c>
      <c r="D10">
        <v>2.81</v>
      </c>
      <c r="E10">
        <v>0.01</v>
      </c>
      <c r="F10">
        <v>287.76</v>
      </c>
    </row>
    <row r="11" spans="1:6" x14ac:dyDescent="0.25">
      <c r="A11" s="15">
        <v>42460.505555555559</v>
      </c>
      <c r="B11" t="s">
        <v>97</v>
      </c>
      <c r="C11">
        <v>513.4</v>
      </c>
      <c r="D11">
        <v>2.79</v>
      </c>
      <c r="E11">
        <v>0.02</v>
      </c>
      <c r="F11">
        <v>287.70999999999998</v>
      </c>
    </row>
    <row r="12" spans="1:6" x14ac:dyDescent="0.25">
      <c r="A12" s="15">
        <v>42459.724305555559</v>
      </c>
      <c r="B12" t="s">
        <v>98</v>
      </c>
      <c r="C12">
        <v>469.8</v>
      </c>
      <c r="D12">
        <v>2.92</v>
      </c>
      <c r="E12">
        <v>0.01</v>
      </c>
      <c r="F12">
        <v>298.39</v>
      </c>
    </row>
    <row r="13" spans="1:6" x14ac:dyDescent="0.25">
      <c r="A13" s="15">
        <v>42460.505555555559</v>
      </c>
      <c r="B13" t="s">
        <v>98</v>
      </c>
      <c r="C13">
        <v>454.5</v>
      </c>
      <c r="D13">
        <v>2.97</v>
      </c>
      <c r="E13">
        <v>0.02</v>
      </c>
      <c r="F13">
        <v>298.33999999999997</v>
      </c>
    </row>
    <row r="14" spans="1:6" x14ac:dyDescent="0.25">
      <c r="A14" s="15">
        <v>42459.724305555559</v>
      </c>
      <c r="B14" t="s">
        <v>90</v>
      </c>
      <c r="C14">
        <v>104.4</v>
      </c>
      <c r="D14">
        <v>6.19</v>
      </c>
      <c r="E14">
        <v>0.1</v>
      </c>
      <c r="F14">
        <v>213.24</v>
      </c>
    </row>
    <row r="15" spans="1:6" x14ac:dyDescent="0.25">
      <c r="A15" s="15">
        <v>42460.505555555559</v>
      </c>
      <c r="B15" t="s">
        <v>90</v>
      </c>
      <c r="C15">
        <v>100.6</v>
      </c>
      <c r="D15">
        <v>6.31</v>
      </c>
      <c r="E15">
        <v>0.09</v>
      </c>
      <c r="F15">
        <v>213.19</v>
      </c>
    </row>
    <row r="16" spans="1:6" x14ac:dyDescent="0.25">
      <c r="A16" s="15">
        <v>42459.724305555559</v>
      </c>
      <c r="B16" t="s">
        <v>91</v>
      </c>
      <c r="C16">
        <v>103.9</v>
      </c>
      <c r="D16">
        <v>6.2</v>
      </c>
      <c r="E16">
        <v>0.09</v>
      </c>
      <c r="F16">
        <v>223.87</v>
      </c>
    </row>
    <row r="17" spans="1:6" x14ac:dyDescent="0.25">
      <c r="A17" s="15">
        <v>42460.505555555559</v>
      </c>
      <c r="B17" t="s">
        <v>91</v>
      </c>
      <c r="C17">
        <v>102.5</v>
      </c>
      <c r="D17">
        <v>6.25</v>
      </c>
      <c r="E17">
        <v>0.1</v>
      </c>
      <c r="F17">
        <v>223.81</v>
      </c>
    </row>
    <row r="18" spans="1:6" x14ac:dyDescent="0.25">
      <c r="A18" s="15">
        <v>42459.724305555559</v>
      </c>
      <c r="B18" t="s">
        <v>92</v>
      </c>
      <c r="C18">
        <v>109.7</v>
      </c>
      <c r="D18">
        <v>6.04</v>
      </c>
      <c r="E18">
        <v>7.0000000000000007E-2</v>
      </c>
      <c r="F18">
        <v>234.51</v>
      </c>
    </row>
    <row r="19" spans="1:6" x14ac:dyDescent="0.25">
      <c r="A19" s="15">
        <v>42460.505555555559</v>
      </c>
      <c r="B19" t="s">
        <v>92</v>
      </c>
      <c r="C19">
        <v>102.7</v>
      </c>
      <c r="D19">
        <v>6.24</v>
      </c>
      <c r="E19">
        <v>0.09</v>
      </c>
      <c r="F19">
        <v>234.44</v>
      </c>
    </row>
    <row r="20" spans="1:6" x14ac:dyDescent="0.25">
      <c r="A20" s="15">
        <v>42459.724305555559</v>
      </c>
      <c r="B20" t="s">
        <v>99</v>
      </c>
      <c r="C20">
        <v>1112.8</v>
      </c>
      <c r="D20">
        <v>1.9</v>
      </c>
      <c r="E20">
        <v>0.01</v>
      </c>
      <c r="F20">
        <v>309.02</v>
      </c>
    </row>
    <row r="21" spans="1:6" x14ac:dyDescent="0.25">
      <c r="A21" s="15">
        <v>42460.505555555559</v>
      </c>
      <c r="B21" t="s">
        <v>99</v>
      </c>
      <c r="C21">
        <v>1124.3</v>
      </c>
      <c r="D21">
        <v>1.89</v>
      </c>
      <c r="E21">
        <v>0.01</v>
      </c>
      <c r="F21">
        <v>308.95999999999998</v>
      </c>
    </row>
    <row r="22" spans="1:6" x14ac:dyDescent="0.25">
      <c r="A22" s="15">
        <v>42459.724305555559</v>
      </c>
      <c r="B22" t="s">
        <v>100</v>
      </c>
      <c r="C22">
        <v>1090.9000000000001</v>
      </c>
      <c r="D22">
        <v>1.91</v>
      </c>
      <c r="E22">
        <v>0.01</v>
      </c>
      <c r="F22">
        <v>319.66000000000003</v>
      </c>
    </row>
    <row r="23" spans="1:6" x14ac:dyDescent="0.25">
      <c r="A23" s="15">
        <v>42460.505555555559</v>
      </c>
      <c r="B23" t="s">
        <v>100</v>
      </c>
      <c r="C23">
        <v>1063.9000000000001</v>
      </c>
      <c r="D23">
        <v>1.94</v>
      </c>
      <c r="E23">
        <v>0.01</v>
      </c>
      <c r="F23">
        <v>319.61</v>
      </c>
    </row>
    <row r="24" spans="1:6" x14ac:dyDescent="0.25">
      <c r="A24" s="15">
        <v>42459.724305555559</v>
      </c>
      <c r="B24" t="s">
        <v>101</v>
      </c>
      <c r="C24">
        <v>1203.8</v>
      </c>
      <c r="D24">
        <v>1.82</v>
      </c>
      <c r="E24">
        <v>0.01</v>
      </c>
      <c r="F24">
        <v>330.29</v>
      </c>
    </row>
    <row r="25" spans="1:6" x14ac:dyDescent="0.25">
      <c r="A25" s="15">
        <v>42460.505555555559</v>
      </c>
      <c r="B25" t="s">
        <v>101</v>
      </c>
      <c r="C25">
        <v>1192</v>
      </c>
      <c r="D25">
        <v>1.83</v>
      </c>
      <c r="E25">
        <v>0.01</v>
      </c>
      <c r="F25">
        <v>330.22</v>
      </c>
    </row>
    <row r="26" spans="1:6" x14ac:dyDescent="0.25">
      <c r="A26" s="15">
        <v>42459.724305555559</v>
      </c>
      <c r="B26" t="s">
        <v>102</v>
      </c>
      <c r="C26">
        <v>2420.1</v>
      </c>
      <c r="D26">
        <v>1.29</v>
      </c>
      <c r="E26">
        <v>0</v>
      </c>
      <c r="F26">
        <v>340.93</v>
      </c>
    </row>
    <row r="27" spans="1:6" x14ac:dyDescent="0.25">
      <c r="A27" s="15">
        <v>42460.505555555559</v>
      </c>
      <c r="B27" t="s">
        <v>102</v>
      </c>
      <c r="C27">
        <v>2368.9</v>
      </c>
      <c r="D27">
        <v>1.3</v>
      </c>
      <c r="E27">
        <v>0</v>
      </c>
      <c r="F27">
        <v>340.86</v>
      </c>
    </row>
    <row r="28" spans="1:6" x14ac:dyDescent="0.25">
      <c r="A28" s="15">
        <v>42459.724305555559</v>
      </c>
      <c r="B28" t="s">
        <v>103</v>
      </c>
      <c r="C28">
        <v>2166.8000000000002</v>
      </c>
      <c r="D28">
        <v>1.36</v>
      </c>
      <c r="E28">
        <v>0</v>
      </c>
      <c r="F28">
        <v>351.55</v>
      </c>
    </row>
    <row r="29" spans="1:6" x14ac:dyDescent="0.25">
      <c r="A29" s="15">
        <v>42460.505555555559</v>
      </c>
      <c r="B29" t="s">
        <v>103</v>
      </c>
      <c r="C29">
        <v>2170</v>
      </c>
      <c r="D29">
        <v>1.36</v>
      </c>
      <c r="E29">
        <v>0</v>
      </c>
      <c r="F29">
        <v>351.5</v>
      </c>
    </row>
    <row r="30" spans="1:6" x14ac:dyDescent="0.25">
      <c r="A30" s="15">
        <v>42459.724305555559</v>
      </c>
      <c r="B30" t="s">
        <v>104</v>
      </c>
      <c r="C30">
        <v>2342.6</v>
      </c>
      <c r="D30">
        <v>1.31</v>
      </c>
      <c r="E30">
        <v>0</v>
      </c>
      <c r="F30">
        <v>362.2</v>
      </c>
    </row>
    <row r="31" spans="1:6" x14ac:dyDescent="0.25">
      <c r="A31" s="15">
        <v>42460.505555555559</v>
      </c>
      <c r="B31" t="s">
        <v>104</v>
      </c>
      <c r="C31">
        <v>2336.8000000000002</v>
      </c>
      <c r="D31">
        <v>1.31</v>
      </c>
      <c r="E31">
        <v>0</v>
      </c>
      <c r="F31">
        <v>362.15</v>
      </c>
    </row>
    <row r="32" spans="1:6" x14ac:dyDescent="0.25">
      <c r="A32" s="15">
        <v>42459.724305555559</v>
      </c>
      <c r="B32" t="s">
        <v>93</v>
      </c>
      <c r="C32">
        <v>265.8</v>
      </c>
      <c r="D32">
        <v>3.88</v>
      </c>
      <c r="E32">
        <v>0.04</v>
      </c>
      <c r="F32">
        <v>245.14</v>
      </c>
    </row>
    <row r="33" spans="1:6" x14ac:dyDescent="0.25">
      <c r="A33" s="15">
        <v>42460.505555555559</v>
      </c>
      <c r="B33" t="s">
        <v>93</v>
      </c>
      <c r="C33">
        <v>265</v>
      </c>
      <c r="D33">
        <v>3.89</v>
      </c>
      <c r="E33">
        <v>0.04</v>
      </c>
      <c r="F33">
        <v>245.08</v>
      </c>
    </row>
    <row r="34" spans="1:6" x14ac:dyDescent="0.25">
      <c r="A34" s="15">
        <v>42459.724305555559</v>
      </c>
      <c r="B34" t="s">
        <v>94</v>
      </c>
      <c r="C34">
        <v>230.2</v>
      </c>
      <c r="D34">
        <v>4.17</v>
      </c>
      <c r="E34">
        <v>0.04</v>
      </c>
      <c r="F34">
        <v>255.77</v>
      </c>
    </row>
    <row r="35" spans="1:6" x14ac:dyDescent="0.25">
      <c r="A35" s="15">
        <v>42460.505555555559</v>
      </c>
      <c r="B35" t="s">
        <v>94</v>
      </c>
      <c r="C35">
        <v>241.3</v>
      </c>
      <c r="D35">
        <v>4.07</v>
      </c>
      <c r="E35">
        <v>0.03</v>
      </c>
      <c r="F35">
        <v>255.7</v>
      </c>
    </row>
    <row r="36" spans="1:6" x14ac:dyDescent="0.25">
      <c r="A36" s="15">
        <v>42459.724305555559</v>
      </c>
      <c r="B36" t="s">
        <v>95</v>
      </c>
      <c r="C36">
        <v>273.5</v>
      </c>
      <c r="D36">
        <v>3.82</v>
      </c>
      <c r="E36">
        <v>0.02</v>
      </c>
      <c r="F36">
        <v>266.5</v>
      </c>
    </row>
    <row r="37" spans="1:6" x14ac:dyDescent="0.25">
      <c r="A37" s="15">
        <v>42460.505555555559</v>
      </c>
      <c r="B37" t="s">
        <v>95</v>
      </c>
      <c r="C37">
        <v>274.5</v>
      </c>
      <c r="D37">
        <v>3.82</v>
      </c>
      <c r="E37">
        <v>0.03</v>
      </c>
      <c r="F37">
        <v>266.44</v>
      </c>
    </row>
  </sheetData>
  <autoFilter ref="A1:F37">
    <sortState ref="A2:F37">
      <sortCondition ref="B1:B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20" sqref="D20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116</v>
      </c>
      <c r="G1" s="2" t="s">
        <v>117</v>
      </c>
      <c r="H1" s="2" t="s">
        <v>118</v>
      </c>
      <c r="I1" s="23" t="s">
        <v>119</v>
      </c>
      <c r="J1" s="23" t="s">
        <v>120</v>
      </c>
      <c r="K1" s="2" t="s">
        <v>119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114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115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121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122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123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124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G18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85</v>
      </c>
      <c r="C1" t="s">
        <v>24</v>
      </c>
      <c r="D1" t="s">
        <v>21</v>
      </c>
      <c r="E1" t="s">
        <v>82</v>
      </c>
      <c r="F1" t="s">
        <v>83</v>
      </c>
      <c r="G1" t="s">
        <v>84</v>
      </c>
    </row>
    <row r="2" spans="1:7" x14ac:dyDescent="0.25">
      <c r="A2" t="s">
        <v>87</v>
      </c>
      <c r="B2" s="13" t="s">
        <v>86</v>
      </c>
      <c r="C2">
        <v>1.26166666666667</v>
      </c>
      <c r="D2">
        <v>9.1660083333333295E-2</v>
      </c>
      <c r="E2" s="1" t="s">
        <v>46</v>
      </c>
      <c r="F2" s="1">
        <f>C2*'Calibration Data'!$B$31+'Calibration Data'!$B$30</f>
        <v>0.16124056161188921</v>
      </c>
      <c r="G2" s="14">
        <f>'Calibration Data'!$B$20</f>
        <v>0.15745067498955981</v>
      </c>
    </row>
    <row r="3" spans="1:7" x14ac:dyDescent="0.25">
      <c r="A3" t="s">
        <v>88</v>
      </c>
      <c r="B3" s="13" t="s">
        <v>86</v>
      </c>
      <c r="C3">
        <v>1.5166666666666699</v>
      </c>
      <c r="D3">
        <v>0.10055500000000001</v>
      </c>
      <c r="E3" s="1" t="s">
        <v>46</v>
      </c>
      <c r="F3" s="1">
        <f>C3*'Calibration Data'!$B$31+'Calibration Data'!$B$30</f>
        <v>0.20183494674868374</v>
      </c>
      <c r="G3" s="14">
        <f>'Calibration Data'!$B$20</f>
        <v>0.15745067498955981</v>
      </c>
    </row>
    <row r="4" spans="1:7" x14ac:dyDescent="0.25">
      <c r="A4" t="s">
        <v>89</v>
      </c>
      <c r="B4" s="13" t="s">
        <v>86</v>
      </c>
      <c r="C4">
        <v>1.0974999999999999</v>
      </c>
      <c r="D4">
        <v>8.5550125000000005E-2</v>
      </c>
      <c r="E4" s="1" t="s">
        <v>46</v>
      </c>
      <c r="F4" s="1">
        <f>C4*'Calibration Data'!$B$31+'Calibration Data'!$B$30</f>
        <v>0.13510626791271049</v>
      </c>
      <c r="G4" s="14">
        <f>'Calibration Data'!$B$20</f>
        <v>0.15745067498955981</v>
      </c>
    </row>
    <row r="5" spans="1:7" x14ac:dyDescent="0.25">
      <c r="A5" t="s">
        <v>90</v>
      </c>
      <c r="B5" s="13" t="s">
        <v>86</v>
      </c>
      <c r="C5">
        <v>1.7083333333333299</v>
      </c>
      <c r="D5">
        <v>0.106770833333333</v>
      </c>
      <c r="E5" s="1" t="s">
        <v>46</v>
      </c>
      <c r="F5" s="1">
        <f>C5*'Calibration Data'!$B$31+'Calibration Data'!$B$30</f>
        <v>0.23234706629594654</v>
      </c>
      <c r="G5" s="14">
        <f>'Calibration Data'!$B$20</f>
        <v>0.15745067498955981</v>
      </c>
    </row>
    <row r="6" spans="1:7" x14ac:dyDescent="0.25">
      <c r="A6" t="s">
        <v>91</v>
      </c>
      <c r="B6" s="13" t="s">
        <v>86</v>
      </c>
      <c r="C6">
        <v>1.72</v>
      </c>
      <c r="D6">
        <v>0.10707</v>
      </c>
      <c r="E6" s="1" t="s">
        <v>46</v>
      </c>
      <c r="F6" s="1">
        <f>C6*'Calibration Data'!$B$31+'Calibration Data'!$B$30</f>
        <v>0.23420432574665007</v>
      </c>
      <c r="G6" s="14">
        <f>'Calibration Data'!$B$20</f>
        <v>0.15745067498955981</v>
      </c>
    </row>
    <row r="7" spans="1:7" x14ac:dyDescent="0.25">
      <c r="A7" t="s">
        <v>92</v>
      </c>
      <c r="B7" s="13" t="s">
        <v>86</v>
      </c>
      <c r="C7">
        <v>1.77</v>
      </c>
      <c r="D7">
        <v>0.108678</v>
      </c>
      <c r="E7" s="1" t="s">
        <v>46</v>
      </c>
      <c r="F7" s="1">
        <f>C7*'Calibration Data'!$B$31+'Calibration Data'!$B$30</f>
        <v>0.24216400910680591</v>
      </c>
      <c r="G7" s="14">
        <f>'Calibration Data'!$B$20</f>
        <v>0.15745067498955981</v>
      </c>
    </row>
    <row r="8" spans="1:7" ht="15.75" customHeight="1" x14ac:dyDescent="0.25">
      <c r="A8" t="s">
        <v>93</v>
      </c>
      <c r="B8" s="13" t="s">
        <v>86</v>
      </c>
      <c r="C8">
        <v>4.4233333333333302</v>
      </c>
      <c r="D8">
        <v>0.17184650000000001</v>
      </c>
      <c r="E8" s="1" t="s">
        <v>46</v>
      </c>
      <c r="F8" s="1">
        <f>C8*'Calibration Data'!$B$31+'Calibration Data'!$B$30</f>
        <v>0.66455787275240596</v>
      </c>
      <c r="G8" s="14">
        <f>'Calibration Data'!$B$20</f>
        <v>0.15745067498955981</v>
      </c>
    </row>
    <row r="9" spans="1:7" x14ac:dyDescent="0.25">
      <c r="A9" t="s">
        <v>94</v>
      </c>
      <c r="B9" s="13" t="s">
        <v>86</v>
      </c>
      <c r="C9">
        <v>3.9291666666666698</v>
      </c>
      <c r="D9">
        <v>0.16188166666666701</v>
      </c>
      <c r="E9" s="1" t="s">
        <v>46</v>
      </c>
      <c r="F9" s="1">
        <f>C9*'Calibration Data'!$B$31+'Calibration Data'!$B$30</f>
        <v>0.58588966887620064</v>
      </c>
      <c r="G9" s="14">
        <f>'Calibration Data'!$B$20</f>
        <v>0.15745067498955981</v>
      </c>
    </row>
    <row r="10" spans="1:7" x14ac:dyDescent="0.25">
      <c r="A10" t="s">
        <v>95</v>
      </c>
      <c r="B10" s="13" t="s">
        <v>86</v>
      </c>
      <c r="C10">
        <v>4.56666666666667</v>
      </c>
      <c r="D10">
        <v>0.174446666666667</v>
      </c>
      <c r="E10" s="1" t="s">
        <v>46</v>
      </c>
      <c r="F10" s="1">
        <f>C10*'Calibration Data'!$B$31+'Calibration Data'!$B$30</f>
        <v>0.68737563171818694</v>
      </c>
      <c r="G10" s="14">
        <f>'Calibration Data'!$B$20</f>
        <v>0.15745067498955981</v>
      </c>
    </row>
    <row r="11" spans="1:7" x14ac:dyDescent="0.25">
      <c r="A11" t="s">
        <v>96</v>
      </c>
      <c r="B11" s="13" t="s">
        <v>86</v>
      </c>
      <c r="C11">
        <v>8.1466666666666701</v>
      </c>
      <c r="D11">
        <v>0.23299466666666699</v>
      </c>
      <c r="E11" s="1" t="s">
        <v>46</v>
      </c>
      <c r="F11" s="1">
        <f>C11*'Calibration Data'!$B$31+'Calibration Data'!$B$30</f>
        <v>1.2572889603053417</v>
      </c>
      <c r="G11" s="14">
        <f>'Calibration Data'!$B$20</f>
        <v>0.15745067498955981</v>
      </c>
    </row>
    <row r="12" spans="1:7" x14ac:dyDescent="0.25">
      <c r="A12" t="s">
        <v>97</v>
      </c>
      <c r="B12" s="13" t="s">
        <v>86</v>
      </c>
      <c r="C12">
        <v>8.5108333333333306</v>
      </c>
      <c r="D12">
        <v>0.23830333333333301</v>
      </c>
      <c r="E12" s="1" t="s">
        <v>46</v>
      </c>
      <c r="F12" s="1">
        <f>C12*'Calibration Data'!$B$31+'Calibration Data'!$B$30</f>
        <v>1.3152619874451419</v>
      </c>
      <c r="G12" s="14">
        <f>'Calibration Data'!$B$20</f>
        <v>0.15745067498955981</v>
      </c>
    </row>
    <row r="13" spans="1:7" x14ac:dyDescent="0.25">
      <c r="A13" t="s">
        <v>98</v>
      </c>
      <c r="B13" s="13" t="s">
        <v>86</v>
      </c>
      <c r="C13">
        <v>7.7024999999999997</v>
      </c>
      <c r="D13">
        <v>0.22683862499999999</v>
      </c>
      <c r="E13" s="1" t="s">
        <v>46</v>
      </c>
      <c r="F13" s="1">
        <f>C13*'Calibration Data'!$B$31+'Calibration Data'!$B$30</f>
        <v>1.1865804397892903</v>
      </c>
      <c r="G13" s="14">
        <f>'Calibration Data'!$B$20</f>
        <v>0.15745067498955981</v>
      </c>
    </row>
    <row r="14" spans="1:7" x14ac:dyDescent="0.25">
      <c r="A14" t="s">
        <v>99</v>
      </c>
      <c r="B14" s="13" t="s">
        <v>86</v>
      </c>
      <c r="C14">
        <v>18.642499999999998</v>
      </c>
      <c r="D14">
        <v>0.353275375</v>
      </c>
      <c r="E14" s="1" t="s">
        <v>46</v>
      </c>
      <c r="F14" s="1">
        <f>C14*'Calibration Data'!$B$31+'Calibration Data'!$B$30</f>
        <v>2.9281591589913774</v>
      </c>
      <c r="G14" s="14">
        <f>'Calibration Data'!$B$20</f>
        <v>0.15745067498955981</v>
      </c>
    </row>
    <row r="15" spans="1:7" x14ac:dyDescent="0.25">
      <c r="A15" t="s">
        <v>100</v>
      </c>
      <c r="B15" s="13" t="s">
        <v>86</v>
      </c>
      <c r="C15">
        <v>17.956666666666699</v>
      </c>
      <c r="D15">
        <v>0.34566583333333301</v>
      </c>
      <c r="E15" s="1" t="s">
        <v>46</v>
      </c>
      <c r="F15" s="1">
        <f>C15*'Calibration Data'!$B$31+'Calibration Data'!$B$30</f>
        <v>2.8189788355679122</v>
      </c>
      <c r="G15" s="14">
        <f>'Calibration Data'!$B$20</f>
        <v>0.15745067498955981</v>
      </c>
    </row>
    <row r="16" spans="1:7" x14ac:dyDescent="0.25">
      <c r="A16" t="s">
        <v>101</v>
      </c>
      <c r="B16" s="13" t="s">
        <v>86</v>
      </c>
      <c r="C16">
        <v>19.965</v>
      </c>
      <c r="D16">
        <v>0.36436125000000003</v>
      </c>
      <c r="E16" s="1" t="s">
        <v>46</v>
      </c>
      <c r="F16" s="1">
        <f>C16*'Calibration Data'!$B$31+'Calibration Data'!$B$30</f>
        <v>3.1386927838674983</v>
      </c>
      <c r="G16" s="14">
        <f>'Calibration Data'!$B$20</f>
        <v>0.15745067498955981</v>
      </c>
    </row>
    <row r="17" spans="1:7" x14ac:dyDescent="0.25">
      <c r="A17" t="s">
        <v>102</v>
      </c>
      <c r="B17" s="13" t="s">
        <v>86</v>
      </c>
      <c r="C17">
        <v>39.908333333333303</v>
      </c>
      <c r="D17">
        <v>0.51681291666666695</v>
      </c>
      <c r="E17" s="1" t="s">
        <v>46</v>
      </c>
      <c r="F17" s="1">
        <f>C17*'Calibration Data'!$B$31+'Calibration Data'!$B$30</f>
        <v>6.3135451534549665</v>
      </c>
      <c r="G17" s="14">
        <f>'Calibration Data'!$B$20</f>
        <v>0.15745067498955981</v>
      </c>
    </row>
    <row r="18" spans="1:7" x14ac:dyDescent="0.25">
      <c r="A18" t="s">
        <v>103</v>
      </c>
      <c r="B18" s="13" t="s">
        <v>86</v>
      </c>
      <c r="C18">
        <v>36.14</v>
      </c>
      <c r="D18">
        <v>0.491504</v>
      </c>
      <c r="E18" s="1" t="s">
        <v>46</v>
      </c>
      <c r="F18" s="1">
        <f>C18*'Calibration Data'!$B$31+'Calibration Data'!$B$30</f>
        <v>5.7136503508778969</v>
      </c>
      <c r="G18" s="14">
        <f>'Calibration Data'!$B$20</f>
        <v>0.15745067498955981</v>
      </c>
    </row>
    <row r="19" spans="1:7" x14ac:dyDescent="0.25">
      <c r="A19" t="s">
        <v>104</v>
      </c>
      <c r="B19" s="13" t="s">
        <v>86</v>
      </c>
      <c r="C19">
        <v>38.994999999999997</v>
      </c>
      <c r="D19">
        <v>0.51083449999999997</v>
      </c>
      <c r="E19" s="1" t="s">
        <v>46</v>
      </c>
      <c r="F19" s="1">
        <f>C19*'Calibration Data'!$B$31+'Calibration Data'!$B$30</f>
        <v>6.1681482707427913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20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109</v>
      </c>
      <c r="T1" t="s">
        <v>113</v>
      </c>
    </row>
    <row r="2" spans="1:20" x14ac:dyDescent="0.25">
      <c r="A2" t="s">
        <v>87</v>
      </c>
      <c r="B2">
        <v>0</v>
      </c>
      <c r="C2">
        <v>0</v>
      </c>
      <c r="D2" s="1">
        <v>3</v>
      </c>
      <c r="E2" s="1">
        <v>0.03</v>
      </c>
      <c r="F2" s="1">
        <v>1E-3</v>
      </c>
      <c r="G2" s="1">
        <v>100</v>
      </c>
      <c r="H2" s="1">
        <v>5</v>
      </c>
      <c r="I2" s="1">
        <f>'Count-&gt;Actual Activity'!F2</f>
        <v>0.16124056161188921</v>
      </c>
      <c r="J2" s="1">
        <f>'Count-&gt;Actual Activity'!G2</f>
        <v>0.15745067498955981</v>
      </c>
      <c r="K2" s="1">
        <v>10</v>
      </c>
      <c r="L2" s="1">
        <v>0.01</v>
      </c>
      <c r="M2">
        <f t="shared" ref="M2:M19" si="0">I2/K2</f>
        <v>1.6124056161188921E-2</v>
      </c>
      <c r="N2">
        <f t="shared" ref="N2:N19" si="1">SQRT((L2/K2)^2+(J2/I2)^2)*M2</f>
        <v>1.5745075755037415E-2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-53.746853870629742</v>
      </c>
      <c r="S2" t="e">
        <f t="shared" ref="S2:S19" si="3">(O2-M2*G2)/O2</f>
        <v>#DIV/0!</v>
      </c>
    </row>
    <row r="3" spans="1:20" x14ac:dyDescent="0.25">
      <c r="A3" t="s">
        <v>88</v>
      </c>
      <c r="B3">
        <v>0</v>
      </c>
      <c r="C3">
        <v>0</v>
      </c>
      <c r="D3" s="1">
        <v>3</v>
      </c>
      <c r="E3" s="1">
        <v>3.09E-2</v>
      </c>
      <c r="F3" s="1">
        <v>1E-4</v>
      </c>
      <c r="G3" s="1">
        <v>100</v>
      </c>
      <c r="H3" s="1">
        <v>5</v>
      </c>
      <c r="I3" s="1">
        <f>'Count-&gt;Actual Activity'!F3</f>
        <v>0.20183494674868374</v>
      </c>
      <c r="J3" s="1">
        <f>'Count-&gt;Actual Activity'!G3</f>
        <v>0.15745067498955981</v>
      </c>
      <c r="K3" s="1">
        <v>10</v>
      </c>
      <c r="L3" s="1">
        <v>0.01</v>
      </c>
      <c r="M3">
        <f t="shared" si="0"/>
        <v>2.0183494674868373E-2</v>
      </c>
      <c r="N3">
        <f t="shared" si="1"/>
        <v>1.5745080435492772E-2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-65.31875299310154</v>
      </c>
      <c r="S3" t="e">
        <f t="shared" si="3"/>
        <v>#DIV/0!</v>
      </c>
    </row>
    <row r="4" spans="1:20" x14ac:dyDescent="0.25">
      <c r="A4" t="s">
        <v>89</v>
      </c>
      <c r="B4">
        <v>0</v>
      </c>
      <c r="C4">
        <v>0</v>
      </c>
      <c r="D4" s="1">
        <v>3</v>
      </c>
      <c r="E4" s="1">
        <v>2.9700000000000001E-2</v>
      </c>
      <c r="F4" s="1">
        <v>1E-4</v>
      </c>
      <c r="G4" s="1">
        <v>100</v>
      </c>
      <c r="H4" s="1">
        <v>5</v>
      </c>
      <c r="I4" s="1">
        <f>'Count-&gt;Actual Activity'!F4</f>
        <v>0.13510626791271049</v>
      </c>
      <c r="J4" s="1">
        <f>'Count-&gt;Actual Activity'!G4</f>
        <v>0.15745067498955981</v>
      </c>
      <c r="K4" s="1">
        <v>5</v>
      </c>
      <c r="L4" s="1">
        <v>0.01</v>
      </c>
      <c r="M4">
        <f t="shared" si="0"/>
        <v>2.70212535825421E-2</v>
      </c>
      <c r="N4">
        <f t="shared" si="1"/>
        <v>3.1490181371013101E-2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-90.980651793071047</v>
      </c>
      <c r="S4" t="e">
        <f t="shared" si="3"/>
        <v>#DIV/0!</v>
      </c>
    </row>
    <row r="5" spans="1:20" x14ac:dyDescent="0.25">
      <c r="A5" t="s">
        <v>90</v>
      </c>
      <c r="B5">
        <v>1.5800000000000002E-2</v>
      </c>
      <c r="C5">
        <v>1E-4</v>
      </c>
      <c r="D5" s="1">
        <v>3</v>
      </c>
      <c r="E5" s="1">
        <v>3.0599999999999999E-2</v>
      </c>
      <c r="F5" s="1">
        <v>1E-4</v>
      </c>
      <c r="G5" s="1">
        <v>100</v>
      </c>
      <c r="H5" s="1">
        <v>5</v>
      </c>
      <c r="I5" s="1">
        <f>'Count-&gt;Actual Activity'!F5</f>
        <v>0.23234706629594654</v>
      </c>
      <c r="J5" s="1">
        <f>'Count-&gt;Actual Activity'!G5</f>
        <v>0.15745067498955981</v>
      </c>
      <c r="K5" s="1">
        <v>5</v>
      </c>
      <c r="L5" s="1">
        <v>0.01</v>
      </c>
      <c r="M5">
        <f t="shared" si="0"/>
        <v>4.646941325918931E-2</v>
      </c>
      <c r="N5">
        <f t="shared" si="1"/>
        <v>3.1490272145730885E-2</v>
      </c>
      <c r="O5">
        <f>B5*Parameters!$B$6</f>
        <v>7.4534297107408278</v>
      </c>
      <c r="P5">
        <f>SQRT((C5/B5)^2+(Parameters!$C$6/Parameters!$B$6)^2)*'Bottle Results'!O5</f>
        <v>5.9989159322257707E-2</v>
      </c>
      <c r="Q5">
        <f t="shared" si="2"/>
        <v>91.715306693526045</v>
      </c>
      <c r="S5">
        <f t="shared" si="3"/>
        <v>0.37653650651291221</v>
      </c>
    </row>
    <row r="6" spans="1:20" x14ac:dyDescent="0.25">
      <c r="A6" t="s">
        <v>91</v>
      </c>
      <c r="B6">
        <v>1.5800000000000002E-2</v>
      </c>
      <c r="C6">
        <v>1E-4</v>
      </c>
      <c r="D6" s="1">
        <v>3</v>
      </c>
      <c r="E6" s="1">
        <v>2.98E-2</v>
      </c>
      <c r="F6" s="1">
        <v>1E-4</v>
      </c>
      <c r="G6" s="1">
        <v>100</v>
      </c>
      <c r="H6" s="1">
        <v>5</v>
      </c>
      <c r="I6" s="1">
        <f>'Count-&gt;Actual Activity'!F6</f>
        <v>0.23420432574665007</v>
      </c>
      <c r="J6" s="1">
        <f>'Count-&gt;Actual Activity'!G6</f>
        <v>0.15745067498955981</v>
      </c>
      <c r="K6" s="1">
        <v>5</v>
      </c>
      <c r="L6" s="1">
        <v>0.01</v>
      </c>
      <c r="M6">
        <f t="shared" si="0"/>
        <v>4.6840865149330016E-2</v>
      </c>
      <c r="N6">
        <f t="shared" si="1"/>
        <v>3.149027434706328E-2</v>
      </c>
      <c r="O6">
        <f>B6*Parameters!$B$6</f>
        <v>7.4534297107408278</v>
      </c>
      <c r="P6">
        <f>SQRT((C6/B6)^2+(Parameters!$C$6/Parameters!$B$6)^2)*'Bottle Results'!O6</f>
        <v>5.9989159322257707E-2</v>
      </c>
      <c r="Q6">
        <f t="shared" si="2"/>
        <v>92.930979725094829</v>
      </c>
      <c r="S6">
        <f t="shared" si="3"/>
        <v>0.37155286938804033</v>
      </c>
    </row>
    <row r="7" spans="1:20" x14ac:dyDescent="0.25">
      <c r="A7" t="s">
        <v>92</v>
      </c>
      <c r="B7">
        <v>1.5800000000000002E-2</v>
      </c>
      <c r="C7">
        <v>1E-4</v>
      </c>
      <c r="D7" s="1">
        <v>3</v>
      </c>
      <c r="E7" s="1">
        <v>3.0599999999999999E-2</v>
      </c>
      <c r="F7" s="1">
        <v>1E-4</v>
      </c>
      <c r="G7" s="1">
        <v>100</v>
      </c>
      <c r="H7" s="1">
        <v>5</v>
      </c>
      <c r="I7" s="1">
        <f>'Count-&gt;Actual Activity'!F7</f>
        <v>0.24216400910680591</v>
      </c>
      <c r="J7" s="1">
        <f>'Count-&gt;Actual Activity'!G7</f>
        <v>0.15745067498955981</v>
      </c>
      <c r="K7" s="1">
        <v>5</v>
      </c>
      <c r="L7" s="1">
        <v>0.01</v>
      </c>
      <c r="M7">
        <f t="shared" si="0"/>
        <v>4.8432801821361185E-2</v>
      </c>
      <c r="N7">
        <f t="shared" si="1"/>
        <v>3.1490283979854629E-2</v>
      </c>
      <c r="O7">
        <f>B7*Parameters!$B$6</f>
        <v>7.4534297107408278</v>
      </c>
      <c r="P7">
        <f>SQRT((C7/B7)^2+(Parameters!$C$6/Parameters!$B$6)^2)*'Bottle Results'!O7</f>
        <v>5.9989159322257707E-2</v>
      </c>
      <c r="Q7">
        <f t="shared" si="2"/>
        <v>85.299004202768273</v>
      </c>
      <c r="S7">
        <f t="shared" si="3"/>
        <v>0.35019442456716687</v>
      </c>
    </row>
    <row r="8" spans="1:20" ht="15.75" customHeight="1" x14ac:dyDescent="0.25">
      <c r="A8" t="s">
        <v>93</v>
      </c>
      <c r="B8">
        <v>7.9200000000000007E-2</v>
      </c>
      <c r="C8">
        <v>1E-4</v>
      </c>
      <c r="D8" s="1">
        <v>3.01</v>
      </c>
      <c r="E8" s="1">
        <v>2.98E-2</v>
      </c>
      <c r="F8" s="1">
        <v>1E-4</v>
      </c>
      <c r="G8" s="1">
        <v>100</v>
      </c>
      <c r="H8" s="1">
        <v>5</v>
      </c>
      <c r="I8" s="1">
        <f>'Count-&gt;Actual Activity'!F8</f>
        <v>0.66455787275240596</v>
      </c>
      <c r="J8" s="1">
        <f>'Count-&gt;Actual Activity'!G8</f>
        <v>0.15745067498955981</v>
      </c>
      <c r="K8" s="1">
        <v>5</v>
      </c>
      <c r="L8" s="1">
        <v>0.01</v>
      </c>
      <c r="M8">
        <f t="shared" si="0"/>
        <v>0.13291157455048119</v>
      </c>
      <c r="N8">
        <f t="shared" si="1"/>
        <v>3.1491256947497631E-2</v>
      </c>
      <c r="O8">
        <f>B8*Parameters!$B$6</f>
        <v>37.361495765232505</v>
      </c>
      <c r="P8">
        <f>SQRT((C8/B8)^2+(Parameters!$C$6/Parameters!$B$6)^2)*'Bottle Results'!O8</f>
        <v>0.19165898051079078</v>
      </c>
      <c r="Q8">
        <f t="shared" si="2"/>
        <v>807.72947349612036</v>
      </c>
      <c r="S8">
        <f t="shared" si="3"/>
        <v>0.64425521026873678</v>
      </c>
    </row>
    <row r="9" spans="1:20" x14ac:dyDescent="0.25">
      <c r="A9" t="s">
        <v>94</v>
      </c>
      <c r="B9">
        <v>7.9200000000000007E-2</v>
      </c>
      <c r="C9">
        <v>1E-4</v>
      </c>
      <c r="D9" s="1">
        <v>3</v>
      </c>
      <c r="E9" s="1">
        <v>3.0099999999999998E-2</v>
      </c>
      <c r="F9" s="1">
        <v>1E-4</v>
      </c>
      <c r="G9" s="1">
        <v>100</v>
      </c>
      <c r="H9" s="1">
        <v>5</v>
      </c>
      <c r="I9" s="1">
        <f>'Count-&gt;Actual Activity'!F9</f>
        <v>0.58588966887620064</v>
      </c>
      <c r="J9" s="1">
        <f>'Count-&gt;Actual Activity'!G9</f>
        <v>0.15745067498955981</v>
      </c>
      <c r="K9" s="1">
        <v>5</v>
      </c>
      <c r="L9" s="1">
        <v>0.01</v>
      </c>
      <c r="M9">
        <f t="shared" si="0"/>
        <v>0.11717793377524013</v>
      </c>
      <c r="N9">
        <f t="shared" si="1"/>
        <v>3.1491007047399662E-2</v>
      </c>
      <c r="O9">
        <f>B9*Parameters!$B$6</f>
        <v>37.361495765232505</v>
      </c>
      <c r="P9">
        <f>SQRT((C9/B9)^2+(Parameters!$C$6/Parameters!$B$6)^2)*'Bottle Results'!O9</f>
        <v>0.19165898051079078</v>
      </c>
      <c r="Q9">
        <f t="shared" si="2"/>
        <v>851.95024543882028</v>
      </c>
      <c r="S9">
        <f t="shared" si="3"/>
        <v>0.68636712375878051</v>
      </c>
    </row>
    <row r="10" spans="1:20" x14ac:dyDescent="0.25">
      <c r="A10" t="s">
        <v>95</v>
      </c>
      <c r="B10">
        <v>7.9200000000000007E-2</v>
      </c>
      <c r="C10">
        <v>1E-4</v>
      </c>
      <c r="D10" s="1">
        <v>3</v>
      </c>
      <c r="E10" s="1">
        <v>3.0099999999999998E-2</v>
      </c>
      <c r="F10" s="1">
        <v>1E-4</v>
      </c>
      <c r="G10" s="1">
        <v>100</v>
      </c>
      <c r="H10" s="1">
        <v>5</v>
      </c>
      <c r="I10" s="1">
        <f>'Count-&gt;Actual Activity'!F10</f>
        <v>0.68737563171818694</v>
      </c>
      <c r="J10" s="1">
        <f>'Count-&gt;Actual Activity'!G10</f>
        <v>0.15745067498955981</v>
      </c>
      <c r="K10" s="1">
        <v>5</v>
      </c>
      <c r="L10" s="1">
        <v>0.01</v>
      </c>
      <c r="M10">
        <f t="shared" si="0"/>
        <v>0.1374751263436374</v>
      </c>
      <c r="N10">
        <f t="shared" si="1"/>
        <v>3.1491335313513981E-2</v>
      </c>
      <c r="O10">
        <f>B10*Parameters!$B$6</f>
        <v>37.361495765232505</v>
      </c>
      <c r="P10">
        <f>SQRT((C10/B10)^2+(Parameters!$C$6/Parameters!$B$6)^2)*'Bottle Results'!O10</f>
        <v>0.19165898051079078</v>
      </c>
      <c r="Q10">
        <f t="shared" si="2"/>
        <v>784.51771198899553</v>
      </c>
      <c r="S10">
        <f t="shared" si="3"/>
        <v>0.63204062490568791</v>
      </c>
    </row>
    <row r="11" spans="1:20" x14ac:dyDescent="0.25">
      <c r="A11" t="s">
        <v>96</v>
      </c>
      <c r="B11">
        <v>0.158</v>
      </c>
      <c r="C11">
        <v>1E-3</v>
      </c>
      <c r="D11" s="1">
        <v>3</v>
      </c>
      <c r="E11" s="1">
        <v>2.98E-2</v>
      </c>
      <c r="F11" s="1">
        <v>1E-4</v>
      </c>
      <c r="G11" s="1">
        <v>100</v>
      </c>
      <c r="H11" s="1">
        <v>5</v>
      </c>
      <c r="I11" s="1">
        <f>'Count-&gt;Actual Activity'!F11</f>
        <v>1.2572889603053417</v>
      </c>
      <c r="J11" s="1">
        <f>'Count-&gt;Actual Activity'!G11</f>
        <v>0.15745067498955981</v>
      </c>
      <c r="K11" s="1">
        <v>5</v>
      </c>
      <c r="L11" s="1">
        <v>0.01</v>
      </c>
      <c r="M11">
        <f t="shared" si="0"/>
        <v>0.25145779206106833</v>
      </c>
      <c r="N11">
        <f t="shared" si="1"/>
        <v>3.1494150667567979E-2</v>
      </c>
      <c r="O11">
        <f>B11*Parameters!$B$6</f>
        <v>74.534297107408278</v>
      </c>
      <c r="P11">
        <f>SQRT((C11/B11)^2+(Parameters!$C$6/Parameters!$B$6)^2)*'Bottle Results'!O11</f>
        <v>0.59989159322257712</v>
      </c>
      <c r="Q11">
        <f t="shared" si="2"/>
        <v>1657.3328154799142</v>
      </c>
      <c r="S11">
        <f t="shared" si="3"/>
        <v>0.66262807617451203</v>
      </c>
    </row>
    <row r="12" spans="1:20" x14ac:dyDescent="0.25">
      <c r="A12" t="s">
        <v>97</v>
      </c>
      <c r="B12">
        <v>0.158</v>
      </c>
      <c r="C12">
        <v>1E-3</v>
      </c>
      <c r="D12" s="1">
        <v>3</v>
      </c>
      <c r="E12" s="1">
        <v>0.03</v>
      </c>
      <c r="F12" s="1">
        <v>1E-3</v>
      </c>
      <c r="G12" s="1">
        <v>100</v>
      </c>
      <c r="H12" s="1">
        <v>5</v>
      </c>
      <c r="I12" s="1">
        <f>'Count-&gt;Actual Activity'!F12</f>
        <v>1.3152619874451419</v>
      </c>
      <c r="J12" s="1">
        <f>'Count-&gt;Actual Activity'!G12</f>
        <v>0.15745067498955981</v>
      </c>
      <c r="K12" s="1">
        <v>5</v>
      </c>
      <c r="L12" s="1">
        <v>0.01</v>
      </c>
      <c r="M12">
        <f t="shared" si="0"/>
        <v>0.26305239748902837</v>
      </c>
      <c r="N12">
        <f t="shared" si="1"/>
        <v>3.1494529500248433E-2</v>
      </c>
      <c r="O12">
        <f>B12*Parameters!$B$6</f>
        <v>74.534297107408278</v>
      </c>
      <c r="P12">
        <f>SQRT((C12/B12)^2+(Parameters!$C$6/Parameters!$B$6)^2)*'Bottle Results'!O12</f>
        <v>0.59989159322257712</v>
      </c>
      <c r="Q12">
        <f t="shared" si="2"/>
        <v>1607.6352452835149</v>
      </c>
      <c r="S12">
        <f t="shared" si="3"/>
        <v>0.64707200886330962</v>
      </c>
    </row>
    <row r="13" spans="1:20" x14ac:dyDescent="0.25">
      <c r="A13" t="s">
        <v>98</v>
      </c>
      <c r="B13">
        <v>0.158</v>
      </c>
      <c r="C13">
        <v>1E-3</v>
      </c>
      <c r="D13" s="1">
        <v>2.99</v>
      </c>
      <c r="E13" s="1">
        <v>2.9600000000000001E-2</v>
      </c>
      <c r="F13" s="1">
        <v>1E-4</v>
      </c>
      <c r="G13" s="1">
        <v>100</v>
      </c>
      <c r="H13" s="1">
        <v>5</v>
      </c>
      <c r="I13" s="1">
        <f>'Count-&gt;Actual Activity'!F13</f>
        <v>1.1865804397892903</v>
      </c>
      <c r="J13" s="1">
        <f>'Count-&gt;Actual Activity'!G13</f>
        <v>0.15745067498955981</v>
      </c>
      <c r="K13" s="1">
        <v>5</v>
      </c>
      <c r="L13" s="1">
        <v>0.01</v>
      </c>
      <c r="M13">
        <f t="shared" si="0"/>
        <v>0.23731608795785805</v>
      </c>
      <c r="N13">
        <f t="shared" si="1"/>
        <v>3.1493711719788355E-2</v>
      </c>
      <c r="O13">
        <f>B13*Parameters!$B$6</f>
        <v>74.534297107408278</v>
      </c>
      <c r="P13">
        <f>SQRT((C13/B13)^2+(Parameters!$C$6/Parameters!$B$6)^2)*'Bottle Results'!O13</f>
        <v>0.59989159322257712</v>
      </c>
      <c r="Q13">
        <f t="shared" si="2"/>
        <v>1716.3070375548132</v>
      </c>
      <c r="S13">
        <f t="shared" si="3"/>
        <v>0.68160149465705477</v>
      </c>
    </row>
    <row r="14" spans="1:20" x14ac:dyDescent="0.25">
      <c r="A14" t="s">
        <v>99</v>
      </c>
      <c r="B14">
        <v>0.39600000000000002</v>
      </c>
      <c r="C14">
        <v>1E-3</v>
      </c>
      <c r="D14" s="1">
        <v>2.99</v>
      </c>
      <c r="E14" s="1">
        <v>3.0300000000000001E-2</v>
      </c>
      <c r="F14" s="1">
        <v>1E-4</v>
      </c>
      <c r="G14" s="1">
        <v>100</v>
      </c>
      <c r="H14" s="1">
        <v>5</v>
      </c>
      <c r="I14" s="1">
        <f>'Count-&gt;Actual Activity'!F14</f>
        <v>2.9281591589913774</v>
      </c>
      <c r="J14" s="1">
        <f>'Count-&gt;Actual Activity'!G14</f>
        <v>0.15745067498955981</v>
      </c>
      <c r="K14" s="1">
        <v>5</v>
      </c>
      <c r="L14" s="1">
        <v>0.01</v>
      </c>
      <c r="M14">
        <f t="shared" si="0"/>
        <v>0.58563183179827549</v>
      </c>
      <c r="N14">
        <f t="shared" si="1"/>
        <v>3.151190982400752E-2</v>
      </c>
      <c r="O14">
        <f>B14*Parameters!$B$6</f>
        <v>186.80747882616251</v>
      </c>
      <c r="P14">
        <f>SQRT((C14/B14)^2+(Parameters!$C$6/Parameters!$B$6)^2)*'Bottle Results'!O14</f>
        <v>1.041743875105815</v>
      </c>
      <c r="Q14">
        <f t="shared" si="2"/>
        <v>4232.4850048295366</v>
      </c>
      <c r="S14">
        <f t="shared" si="3"/>
        <v>0.68650514664712803</v>
      </c>
    </row>
    <row r="15" spans="1:20" x14ac:dyDescent="0.25">
      <c r="A15" t="s">
        <v>100</v>
      </c>
      <c r="B15">
        <v>0.39600000000000002</v>
      </c>
      <c r="C15">
        <v>1E-3</v>
      </c>
      <c r="D15" s="1">
        <v>3</v>
      </c>
      <c r="E15" s="1">
        <v>3.1099999999999999E-2</v>
      </c>
      <c r="F15" s="1">
        <v>1E-4</v>
      </c>
      <c r="G15" s="1">
        <v>100</v>
      </c>
      <c r="H15" s="1">
        <v>5</v>
      </c>
      <c r="I15" s="1">
        <f>'Count-&gt;Actual Activity'!F15</f>
        <v>2.8189788355679122</v>
      </c>
      <c r="J15" s="1">
        <f>'Count-&gt;Actual Activity'!G15</f>
        <v>0.15745067498955981</v>
      </c>
      <c r="K15" s="1">
        <v>5</v>
      </c>
      <c r="L15" s="1">
        <v>0.01</v>
      </c>
      <c r="M15">
        <f t="shared" si="0"/>
        <v>0.56379576711358248</v>
      </c>
      <c r="N15">
        <f t="shared" si="1"/>
        <v>3.1510316800292267E-2</v>
      </c>
      <c r="O15">
        <f>B15*Parameters!$B$6</f>
        <v>186.80747882616251</v>
      </c>
      <c r="P15">
        <f>SQRT((C15/B15)^2+(Parameters!$C$6/Parameters!$B$6)^2)*'Bottle Results'!O15</f>
        <v>1.041743875105815</v>
      </c>
      <c r="Q15">
        <f t="shared" si="2"/>
        <v>4193.8232191255393</v>
      </c>
      <c r="S15">
        <f t="shared" si="3"/>
        <v>0.69819422077943993</v>
      </c>
    </row>
    <row r="16" spans="1:20" x14ac:dyDescent="0.25">
      <c r="A16" t="s">
        <v>101</v>
      </c>
      <c r="B16">
        <v>0.39600000000000002</v>
      </c>
      <c r="C16">
        <v>1E-3</v>
      </c>
      <c r="D16" s="1">
        <v>3</v>
      </c>
      <c r="E16" s="1">
        <v>2.93E-2</v>
      </c>
      <c r="F16" s="1">
        <v>1E-4</v>
      </c>
      <c r="G16" s="1">
        <v>100</v>
      </c>
      <c r="H16" s="1">
        <v>5</v>
      </c>
      <c r="I16" s="1">
        <f>'Count-&gt;Actual Activity'!F16</f>
        <v>3.1386927838674983</v>
      </c>
      <c r="J16" s="1">
        <f>'Count-&gt;Actual Activity'!G16</f>
        <v>0.15745067498955981</v>
      </c>
      <c r="K16" s="1">
        <v>5</v>
      </c>
      <c r="L16" s="1">
        <v>0.01</v>
      </c>
      <c r="M16">
        <f t="shared" si="0"/>
        <v>0.62773855677349966</v>
      </c>
      <c r="N16">
        <f t="shared" si="1"/>
        <v>3.1515152307570404E-2</v>
      </c>
      <c r="O16">
        <f>B16*Parameters!$B$6</f>
        <v>186.80747882616251</v>
      </c>
      <c r="P16">
        <f>SQRT((C16/B16)^2+(Parameters!$C$6/Parameters!$B$6)^2)*'Bottle Results'!O16</f>
        <v>1.041743875105815</v>
      </c>
      <c r="Q16">
        <f t="shared" si="2"/>
        <v>4233.2294590038418</v>
      </c>
      <c r="S16">
        <f t="shared" si="3"/>
        <v>0.66396497575043323</v>
      </c>
    </row>
    <row r="17" spans="1:19" x14ac:dyDescent="0.25">
      <c r="A17" t="s">
        <v>102</v>
      </c>
      <c r="B17">
        <v>0.79200000000000004</v>
      </c>
      <c r="C17">
        <v>1E-3</v>
      </c>
      <c r="D17" s="1">
        <v>3</v>
      </c>
      <c r="E17" s="1">
        <v>2.9700000000000001E-2</v>
      </c>
      <c r="F17" s="1">
        <v>1E-4</v>
      </c>
      <c r="G17" s="1">
        <v>100</v>
      </c>
      <c r="H17" s="1">
        <v>5</v>
      </c>
      <c r="I17" s="1">
        <f>'Count-&gt;Actual Activity'!F17</f>
        <v>6.3135451534549665</v>
      </c>
      <c r="J17" s="1">
        <f>'Count-&gt;Actual Activity'!G17</f>
        <v>0.15745067498955981</v>
      </c>
      <c r="K17" s="1">
        <v>5</v>
      </c>
      <c r="L17" s="1">
        <v>0.01</v>
      </c>
      <c r="M17">
        <f t="shared" si="0"/>
        <v>1.2627090306909934</v>
      </c>
      <c r="N17">
        <f t="shared" si="1"/>
        <v>3.1591238319690386E-2</v>
      </c>
      <c r="O17">
        <f>B17*Parameters!$B$6</f>
        <v>373.61495765232502</v>
      </c>
      <c r="P17">
        <f>SQRT((C17/B17)^2+(Parameters!$C$6/Parameters!$B$6)^2)*'Bottle Results'!O17</f>
        <v>1.9165898051079078</v>
      </c>
      <c r="Q17">
        <f t="shared" si="2"/>
        <v>8328.0826458998545</v>
      </c>
      <c r="S17">
        <f t="shared" si="3"/>
        <v>0.66202931525401265</v>
      </c>
    </row>
    <row r="18" spans="1:19" x14ac:dyDescent="0.25">
      <c r="A18" t="s">
        <v>103</v>
      </c>
      <c r="B18">
        <v>0.79200000000000004</v>
      </c>
      <c r="C18">
        <v>1E-3</v>
      </c>
      <c r="D18" s="1">
        <v>2.99</v>
      </c>
      <c r="E18" s="1">
        <v>3.0300000000000001E-2</v>
      </c>
      <c r="F18" s="1">
        <v>1E-4</v>
      </c>
      <c r="G18" s="1">
        <v>100</v>
      </c>
      <c r="H18" s="1">
        <v>5</v>
      </c>
      <c r="I18" s="1">
        <f>'Count-&gt;Actual Activity'!F18</f>
        <v>5.7136503508778969</v>
      </c>
      <c r="J18" s="1">
        <f>'Count-&gt;Actual Activity'!G18</f>
        <v>0.15745067498955981</v>
      </c>
      <c r="K18" s="1">
        <v>5</v>
      </c>
      <c r="L18" s="1">
        <v>0.01</v>
      </c>
      <c r="M18">
        <f t="shared" si="0"/>
        <v>1.1427300701755794</v>
      </c>
      <c r="N18">
        <f t="shared" si="1"/>
        <v>3.1572962012453847E-2</v>
      </c>
      <c r="O18">
        <f>B18*Parameters!$B$6</f>
        <v>373.61495765232502</v>
      </c>
      <c r="P18">
        <f>SQRT((C18/B18)^2+(Parameters!$C$6/Parameters!$B$6)^2)*'Bottle Results'!O18</f>
        <v>1.9165898051079078</v>
      </c>
      <c r="Q18">
        <f t="shared" si="2"/>
        <v>8559.1402849758106</v>
      </c>
      <c r="S18">
        <f t="shared" si="3"/>
        <v>0.69414231235384038</v>
      </c>
    </row>
    <row r="19" spans="1:19" x14ac:dyDescent="0.25">
      <c r="A19" t="s">
        <v>104</v>
      </c>
      <c r="B19">
        <v>0.79200000000000004</v>
      </c>
      <c r="C19">
        <v>1E-3</v>
      </c>
      <c r="D19" s="1">
        <v>2.99</v>
      </c>
      <c r="E19" s="1">
        <v>3.0099999999999998E-2</v>
      </c>
      <c r="F19" s="1">
        <v>1E-4</v>
      </c>
      <c r="G19" s="1">
        <v>100</v>
      </c>
      <c r="H19" s="1">
        <v>5</v>
      </c>
      <c r="I19" s="1">
        <f>'Count-&gt;Actual Activity'!F19</f>
        <v>6.1681482707427913</v>
      </c>
      <c r="J19" s="1">
        <f>'Count-&gt;Actual Activity'!G19</f>
        <v>0.15745067498955981</v>
      </c>
      <c r="K19" s="1">
        <v>5</v>
      </c>
      <c r="L19" s="1">
        <v>0.01</v>
      </c>
      <c r="M19">
        <f t="shared" si="0"/>
        <v>1.2336296541485583</v>
      </c>
      <c r="N19">
        <f t="shared" si="1"/>
        <v>3.1586642282475971E-2</v>
      </c>
      <c r="O19">
        <f>B19*Parameters!$B$6</f>
        <v>373.61495765232502</v>
      </c>
      <c r="P19">
        <f>SQRT((C19/B19)^2+(Parameters!$C$6/Parameters!$B$6)^2)*'Bottle Results'!O19</f>
        <v>1.9165898051079078</v>
      </c>
      <c r="Q19">
        <f t="shared" si="2"/>
        <v>8314.0196756634286</v>
      </c>
      <c r="S19">
        <f t="shared" si="3"/>
        <v>0.66981256267139677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B3" sqref="B3:K7"/>
    </sheetView>
  </sheetViews>
  <sheetFormatPr defaultRowHeight="15" x14ac:dyDescent="0.25"/>
  <sheetData>
    <row r="1" spans="1:12" x14ac:dyDescent="0.25">
      <c r="A1" t="s">
        <v>15</v>
      </c>
      <c r="B1" t="s">
        <v>30</v>
      </c>
      <c r="C1" t="s">
        <v>106</v>
      </c>
      <c r="D1" t="s">
        <v>32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125</v>
      </c>
      <c r="L1" t="s">
        <v>7</v>
      </c>
    </row>
    <row r="2" spans="1:12" x14ac:dyDescent="0.25">
      <c r="A2">
        <v>0</v>
      </c>
      <c r="B2">
        <f>AVERAGE('Bottle Results'!M2:M4)</f>
        <v>2.1109601472866463E-2</v>
      </c>
      <c r="C2">
        <f>_xlfn.STDEV.S('Bottle Results'!M2:M4)</f>
        <v>5.5073117998675446E-3</v>
      </c>
      <c r="D2">
        <f>AVERAGE('Bottle Results'!Q2:Q4)</f>
        <v>-70.015419552267446</v>
      </c>
      <c r="E2">
        <f>_xlfn.STDEV.S('Bottle Results'!Q2:Q4)</f>
        <v>19.056047190020486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3</v>
      </c>
      <c r="J2">
        <f>_xlfn.STDEV.S('Bottle Results'!D2:D4)</f>
        <v>0</v>
      </c>
      <c r="K2">
        <f>0</f>
        <v>0</v>
      </c>
      <c r="L2" t="s">
        <v>126</v>
      </c>
    </row>
    <row r="3" spans="1:12" x14ac:dyDescent="0.25">
      <c r="A3">
        <v>10</v>
      </c>
      <c r="B3">
        <f>AVERAGE('Bottle Results'!M5:M7)</f>
        <v>4.7247693409960177E-2</v>
      </c>
      <c r="C3">
        <f>_xlfn.STDEV.S('Bottle Results'!M5:M7)</f>
        <v>1.0430031575946225E-3</v>
      </c>
      <c r="D3">
        <f>AVERAGE('Bottle Results'!Q5:Q7)</f>
        <v>89.981763540463064</v>
      </c>
      <c r="E3">
        <f>_xlfn.STDEV.S('Bottle Results'!Q5:Q7)</f>
        <v>4.100687928993942</v>
      </c>
      <c r="F3">
        <f>AVERAGE('Bottle Results'!O5:O7)</f>
        <v>7.4534297107408278</v>
      </c>
      <c r="G3">
        <f>AVERAGE('Bottle Results'!S5:S7)</f>
        <v>0.36609460015603984</v>
      </c>
      <c r="H3">
        <f>_xlfn.STDEV.S('Bottle Results'!S5:S7)</f>
        <v>1.3993600236030872E-2</v>
      </c>
      <c r="I3">
        <f>AVERAGE('Bottle Results'!D5:D7)</f>
        <v>3</v>
      </c>
      <c r="J3">
        <f>_xlfn.STDEV.S('Bottle Results'!D5:D7)</f>
        <v>0</v>
      </c>
      <c r="K3">
        <f>COUNT('Bottle Results'!I5:I7)</f>
        <v>3</v>
      </c>
    </row>
    <row r="4" spans="1:12" x14ac:dyDescent="0.25">
      <c r="A4">
        <v>50</v>
      </c>
      <c r="B4">
        <f>AVERAGE('Bottle Results'!M8:M10)</f>
        <v>0.12918821155645291</v>
      </c>
      <c r="C4">
        <f>_xlfn.STDEV.S('Bottle Results'!M8:M10)</f>
        <v>1.0648548282682703E-2</v>
      </c>
      <c r="D4">
        <f>AVERAGE('Bottle Results'!Q8:Q10)</f>
        <v>814.73247697464546</v>
      </c>
      <c r="E4">
        <f>_xlfn.STDEV.S('Bottle Results'!Q8:Q10)</f>
        <v>34.257381469627951</v>
      </c>
      <c r="F4">
        <f>AVERAGE('Bottle Results'!O8:O10)</f>
        <v>37.361495765232505</v>
      </c>
      <c r="G4">
        <f>AVERAGE('Bottle Results'!S8:S10)</f>
        <v>0.6542209863110684</v>
      </c>
      <c r="H4">
        <f>_xlfn.STDEV.S('Bottle Results'!S8:S10)</f>
        <v>2.8501397132477579E-2</v>
      </c>
      <c r="I4">
        <f>AVERAGE('Bottle Results'!D8:D10)</f>
        <v>3.0033333333333334</v>
      </c>
      <c r="J4">
        <f>_xlfn.STDEV.S('Bottle Results'!D8:D10)</f>
        <v>5.7735026918961348E-3</v>
      </c>
      <c r="K4">
        <f>COUNT('Bottle Results'!I8:I10)</f>
        <v>3</v>
      </c>
    </row>
    <row r="5" spans="1:12" x14ac:dyDescent="0.25">
      <c r="A5">
        <v>100</v>
      </c>
      <c r="B5">
        <f>AVERAGE('Bottle Results'!M11:M13)</f>
        <v>0.2506087591693183</v>
      </c>
      <c r="C5">
        <f>_xlfn.STDEV.S('Bottle Results'!M11:M13)</f>
        <v>1.2889144646155041E-2</v>
      </c>
      <c r="D5">
        <f>AVERAGE('Bottle Results'!Q11:Q13)</f>
        <v>1660.4250327727475</v>
      </c>
      <c r="E5">
        <f>_xlfn.STDEV.S('Bottle Results'!Q11:Q13)</f>
        <v>54.401847070698103</v>
      </c>
      <c r="F5">
        <f>AVERAGE('Bottle Results'!O11:O13)</f>
        <v>74.534297107408278</v>
      </c>
      <c r="G5">
        <f>AVERAGE('Bottle Results'!S11:S13)</f>
        <v>0.66376719323162547</v>
      </c>
      <c r="H5">
        <f>_xlfn.STDEV.S('Bottle Results'!S11:S13)</f>
        <v>1.7292904268730199E-2</v>
      </c>
      <c r="I5">
        <f>AVERAGE('Bottle Results'!D11:D13)</f>
        <v>2.9966666666666666</v>
      </c>
      <c r="J5">
        <f>_xlfn.STDEV.S('Bottle Results'!D3:D11)</f>
        <v>3.3333333333332624E-3</v>
      </c>
      <c r="K5">
        <f>COUNT('Bottle Results'!I11:I13)</f>
        <v>3</v>
      </c>
    </row>
    <row r="6" spans="1:12" x14ac:dyDescent="0.25">
      <c r="A6">
        <v>250</v>
      </c>
      <c r="B6">
        <f>AVERAGE('Bottle Results'!M14:M16)</f>
        <v>0.59238871856178588</v>
      </c>
      <c r="C6">
        <f>_xlfn.STDEV.S('Bottle Results'!M14:M16)</f>
        <v>3.2502488003601802E-2</v>
      </c>
      <c r="D6">
        <f>AVERAGE('Bottle Results'!Q14:Q16)</f>
        <v>4219.8458943196392</v>
      </c>
      <c r="E6">
        <f>_xlfn.STDEV.S('Bottle Results'!Q14:Q16)</f>
        <v>22.539371579474654</v>
      </c>
      <c r="F6">
        <f>AVERAGE('Bottle Results'!O14:O16)</f>
        <v>186.80747882616251</v>
      </c>
      <c r="G6">
        <f>AVERAGE('Bottle Results'!S14:S16)</f>
        <v>0.68288811439233366</v>
      </c>
      <c r="H6">
        <f>_xlfn.STDEV.S('Bottle Results'!S14:S16)</f>
        <v>1.7398922252918763E-2</v>
      </c>
      <c r="I6">
        <f>AVERAGE('Bottle Results'!D14:D16)</f>
        <v>2.9966666666666666</v>
      </c>
      <c r="J6">
        <f>_xlfn.STDEV.S('Bottle Results'!D14:D16)</f>
        <v>5.7735026918961348E-3</v>
      </c>
      <c r="K6">
        <f>COUNT('Bottle Results'!I14:I16)</f>
        <v>3</v>
      </c>
    </row>
    <row r="7" spans="1:12" x14ac:dyDescent="0.25">
      <c r="A7">
        <v>500</v>
      </c>
      <c r="B7">
        <f>AVERAGE('Bottle Results'!M17:M19)</f>
        <v>1.2130229183383772</v>
      </c>
      <c r="C7">
        <f>_xlfn.STDEV.S('Bottle Results'!M17:M19)</f>
        <v>6.2587665814861429E-2</v>
      </c>
      <c r="D7">
        <f>AVERAGE('Bottle Results'!Q17:Q19)</f>
        <v>8400.4142021796979</v>
      </c>
      <c r="E7">
        <f>_xlfn.STDEV.S('Bottle Results'!Q17:Q19)</f>
        <v>137.64054200277062</v>
      </c>
      <c r="F7">
        <f>AVERAGE('Bottle Results'!O17:O19)</f>
        <v>373.61495765232502</v>
      </c>
      <c r="G7">
        <f>AVERAGE('Bottle Results'!S17:S19)</f>
        <v>0.6753280634264166</v>
      </c>
      <c r="H7">
        <f>_xlfn.STDEV.S('Bottle Results'!S17:S19)</f>
        <v>1.6751916520725451E-2</v>
      </c>
      <c r="I7">
        <f>AVERAGE('Bottle Results'!D17:D19)</f>
        <v>2.9933333333333336</v>
      </c>
      <c r="J7">
        <f>_xlfn.STDEV.S('Bottle Results'!D17:D19)</f>
        <v>5.7735026918961348E-3</v>
      </c>
      <c r="K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2017-07-06T21:48:25Z</dcterms:modified>
</cp:coreProperties>
</file>