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PYR_pH9\"/>
    </mc:Choice>
  </mc:AlternateContent>
  <bookViews>
    <workbookView xWindow="0" yWindow="0" windowWidth="7470" windowHeight="12285" firstSheet="3" activeTab="5"/>
  </bookViews>
  <sheets>
    <sheet name="Parameters" sheetId="1" r:id="rId1"/>
    <sheet name="Scintillation Counter Results" sheetId="3" r:id="rId2"/>
    <sheet name="Calibration Data" sheetId="9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8" l="1"/>
  <c r="K6" i="8"/>
  <c r="K5" i="8"/>
  <c r="K4" i="8"/>
  <c r="K3" i="8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G2" i="2"/>
  <c r="F2" i="2"/>
  <c r="D10" i="9"/>
  <c r="C10" i="9"/>
  <c r="E10" i="9" s="1"/>
  <c r="J9" i="9"/>
  <c r="F9" i="9"/>
  <c r="G9" i="9" s="1"/>
  <c r="D9" i="9"/>
  <c r="H9" i="9" s="1"/>
  <c r="C9" i="9"/>
  <c r="E9" i="9" s="1"/>
  <c r="J8" i="9"/>
  <c r="E8" i="9"/>
  <c r="D8" i="9"/>
  <c r="H8" i="9" s="1"/>
  <c r="J7" i="9"/>
  <c r="F7" i="9"/>
  <c r="G5" i="9" s="1"/>
  <c r="E7" i="9"/>
  <c r="D7" i="9"/>
  <c r="H7" i="9" s="1"/>
  <c r="J6" i="9"/>
  <c r="E6" i="9"/>
  <c r="D6" i="9"/>
  <c r="H6" i="9" s="1"/>
  <c r="J5" i="9"/>
  <c r="H5" i="9"/>
  <c r="E5" i="9"/>
  <c r="D5" i="9"/>
  <c r="J4" i="9"/>
  <c r="H4" i="9"/>
  <c r="G4" i="9"/>
  <c r="E4" i="9"/>
  <c r="D4" i="9"/>
  <c r="H3" i="9"/>
  <c r="E3" i="9"/>
  <c r="D3" i="9"/>
  <c r="J3" i="9" s="1"/>
  <c r="G2" i="9"/>
  <c r="E2" i="9"/>
  <c r="D2" i="9"/>
  <c r="J2" i="9" s="1"/>
  <c r="K2" i="9" s="1"/>
  <c r="C6" i="1"/>
  <c r="B6" i="1"/>
  <c r="I4" i="9" l="1"/>
  <c r="I9" i="9"/>
  <c r="K4" i="9"/>
  <c r="K5" i="9"/>
  <c r="G3" i="9"/>
  <c r="I3" i="9" s="1"/>
  <c r="K9" i="9"/>
  <c r="I5" i="9"/>
  <c r="H2" i="9"/>
  <c r="I2" i="9" s="1"/>
  <c r="G8" i="9"/>
  <c r="I8" i="9" s="1"/>
  <c r="G6" i="9"/>
  <c r="I6" i="9" s="1"/>
  <c r="G7" i="9"/>
  <c r="K7" i="9" s="1"/>
  <c r="J7" i="8"/>
  <c r="J6" i="8"/>
  <c r="J5" i="8"/>
  <c r="J4" i="8"/>
  <c r="J3" i="8"/>
  <c r="J2" i="8"/>
  <c r="I7" i="8"/>
  <c r="I6" i="8"/>
  <c r="I5" i="8"/>
  <c r="I4" i="8"/>
  <c r="I3" i="8"/>
  <c r="I2" i="8"/>
  <c r="K3" i="9" l="1"/>
  <c r="I7" i="9"/>
  <c r="I11" i="9" s="1"/>
  <c r="K6" i="9"/>
  <c r="K11" i="9" s="1"/>
  <c r="K8" i="9"/>
  <c r="O3" i="5" l="1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" i="5"/>
  <c r="I10" i="5"/>
  <c r="M10" i="5" s="1"/>
  <c r="J11" i="5"/>
  <c r="J12" i="5"/>
  <c r="J17" i="5"/>
  <c r="P3" i="5" l="1"/>
  <c r="P17" i="5"/>
  <c r="P16" i="5"/>
  <c r="P8" i="5"/>
  <c r="P10" i="5"/>
  <c r="Q10" i="5"/>
  <c r="P14" i="5"/>
  <c r="P6" i="5"/>
  <c r="P19" i="5"/>
  <c r="P18" i="5"/>
  <c r="P7" i="5"/>
  <c r="P13" i="5"/>
  <c r="P5" i="5"/>
  <c r="P11" i="5"/>
  <c r="P9" i="5"/>
  <c r="P15" i="5"/>
  <c r="P12" i="5"/>
  <c r="P4" i="5"/>
  <c r="P2" i="5"/>
  <c r="S10" i="5"/>
  <c r="F4" i="8"/>
  <c r="F6" i="8"/>
  <c r="F3" i="8"/>
  <c r="F2" i="8"/>
  <c r="F5" i="8"/>
  <c r="F7" i="8"/>
  <c r="J18" i="5"/>
  <c r="I18" i="5"/>
  <c r="M18" i="5" s="1"/>
  <c r="Q18" i="5" s="1"/>
  <c r="J10" i="5"/>
  <c r="N10" i="5" s="1"/>
  <c r="J19" i="5"/>
  <c r="I19" i="5"/>
  <c r="M19" i="5" s="1"/>
  <c r="Q19" i="5" s="1"/>
  <c r="J3" i="5"/>
  <c r="I3" i="5"/>
  <c r="M3" i="5" s="1"/>
  <c r="Q3" i="5" s="1"/>
  <c r="J9" i="5"/>
  <c r="I9" i="5"/>
  <c r="M9" i="5" s="1"/>
  <c r="Q9" i="5" s="1"/>
  <c r="I16" i="5"/>
  <c r="M16" i="5" s="1"/>
  <c r="S16" i="5" s="1"/>
  <c r="J16" i="5"/>
  <c r="I8" i="5"/>
  <c r="M8" i="5" s="1"/>
  <c r="Q8" i="5" s="1"/>
  <c r="J8" i="5"/>
  <c r="J15" i="5"/>
  <c r="I15" i="5"/>
  <c r="M15" i="5" s="1"/>
  <c r="Q15" i="5" s="1"/>
  <c r="J7" i="5"/>
  <c r="I7" i="5"/>
  <c r="M7" i="5" s="1"/>
  <c r="S7" i="5" s="1"/>
  <c r="I14" i="5"/>
  <c r="M14" i="5" s="1"/>
  <c r="Q14" i="5" s="1"/>
  <c r="J14" i="5"/>
  <c r="J6" i="5"/>
  <c r="I6" i="5"/>
  <c r="M6" i="5" s="1"/>
  <c r="Q6" i="5" s="1"/>
  <c r="J13" i="5"/>
  <c r="I13" i="5"/>
  <c r="M13" i="5" s="1"/>
  <c r="S13" i="5" s="1"/>
  <c r="J5" i="5"/>
  <c r="I5" i="5"/>
  <c r="M5" i="5" s="1"/>
  <c r="S5" i="5" s="1"/>
  <c r="I4" i="5"/>
  <c r="M4" i="5" s="1"/>
  <c r="Q4" i="5" s="1"/>
  <c r="J4" i="5"/>
  <c r="I17" i="5"/>
  <c r="M17" i="5" s="1"/>
  <c r="Q17" i="5" s="1"/>
  <c r="I12" i="5"/>
  <c r="M12" i="5" s="1"/>
  <c r="Q12" i="5" s="1"/>
  <c r="I11" i="5"/>
  <c r="M11" i="5" s="1"/>
  <c r="S11" i="5" s="1"/>
  <c r="J2" i="5"/>
  <c r="Q5" i="5" l="1"/>
  <c r="N8" i="5"/>
  <c r="Q13" i="5"/>
  <c r="Q16" i="5"/>
  <c r="Q7" i="5"/>
  <c r="Q11" i="5"/>
  <c r="N18" i="5"/>
  <c r="N4" i="5"/>
  <c r="N14" i="5"/>
  <c r="N16" i="5"/>
  <c r="N17" i="5"/>
  <c r="N13" i="5"/>
  <c r="N12" i="5"/>
  <c r="N15" i="5"/>
  <c r="N6" i="5"/>
  <c r="N19" i="5"/>
  <c r="N5" i="5"/>
  <c r="N7" i="5"/>
  <c r="N9" i="5"/>
  <c r="N11" i="5"/>
  <c r="N3" i="5"/>
  <c r="S4" i="5"/>
  <c r="S15" i="5"/>
  <c r="B7" i="8"/>
  <c r="C7" i="8"/>
  <c r="B4" i="8"/>
  <c r="C4" i="8"/>
  <c r="S12" i="5"/>
  <c r="G5" i="8" s="1"/>
  <c r="S3" i="5"/>
  <c r="S6" i="5"/>
  <c r="H3" i="8" s="1"/>
  <c r="B6" i="8"/>
  <c r="C6" i="8"/>
  <c r="S8" i="5"/>
  <c r="C3" i="8"/>
  <c r="B3" i="8"/>
  <c r="S9" i="5"/>
  <c r="S19" i="5"/>
  <c r="S18" i="5"/>
  <c r="S17" i="5"/>
  <c r="S14" i="5"/>
  <c r="C5" i="8"/>
  <c r="B5" i="8"/>
  <c r="I2" i="5"/>
  <c r="M2" i="5" s="1"/>
  <c r="N2" i="5" l="1"/>
  <c r="Q2" i="5"/>
  <c r="H5" i="8"/>
  <c r="G3" i="8"/>
  <c r="D3" i="8"/>
  <c r="G6" i="8"/>
  <c r="H6" i="8"/>
  <c r="G4" i="8"/>
  <c r="H4" i="8"/>
  <c r="G7" i="8"/>
  <c r="H7" i="8"/>
  <c r="E3" i="8"/>
  <c r="E7" i="8"/>
  <c r="D7" i="8"/>
  <c r="C2" i="8"/>
  <c r="B2" i="8"/>
  <c r="S2" i="5"/>
  <c r="G2" i="8" s="1"/>
  <c r="E6" i="8"/>
  <c r="D6" i="8"/>
  <c r="D5" i="8"/>
  <c r="E5" i="8"/>
  <c r="D4" i="8"/>
  <c r="E4" i="8"/>
  <c r="E2" i="8" l="1"/>
  <c r="D2" i="8"/>
</calcChain>
</file>

<file path=xl/sharedStrings.xml><?xml version="1.0" encoding="utf-8"?>
<sst xmlns="http://schemas.openxmlformats.org/spreadsheetml/2006/main" count="253" uniqueCount="126">
  <si>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</si>
  <si>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</si>
  <si>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</si>
  <si>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</si>
  <si>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</si>
  <si>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</si>
  <si>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</si>
  <si>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</si>
  <si>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</si>
  <si>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</si>
  <si>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</si>
  <si>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</si>
  <si>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</si>
  <si>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</si>
  <si>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</si>
  <si>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</si>
  <si>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</si>
  <si>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</si>
  <si>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</si>
  <si>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</si>
  <si>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</si>
  <si>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</si>
  <si>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</si>
  <si>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</si>
  <si>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</si>
  <si>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</si>
  <si>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</si>
  <si>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</si>
  <si>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</si>
  <si>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</si>
  <si>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</si>
  <si>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</si>
  <si>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</si>
  <si>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</si>
  <si>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</si>
  <si>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</si>
  <si>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</si>
  <si>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</si>
  <si>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</si>
  <si>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</si>
  <si>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</si>
  <si>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</si>
  <si>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</si>
  <si>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</si>
  <si>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</si>
  <si>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</si>
  <si>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</si>
  <si>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</si>
  <si>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</si>
  <si>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</si>
  <si>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</si>
  <si>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</si>
  <si>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</si>
  <si>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</si>
  <si>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</si>
  <si>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</si>
  <si>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</si>
  <si>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</si>
  <si>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</si>
  <si>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</si>
  <si>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</si>
  <si>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</si>
  <si>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</si>
  <si>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</si>
  <si>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</si>
  <si>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</si>
  <si>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</si>
  <si>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</si>
  <si>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</si>
  <si>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</si>
  <si>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</si>
  <si>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</si>
  <si>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</si>
  <si>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</si>
  <si>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</si>
  <si>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Solution counts (Bq)</t>
  </si>
  <si>
    <t>Solution Counts error (Bq)</t>
  </si>
  <si>
    <t>Total Volume (mL)</t>
  </si>
  <si>
    <t>Total Volume Error (mL)</t>
  </si>
  <si>
    <t>Counted Solution Vol (mL)</t>
  </si>
  <si>
    <t>Counted Solution Vol error (mL)</t>
  </si>
  <si>
    <t>Calibration Method</t>
  </si>
  <si>
    <t>Activity (Bq)</t>
  </si>
  <si>
    <t>Activity Error (Bq)</t>
  </si>
  <si>
    <t>Phase</t>
  </si>
  <si>
    <t>Water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</si>
  <si>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</si>
  <si>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</si>
  <si>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</si>
  <si>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</si>
  <si>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</si>
  <si>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</si>
  <si>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</si>
  <si>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</si>
  <si>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</si>
  <si>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</si>
  <si>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</si>
  <si>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</si>
  <si>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</si>
  <si>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</si>
  <si>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</si>
  <si>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</si>
  <si>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</si>
  <si>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</si>
  <si>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sCw (Bq/mL)</t>
  </si>
  <si>
    <t>sCs (Bq/g)</t>
  </si>
  <si>
    <t>TotAct</t>
  </si>
  <si>
    <t>fSorb</t>
  </si>
  <si>
    <t>sfsorb</t>
  </si>
  <si>
    <t>pH</t>
  </si>
  <si>
    <t>spH</t>
  </si>
  <si>
    <t>Pyrite</t>
  </si>
  <si>
    <t>Ra_Stock_5</t>
  </si>
  <si>
    <t>RaStock5</t>
  </si>
  <si>
    <t>RaStock4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</si>
  <si>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</si>
  <si>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</si>
  <si>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</si>
  <si>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</si>
  <si>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</si>
  <si>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Average Rel Error</t>
  </si>
  <si>
    <t>Scintillation Counter Calibration</t>
  </si>
  <si>
    <t>CPS-&gt;Bq w/Background (RaStd only)</t>
  </si>
  <si>
    <t>cps-&gt;Bq (background, Stds, and RaStock 5)</t>
  </si>
  <si>
    <t>Count</t>
  </si>
  <si>
    <t>Counts below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</si>
</sst>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1" fillId="0" borderId="0" xfId="0" applyNumberFormat="1" applyFont="1"/>
    <xf numFmtId="0" fontId="4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4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0" fillId="0" borderId="0" xfId="0" applyFont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4" xfId="0" applyFont="1" applyFill="1" applyBorder="1" applyAlignment="1">
      <alignment horizontal="center" vertical="top"/>
    </xf>
    <xf numFmtId="0" fontId="1" fillId="0" borderId="4" xfId="0" applyFont="1" applyBorder="1"/>
    <xf numFmtId="11" fontId="1" fillId="0" borderId="4" xfId="0" applyNumberFormat="1" applyFont="1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1" fillId="0" borderId="0" xfId="0" applyFont="1" applyFill="1" applyBorder="1"/>
    <xf numFmtId="0" fontId="6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552256"/>
        <c:axId val="215878792"/>
      </c:scatterChart>
      <c:valAx>
        <c:axId val="234552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5878792"/>
        <c:crosses val="autoZero"/>
        <c:crossBetween val="midCat"/>
      </c:valAx>
      <c:valAx>
        <c:axId val="215878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45522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76832"/>
        <c:axId val="215876440"/>
      </c:scatterChart>
      <c:valAx>
        <c:axId val="215876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5876440"/>
        <c:crosses val="autoZero"/>
        <c:crossBetween val="midCat"/>
      </c:valAx>
      <c:valAx>
        <c:axId val="215876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5876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/>
      <sheetData sheetId="8">
        <row r="6">
          <cell r="F6">
            <v>921.74647887323954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B6" sqref="B6:C6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6">
        <v>42480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111</v>
      </c>
    </row>
    <row r="5" spans="1:5" x14ac:dyDescent="0.25">
      <c r="A5" t="s">
        <v>22</v>
      </c>
      <c r="B5" t="s">
        <v>112</v>
      </c>
    </row>
    <row r="6" spans="1:5" x14ac:dyDescent="0.25">
      <c r="A6" t="s">
        <v>6</v>
      </c>
      <c r="B6">
        <f>65.444/0.071</f>
        <v>921.74647887323954</v>
      </c>
      <c r="C6">
        <f>2.875/0.071</f>
        <v>40.492957746478879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2" workbookViewId="0">
      <selection activeCell="C38" sqref="C38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5">
        <v>42530.357638888891</v>
      </c>
      <c r="B2" t="s">
        <v>86</v>
      </c>
      <c r="C2">
        <v>86.4</v>
      </c>
      <c r="D2">
        <v>6.8</v>
      </c>
      <c r="E2">
        <v>0.15</v>
      </c>
      <c r="F2">
        <v>585.55999999999995</v>
      </c>
    </row>
    <row r="3" spans="1:6" x14ac:dyDescent="0.25">
      <c r="A3" s="15">
        <v>42530.357638888891</v>
      </c>
      <c r="B3" t="s">
        <v>87</v>
      </c>
      <c r="C3">
        <v>83.9</v>
      </c>
      <c r="D3">
        <v>6.9</v>
      </c>
      <c r="E3">
        <v>0.16</v>
      </c>
      <c r="F3">
        <v>596.19000000000005</v>
      </c>
    </row>
    <row r="4" spans="1:6" x14ac:dyDescent="0.25">
      <c r="A4" s="15">
        <v>42530.357638888891</v>
      </c>
      <c r="B4" t="s">
        <v>88</v>
      </c>
      <c r="C4">
        <v>81.7</v>
      </c>
      <c r="D4">
        <v>7</v>
      </c>
      <c r="E4">
        <v>0.16</v>
      </c>
      <c r="F4">
        <v>606.83000000000004</v>
      </c>
    </row>
    <row r="5" spans="1:6" x14ac:dyDescent="0.25">
      <c r="A5" s="15">
        <v>42530.357638888891</v>
      </c>
      <c r="B5" t="s">
        <v>89</v>
      </c>
      <c r="C5">
        <v>249.7</v>
      </c>
      <c r="D5">
        <v>4</v>
      </c>
      <c r="E5">
        <v>7.0000000000000007E-2</v>
      </c>
      <c r="F5">
        <v>617.46</v>
      </c>
    </row>
    <row r="6" spans="1:6" x14ac:dyDescent="0.25">
      <c r="A6" s="15">
        <v>42530.357638888891</v>
      </c>
      <c r="B6" t="s">
        <v>90</v>
      </c>
      <c r="C6">
        <v>255.4</v>
      </c>
      <c r="D6">
        <v>3.96</v>
      </c>
      <c r="E6">
        <v>0.06</v>
      </c>
      <c r="F6">
        <v>628.09</v>
      </c>
    </row>
    <row r="7" spans="1:6" x14ac:dyDescent="0.25">
      <c r="A7" s="15">
        <v>42530.357638888891</v>
      </c>
      <c r="B7" t="s">
        <v>91</v>
      </c>
      <c r="C7">
        <v>221.9</v>
      </c>
      <c r="D7">
        <v>4.25</v>
      </c>
      <c r="E7">
        <v>7.0000000000000007E-2</v>
      </c>
      <c r="F7">
        <v>638.73</v>
      </c>
    </row>
    <row r="8" spans="1:6" x14ac:dyDescent="0.25">
      <c r="A8" s="15">
        <v>42530.357638888891</v>
      </c>
      <c r="B8" t="s">
        <v>92</v>
      </c>
      <c r="C8">
        <v>916.1</v>
      </c>
      <c r="D8">
        <v>2.09</v>
      </c>
      <c r="E8">
        <v>0.03</v>
      </c>
      <c r="F8">
        <v>649.47</v>
      </c>
    </row>
    <row r="9" spans="1:6" x14ac:dyDescent="0.25">
      <c r="A9" s="15">
        <v>42530.357638888891</v>
      </c>
      <c r="B9" t="s">
        <v>93</v>
      </c>
      <c r="C9">
        <v>982.9</v>
      </c>
      <c r="D9">
        <v>2.02</v>
      </c>
      <c r="E9">
        <v>0.02</v>
      </c>
      <c r="F9">
        <v>660.11</v>
      </c>
    </row>
    <row r="10" spans="1:6" x14ac:dyDescent="0.25">
      <c r="A10" s="15">
        <v>42530.357638888891</v>
      </c>
      <c r="B10" t="s">
        <v>94</v>
      </c>
      <c r="C10">
        <v>924.1</v>
      </c>
      <c r="D10">
        <v>2.08</v>
      </c>
      <c r="E10">
        <v>0.03</v>
      </c>
      <c r="F10">
        <v>670.75</v>
      </c>
    </row>
    <row r="11" spans="1:6" x14ac:dyDescent="0.25">
      <c r="A11" s="15">
        <v>42530.357638888891</v>
      </c>
      <c r="B11" t="s">
        <v>95</v>
      </c>
      <c r="C11">
        <v>1839.1</v>
      </c>
      <c r="D11">
        <v>1.47</v>
      </c>
      <c r="E11">
        <v>0.01</v>
      </c>
      <c r="F11">
        <v>681.39</v>
      </c>
    </row>
    <row r="12" spans="1:6" x14ac:dyDescent="0.25">
      <c r="A12" s="15">
        <v>42530.357638888891</v>
      </c>
      <c r="B12" t="s">
        <v>96</v>
      </c>
      <c r="C12">
        <v>1814.4</v>
      </c>
      <c r="D12">
        <v>1.48</v>
      </c>
      <c r="E12">
        <v>0.01</v>
      </c>
      <c r="F12">
        <v>692.03</v>
      </c>
    </row>
    <row r="13" spans="1:6" x14ac:dyDescent="0.25">
      <c r="A13" s="15">
        <v>42530.357638888891</v>
      </c>
      <c r="B13" t="s">
        <v>97</v>
      </c>
      <c r="C13">
        <v>1850.3</v>
      </c>
      <c r="D13">
        <v>1.47</v>
      </c>
      <c r="E13">
        <v>0.01</v>
      </c>
      <c r="F13">
        <v>702.67</v>
      </c>
    </row>
    <row r="14" spans="1:6" x14ac:dyDescent="0.25">
      <c r="A14" s="15">
        <v>42530.357638888891</v>
      </c>
      <c r="B14" t="s">
        <v>98</v>
      </c>
      <c r="C14">
        <v>4659.6000000000004</v>
      </c>
      <c r="D14">
        <v>0.93</v>
      </c>
      <c r="E14">
        <v>0</v>
      </c>
      <c r="F14">
        <v>713.33</v>
      </c>
    </row>
    <row r="15" spans="1:6" x14ac:dyDescent="0.25">
      <c r="A15" s="15">
        <v>42530.357638888891</v>
      </c>
      <c r="B15" t="s">
        <v>99</v>
      </c>
      <c r="C15">
        <v>5117.5</v>
      </c>
      <c r="D15">
        <v>0.88</v>
      </c>
      <c r="E15">
        <v>0</v>
      </c>
      <c r="F15">
        <v>723.98</v>
      </c>
    </row>
    <row r="16" spans="1:6" x14ac:dyDescent="0.25">
      <c r="A16" s="15">
        <v>42530.357638888891</v>
      </c>
      <c r="B16" t="s">
        <v>100</v>
      </c>
      <c r="C16">
        <v>4823.2</v>
      </c>
      <c r="D16">
        <v>0.91</v>
      </c>
      <c r="E16">
        <v>0</v>
      </c>
      <c r="F16">
        <v>734.63</v>
      </c>
    </row>
    <row r="17" spans="1:6" x14ac:dyDescent="0.25">
      <c r="A17" s="15">
        <v>42530.357638888891</v>
      </c>
      <c r="B17" t="s">
        <v>101</v>
      </c>
      <c r="C17">
        <v>9296.7999999999993</v>
      </c>
      <c r="D17">
        <v>0.66</v>
      </c>
      <c r="E17">
        <v>0</v>
      </c>
      <c r="F17">
        <v>745.3</v>
      </c>
    </row>
    <row r="18" spans="1:6" x14ac:dyDescent="0.25">
      <c r="A18" s="15">
        <v>42530.357638888891</v>
      </c>
      <c r="B18" t="s">
        <v>102</v>
      </c>
      <c r="C18">
        <v>9884.5</v>
      </c>
      <c r="D18">
        <v>0.64</v>
      </c>
      <c r="E18">
        <v>0</v>
      </c>
      <c r="F18">
        <v>755.97</v>
      </c>
    </row>
    <row r="19" spans="1:6" x14ac:dyDescent="0.25">
      <c r="A19" s="15">
        <v>42530.357638888891</v>
      </c>
      <c r="B19" t="s">
        <v>103</v>
      </c>
      <c r="C19">
        <v>10000.200000000001</v>
      </c>
      <c r="D19">
        <v>0.63</v>
      </c>
      <c r="E19">
        <v>0</v>
      </c>
      <c r="F19">
        <v>766.66</v>
      </c>
    </row>
    <row r="20" spans="1:6" x14ac:dyDescent="0.25">
      <c r="A20" s="15">
        <v>42531.56527777778</v>
      </c>
      <c r="B20" t="s">
        <v>86</v>
      </c>
      <c r="C20">
        <v>82.6</v>
      </c>
      <c r="D20">
        <v>6.96</v>
      </c>
      <c r="E20">
        <v>0.13</v>
      </c>
      <c r="F20">
        <v>585.36</v>
      </c>
    </row>
    <row r="21" spans="1:6" x14ac:dyDescent="0.25">
      <c r="A21" s="15">
        <v>42531.56527777778</v>
      </c>
      <c r="B21" t="s">
        <v>87</v>
      </c>
      <c r="C21">
        <v>81.7</v>
      </c>
      <c r="D21">
        <v>7</v>
      </c>
      <c r="E21">
        <v>0.15</v>
      </c>
      <c r="F21">
        <v>595.99</v>
      </c>
    </row>
    <row r="22" spans="1:6" x14ac:dyDescent="0.25">
      <c r="A22" s="15">
        <v>42531.56527777778</v>
      </c>
      <c r="B22" t="s">
        <v>88</v>
      </c>
      <c r="C22">
        <v>72.7</v>
      </c>
      <c r="D22">
        <v>7.42</v>
      </c>
      <c r="E22">
        <v>0.17</v>
      </c>
      <c r="F22">
        <v>606.63</v>
      </c>
    </row>
    <row r="23" spans="1:6" x14ac:dyDescent="0.25">
      <c r="A23" s="15">
        <v>42531.56527777778</v>
      </c>
      <c r="B23" t="s">
        <v>89</v>
      </c>
      <c r="C23">
        <v>251.1</v>
      </c>
      <c r="D23">
        <v>3.99</v>
      </c>
      <c r="E23">
        <v>0.06</v>
      </c>
      <c r="F23">
        <v>617.26</v>
      </c>
    </row>
    <row r="24" spans="1:6" x14ac:dyDescent="0.25">
      <c r="A24" s="15">
        <v>42531.56527777778</v>
      </c>
      <c r="B24" t="s">
        <v>90</v>
      </c>
      <c r="C24">
        <v>250.7</v>
      </c>
      <c r="D24">
        <v>3.99</v>
      </c>
      <c r="E24">
        <v>0.06</v>
      </c>
      <c r="F24">
        <v>627.9</v>
      </c>
    </row>
    <row r="25" spans="1:6" x14ac:dyDescent="0.25">
      <c r="A25" s="15">
        <v>42531.56527777778</v>
      </c>
      <c r="B25" t="s">
        <v>91</v>
      </c>
      <c r="C25">
        <v>218.9</v>
      </c>
      <c r="D25">
        <v>4.2699999999999996</v>
      </c>
      <c r="E25">
        <v>6.0000000000000001E-3</v>
      </c>
      <c r="F25">
        <v>638.53</v>
      </c>
    </row>
    <row r="26" spans="1:6" x14ac:dyDescent="0.25">
      <c r="A26" s="15">
        <v>42531.56527777778</v>
      </c>
      <c r="B26" t="s">
        <v>92</v>
      </c>
      <c r="C26">
        <v>924.9</v>
      </c>
      <c r="D26">
        <v>2.08</v>
      </c>
      <c r="E26">
        <v>0.02</v>
      </c>
      <c r="F26">
        <v>649.26</v>
      </c>
    </row>
    <row r="27" spans="1:6" x14ac:dyDescent="0.25">
      <c r="A27" s="15">
        <v>42531.56527777778</v>
      </c>
      <c r="B27" t="s">
        <v>93</v>
      </c>
      <c r="C27">
        <v>975.1</v>
      </c>
      <c r="D27">
        <v>2.0299999999999998</v>
      </c>
      <c r="E27">
        <v>0.01</v>
      </c>
      <c r="F27">
        <v>659.9</v>
      </c>
    </row>
    <row r="28" spans="1:6" x14ac:dyDescent="0.25">
      <c r="A28" s="15">
        <v>42531.56527777778</v>
      </c>
      <c r="B28" t="s">
        <v>94</v>
      </c>
      <c r="C28">
        <v>916.7</v>
      </c>
      <c r="D28">
        <v>2.09</v>
      </c>
      <c r="E28">
        <v>0.02</v>
      </c>
      <c r="F28">
        <v>670.53</v>
      </c>
    </row>
    <row r="29" spans="1:6" x14ac:dyDescent="0.25">
      <c r="A29" s="15">
        <v>42531.56527777778</v>
      </c>
      <c r="B29" t="s">
        <v>95</v>
      </c>
      <c r="C29">
        <v>1820.2</v>
      </c>
      <c r="D29">
        <v>1.48</v>
      </c>
      <c r="E29">
        <v>0.01</v>
      </c>
      <c r="F29">
        <v>681.19</v>
      </c>
    </row>
    <row r="30" spans="1:6" x14ac:dyDescent="0.25">
      <c r="A30" s="15">
        <v>42531.56527777778</v>
      </c>
      <c r="B30" t="s">
        <v>96</v>
      </c>
      <c r="C30">
        <v>1816.4</v>
      </c>
      <c r="D30">
        <v>1.48</v>
      </c>
      <c r="E30">
        <v>0.01</v>
      </c>
      <c r="F30">
        <v>691.81</v>
      </c>
    </row>
    <row r="31" spans="1:6" x14ac:dyDescent="0.25">
      <c r="A31" s="15">
        <v>42531.56527777778</v>
      </c>
      <c r="B31" t="s">
        <v>97</v>
      </c>
      <c r="C31">
        <v>1784</v>
      </c>
      <c r="D31">
        <v>1.5</v>
      </c>
      <c r="E31">
        <v>0.01</v>
      </c>
      <c r="F31">
        <v>702.45</v>
      </c>
    </row>
    <row r="32" spans="1:6" x14ac:dyDescent="0.25">
      <c r="A32" s="15">
        <v>42531.56527777778</v>
      </c>
      <c r="B32" t="s">
        <v>98</v>
      </c>
      <c r="C32">
        <v>4633.1000000000004</v>
      </c>
      <c r="D32">
        <v>0.93</v>
      </c>
      <c r="E32">
        <v>0</v>
      </c>
      <c r="F32">
        <v>713.1</v>
      </c>
    </row>
    <row r="33" spans="1:6" x14ac:dyDescent="0.25">
      <c r="A33" s="15">
        <v>42531.56527777778</v>
      </c>
      <c r="B33" t="s">
        <v>99</v>
      </c>
      <c r="C33">
        <v>5078.7</v>
      </c>
      <c r="D33">
        <v>0.89</v>
      </c>
      <c r="E33">
        <v>0</v>
      </c>
      <c r="F33">
        <v>723.75</v>
      </c>
    </row>
    <row r="34" spans="1:6" x14ac:dyDescent="0.25">
      <c r="A34" s="15">
        <v>42531.56527777778</v>
      </c>
      <c r="B34" t="s">
        <v>100</v>
      </c>
      <c r="C34">
        <v>4773.8999999999996</v>
      </c>
      <c r="D34">
        <v>0.92</v>
      </c>
      <c r="E34">
        <v>0</v>
      </c>
      <c r="F34">
        <v>734.4</v>
      </c>
    </row>
    <row r="35" spans="1:6" x14ac:dyDescent="0.25">
      <c r="A35" s="15">
        <v>42531.56527777778</v>
      </c>
      <c r="B35" t="s">
        <v>101</v>
      </c>
      <c r="C35">
        <v>9227.9</v>
      </c>
      <c r="D35">
        <v>0.66</v>
      </c>
      <c r="E35">
        <v>0</v>
      </c>
      <c r="F35">
        <v>745.06</v>
      </c>
    </row>
    <row r="36" spans="1:6" x14ac:dyDescent="0.25">
      <c r="A36" s="15">
        <v>42531.56527777778</v>
      </c>
      <c r="B36" t="s">
        <v>102</v>
      </c>
      <c r="C36">
        <v>9848.5</v>
      </c>
      <c r="D36">
        <v>0.64</v>
      </c>
      <c r="E36">
        <v>0</v>
      </c>
      <c r="F36">
        <v>755.73</v>
      </c>
    </row>
    <row r="37" spans="1:6" x14ac:dyDescent="0.25">
      <c r="A37" s="15">
        <v>42531.56527777778</v>
      </c>
      <c r="B37" t="s">
        <v>103</v>
      </c>
      <c r="C37">
        <v>9924.4</v>
      </c>
      <c r="D37">
        <v>0.63</v>
      </c>
      <c r="E37">
        <v>0</v>
      </c>
      <c r="F37">
        <v>766.42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zoomScale="85" zoomScaleNormal="85" workbookViewId="0">
      <selection activeCell="D32" sqref="D32"/>
    </sheetView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22" customWidth="1"/>
    <col min="26" max="16384" width="9.140625" style="22"/>
  </cols>
  <sheetData>
    <row r="1" spans="1:24" x14ac:dyDescent="0.25">
      <c r="B1" s="3" t="s">
        <v>41</v>
      </c>
      <c r="C1" s="3" t="s">
        <v>42</v>
      </c>
      <c r="D1" s="4" t="s">
        <v>43</v>
      </c>
      <c r="E1" s="4" t="s">
        <v>21</v>
      </c>
      <c r="F1" s="2" t="s">
        <v>115</v>
      </c>
      <c r="G1" s="2" t="s">
        <v>116</v>
      </c>
      <c r="H1" s="2" t="s">
        <v>117</v>
      </c>
      <c r="I1" s="23" t="s">
        <v>118</v>
      </c>
      <c r="J1" s="23" t="s">
        <v>119</v>
      </c>
      <c r="K1" s="2" t="s">
        <v>118</v>
      </c>
      <c r="L1" s="2"/>
      <c r="M1" s="2"/>
      <c r="N1" s="2"/>
      <c r="O1" s="2"/>
    </row>
    <row r="2" spans="1:24" x14ac:dyDescent="0.25">
      <c r="A2" s="3" t="s">
        <v>44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2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35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2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36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2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37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2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38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2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39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2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40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2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113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24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114</v>
      </c>
      <c r="B10" s="23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120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17" t="s">
        <v>121</v>
      </c>
      <c r="B12" s="18"/>
      <c r="C12" s="18"/>
      <c r="D12" s="18"/>
      <c r="E12" s="18"/>
      <c r="F12" s="18"/>
      <c r="G12" s="18"/>
      <c r="H12" s="18"/>
      <c r="I12" s="18"/>
      <c r="J12" s="19"/>
      <c r="K12" s="18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2"/>
      <c r="W12" s="22"/>
      <c r="X12" s="22"/>
    </row>
    <row r="13" spans="1:24" x14ac:dyDescent="0.25">
      <c r="A13" s="22" t="s">
        <v>122</v>
      </c>
      <c r="B13" s="22"/>
      <c r="C13" s="22"/>
      <c r="D13" s="22"/>
      <c r="E13" s="22"/>
      <c r="F13" s="22"/>
      <c r="G13" s="22"/>
      <c r="H13" s="22"/>
      <c r="I13" s="22"/>
      <c r="J13" s="22"/>
      <c r="K13" s="21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</row>
    <row r="14" spans="1:24" x14ac:dyDescent="0.25">
      <c r="A14" t="s">
        <v>46</v>
      </c>
      <c r="B14"/>
      <c r="C14"/>
      <c r="D14"/>
      <c r="E14"/>
      <c r="F14"/>
      <c r="G14"/>
      <c r="H14"/>
      <c r="I14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</row>
    <row r="16" spans="1:24" x14ac:dyDescent="0.25">
      <c r="A16" s="6" t="s">
        <v>47</v>
      </c>
      <c r="B16" s="6"/>
      <c r="C16"/>
      <c r="D16"/>
      <c r="E16"/>
      <c r="F16"/>
      <c r="G16"/>
      <c r="H16"/>
      <c r="I16"/>
      <c r="J16" s="8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</row>
    <row r="17" spans="1:24" x14ac:dyDescent="0.25">
      <c r="A17" s="7" t="s">
        <v>48</v>
      </c>
      <c r="B17" s="7">
        <v>0.99999829960800457</v>
      </c>
      <c r="C17"/>
      <c r="D17"/>
      <c r="E17"/>
      <c r="F17"/>
      <c r="G17"/>
      <c r="H17"/>
      <c r="I17"/>
      <c r="J17" s="7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spans="1:24" x14ac:dyDescent="0.25">
      <c r="A18" s="7" t="s">
        <v>49</v>
      </c>
      <c r="B18" s="7">
        <v>0.99999659921890038</v>
      </c>
      <c r="C18"/>
      <c r="D18"/>
      <c r="E18"/>
      <c r="F18"/>
      <c r="G18"/>
      <c r="H18"/>
      <c r="I18"/>
      <c r="J18" s="7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</row>
    <row r="19" spans="1:24" x14ac:dyDescent="0.25">
      <c r="A19" s="7" t="s">
        <v>50</v>
      </c>
      <c r="B19" s="7">
        <v>0.99999591906268037</v>
      </c>
      <c r="C19"/>
      <c r="D19"/>
      <c r="E19"/>
      <c r="F19"/>
      <c r="G19"/>
      <c r="H19"/>
      <c r="I19"/>
      <c r="J19" s="7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</row>
    <row r="20" spans="1:24" ht="15.75" customHeight="1" x14ac:dyDescent="0.25">
      <c r="A20" s="7" t="s">
        <v>51</v>
      </c>
      <c r="B20" s="7">
        <v>0.15745067498955981</v>
      </c>
      <c r="C20"/>
      <c r="D20"/>
      <c r="E20"/>
      <c r="F20"/>
      <c r="G20"/>
      <c r="H20"/>
      <c r="I20"/>
      <c r="J20" s="7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</row>
    <row r="21" spans="1:24" ht="15.75" thickBot="1" x14ac:dyDescent="0.3">
      <c r="A21" s="9" t="s">
        <v>52</v>
      </c>
      <c r="B21" s="9">
        <v>7</v>
      </c>
      <c r="C21"/>
      <c r="D21"/>
      <c r="E21"/>
      <c r="F21"/>
      <c r="G21"/>
      <c r="H21"/>
      <c r="I21"/>
      <c r="J21" s="7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</row>
    <row r="23" spans="1:24" ht="15.75" thickBot="1" x14ac:dyDescent="0.3">
      <c r="A23" t="s">
        <v>53</v>
      </c>
      <c r="B23"/>
      <c r="C23"/>
      <c r="D23"/>
      <c r="E23"/>
      <c r="F23"/>
      <c r="G23"/>
      <c r="H23"/>
      <c r="I23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</row>
    <row r="24" spans="1:24" x14ac:dyDescent="0.25">
      <c r="A24" s="10"/>
      <c r="B24" s="10" t="s">
        <v>54</v>
      </c>
      <c r="C24" s="10" t="s">
        <v>55</v>
      </c>
      <c r="D24" s="10" t="s">
        <v>56</v>
      </c>
      <c r="E24" s="10" t="s">
        <v>57</v>
      </c>
      <c r="F24" s="10" t="s">
        <v>58</v>
      </c>
      <c r="G24"/>
      <c r="H24"/>
      <c r="I24"/>
      <c r="J24" s="11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</row>
    <row r="25" spans="1:24" x14ac:dyDescent="0.25">
      <c r="A25" s="7" t="s">
        <v>59</v>
      </c>
      <c r="B25" s="7">
        <v>1</v>
      </c>
      <c r="C25" s="7">
        <v>36448.436434940144</v>
      </c>
      <c r="D25" s="7">
        <v>36448.436434940144</v>
      </c>
      <c r="E25" s="7">
        <v>1470245.4670857524</v>
      </c>
      <c r="F25" s="7">
        <v>7.2414589665754382E-15</v>
      </c>
      <c r="G25"/>
      <c r="H25"/>
      <c r="I25"/>
      <c r="J25" s="7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</row>
    <row r="26" spans="1:24" ht="15.75" customHeight="1" x14ac:dyDescent="0.25">
      <c r="A26" s="7" t="s">
        <v>60</v>
      </c>
      <c r="B26" s="7">
        <v>5</v>
      </c>
      <c r="C26" s="7">
        <v>0.12395357527333999</v>
      </c>
      <c r="D26" s="7">
        <v>2.4790715054667997E-2</v>
      </c>
      <c r="E26" s="7"/>
      <c r="F26" s="7"/>
      <c r="G26"/>
      <c r="H26"/>
      <c r="I26"/>
      <c r="J26" s="7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</row>
    <row r="27" spans="1:24" ht="15.75" thickBot="1" x14ac:dyDescent="0.3">
      <c r="A27" s="9" t="s">
        <v>61</v>
      </c>
      <c r="B27" s="9">
        <v>6</v>
      </c>
      <c r="C27" s="9">
        <v>36448.56038851542</v>
      </c>
      <c r="D27" s="9"/>
      <c r="E27" s="9"/>
      <c r="F27" s="9"/>
      <c r="G27"/>
      <c r="H27"/>
      <c r="I27"/>
      <c r="J27" s="7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</row>
    <row r="29" spans="1:24" x14ac:dyDescent="0.25">
      <c r="A29" s="10"/>
      <c r="B29" s="10" t="s">
        <v>62</v>
      </c>
      <c r="C29" s="10" t="s">
        <v>51</v>
      </c>
      <c r="D29" s="10" t="s">
        <v>63</v>
      </c>
      <c r="E29" s="10" t="s">
        <v>64</v>
      </c>
      <c r="F29" s="10" t="s">
        <v>65</v>
      </c>
      <c r="G29" s="10" t="s">
        <v>66</v>
      </c>
      <c r="H29" s="10" t="s">
        <v>67</v>
      </c>
      <c r="I29" s="10" t="s">
        <v>68</v>
      </c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</row>
    <row r="30" spans="1:24" ht="15.75" customHeight="1" x14ac:dyDescent="0.25">
      <c r="A30" s="7" t="s">
        <v>69</v>
      </c>
      <c r="B30" s="7">
        <v>-3.9608781842709107E-2</v>
      </c>
      <c r="C30" s="7">
        <v>6.8336946505889784E-2</v>
      </c>
      <c r="D30" s="7">
        <v>-0.57961006260786507</v>
      </c>
      <c r="E30" s="7">
        <v>0.5873118215120845</v>
      </c>
      <c r="F30" s="7">
        <v>-0.21527449523359993</v>
      </c>
      <c r="G30" s="7">
        <v>0.13605693154818171</v>
      </c>
      <c r="H30" s="7">
        <v>-0.21527449523359993</v>
      </c>
      <c r="I30" s="7">
        <v>0.13605693154818171</v>
      </c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</row>
    <row r="31" spans="1:24" ht="15.75" thickBot="1" x14ac:dyDescent="0.3">
      <c r="A31" s="9" t="s">
        <v>70</v>
      </c>
      <c r="B31" s="9">
        <v>0.15919366720311581</v>
      </c>
      <c r="C31" s="9">
        <v>1.3128976251852687E-4</v>
      </c>
      <c r="D31" s="9">
        <v>1212.5367899926798</v>
      </c>
      <c r="E31" s="9">
        <v>7.2414589665754382E-15</v>
      </c>
      <c r="F31" s="9">
        <v>0.15885617612438069</v>
      </c>
      <c r="G31" s="9">
        <v>0.15953115828185094</v>
      </c>
      <c r="H31" s="9">
        <v>0.15885617612438069</v>
      </c>
      <c r="I31" s="9">
        <v>0.15953115828185094</v>
      </c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</row>
    <row r="32" spans="1:24" x14ac:dyDescent="0.25">
      <c r="A32"/>
      <c r="B32"/>
      <c r="C32"/>
      <c r="D32"/>
      <c r="E32"/>
      <c r="F32"/>
      <c r="G32"/>
      <c r="H32"/>
      <c r="I3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</row>
    <row r="33" spans="1:24" x14ac:dyDescent="0.25">
      <c r="A33"/>
      <c r="B33"/>
      <c r="C33"/>
      <c r="D33"/>
      <c r="E33"/>
      <c r="F33"/>
      <c r="G33"/>
      <c r="H33"/>
      <c r="I33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</row>
    <row r="34" spans="1:24" x14ac:dyDescent="0.25">
      <c r="A34"/>
      <c r="B34"/>
      <c r="C34"/>
      <c r="D34"/>
      <c r="E34"/>
      <c r="F34"/>
      <c r="G34"/>
      <c r="H34"/>
      <c r="I34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</row>
    <row r="35" spans="1:24" x14ac:dyDescent="0.25">
      <c r="A35" t="s">
        <v>71</v>
      </c>
      <c r="B35"/>
      <c r="C35"/>
      <c r="D35"/>
      <c r="E35"/>
      <c r="F35"/>
      <c r="G35"/>
      <c r="H35"/>
      <c r="I35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</row>
    <row r="37" spans="1:24" x14ac:dyDescent="0.25">
      <c r="A37" s="10" t="s">
        <v>72</v>
      </c>
      <c r="B37" s="10" t="s">
        <v>73</v>
      </c>
      <c r="C37" s="10" t="s">
        <v>74</v>
      </c>
      <c r="D37"/>
      <c r="E37"/>
      <c r="F37"/>
      <c r="G37"/>
      <c r="H37"/>
      <c r="I37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</row>
    <row r="38" spans="1:24" x14ac:dyDescent="0.25">
      <c r="A38" s="7">
        <v>1</v>
      </c>
      <c r="B38" s="7">
        <v>0.1441714628506657</v>
      </c>
      <c r="C38" s="7">
        <v>-0.1441714628506657</v>
      </c>
      <c r="D38"/>
      <c r="E38"/>
      <c r="F38"/>
      <c r="G38"/>
      <c r="H38"/>
      <c r="I38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</row>
    <row r="39" spans="1:24" x14ac:dyDescent="0.25">
      <c r="A39" s="7">
        <v>2</v>
      </c>
      <c r="B39" s="7">
        <v>0.52694379154793525</v>
      </c>
      <c r="C39" s="7">
        <v>-9.9253696233561284E-2</v>
      </c>
      <c r="D39"/>
      <c r="E39"/>
      <c r="F39"/>
      <c r="G39"/>
      <c r="H39"/>
      <c r="I39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</row>
    <row r="40" spans="1:24" x14ac:dyDescent="0.25">
      <c r="A40" s="7">
        <v>3</v>
      </c>
      <c r="B40" s="7">
        <v>2.2192609148432805</v>
      </c>
      <c r="C40" s="7">
        <v>-8.0810438271410323E-2</v>
      </c>
      <c r="D40"/>
      <c r="E40"/>
      <c r="F40"/>
      <c r="G40"/>
      <c r="H40"/>
      <c r="I40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</row>
    <row r="41" spans="1:24" x14ac:dyDescent="0.25">
      <c r="A41" s="7">
        <v>4</v>
      </c>
      <c r="B41" s="7">
        <v>4.3002759088928997</v>
      </c>
      <c r="C41" s="7">
        <v>-2.3374955749159376E-2</v>
      </c>
      <c r="D41"/>
      <c r="E41"/>
      <c r="F41"/>
      <c r="G41"/>
      <c r="H41"/>
      <c r="I41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</row>
    <row r="42" spans="1:24" ht="15.75" customHeight="1" x14ac:dyDescent="0.25">
      <c r="A42" s="7">
        <v>5</v>
      </c>
      <c r="B42" s="7">
        <v>21.183118079488228</v>
      </c>
      <c r="C42" s="7">
        <v>0.20138668623047096</v>
      </c>
      <c r="D42"/>
      <c r="E42"/>
      <c r="F42"/>
      <c r="G42"/>
      <c r="H42"/>
      <c r="I4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</row>
    <row r="43" spans="1:24" ht="15.75" customHeight="1" x14ac:dyDescent="0.25">
      <c r="A43" s="7">
        <v>6</v>
      </c>
      <c r="B43" s="7">
        <v>42.563623553202696</v>
      </c>
      <c r="C43" s="7">
        <v>0.20538597823470184</v>
      </c>
      <c r="D43"/>
      <c r="E43"/>
      <c r="F43"/>
      <c r="G43"/>
      <c r="H43"/>
      <c r="I43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</row>
    <row r="44" spans="1:24" ht="15.75" thickBot="1" x14ac:dyDescent="0.3">
      <c r="A44" s="9">
        <v>7</v>
      </c>
      <c r="B44" s="9">
        <v>213.90420976854736</v>
      </c>
      <c r="C44" s="9">
        <v>-5.9162111360365088E-2</v>
      </c>
      <c r="D44"/>
      <c r="E44"/>
      <c r="F44"/>
      <c r="G44"/>
      <c r="H44"/>
      <c r="I44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</row>
    <row r="45" spans="1:24" x14ac:dyDescent="0.2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</row>
    <row r="46" spans="1:24" x14ac:dyDescent="0.25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</row>
    <row r="47" spans="1:24" x14ac:dyDescent="0.25">
      <c r="A47" s="22" t="s">
        <v>123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</row>
    <row r="48" spans="1:24" x14ac:dyDescent="0.25">
      <c r="A48" t="s">
        <v>46</v>
      </c>
      <c r="B48"/>
      <c r="C48"/>
      <c r="D48"/>
      <c r="E48"/>
      <c r="F48"/>
      <c r="G48"/>
      <c r="H48"/>
      <c r="I48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</row>
    <row r="50" spans="1:24" x14ac:dyDescent="0.25">
      <c r="A50" s="6" t="s">
        <v>47</v>
      </c>
      <c r="B50" s="6"/>
      <c r="C50"/>
      <c r="D50"/>
      <c r="E50"/>
      <c r="F50"/>
      <c r="G50"/>
      <c r="H50"/>
      <c r="I50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</row>
    <row r="51" spans="1:24" x14ac:dyDescent="0.25">
      <c r="A51" s="7" t="s">
        <v>48</v>
      </c>
      <c r="B51" s="7">
        <v>0.99997693899899576</v>
      </c>
      <c r="C51"/>
      <c r="D51"/>
      <c r="E51"/>
      <c r="F51"/>
      <c r="G51"/>
      <c r="H51"/>
      <c r="I51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</row>
    <row r="52" spans="1:24" x14ac:dyDescent="0.25">
      <c r="A52" s="7" t="s">
        <v>49</v>
      </c>
      <c r="B52" s="7">
        <v>0.99995387852980122</v>
      </c>
      <c r="C52"/>
      <c r="D52"/>
      <c r="E52"/>
      <c r="F52"/>
      <c r="G52"/>
      <c r="H52"/>
      <c r="I5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</row>
    <row r="53" spans="1:24" x14ac:dyDescent="0.25">
      <c r="A53" s="7" t="s">
        <v>50</v>
      </c>
      <c r="B53" s="7">
        <v>0.99994619161810139</v>
      </c>
      <c r="C53"/>
      <c r="D53"/>
      <c r="E53"/>
      <c r="F53"/>
      <c r="G53"/>
      <c r="H53"/>
      <c r="I53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</row>
    <row r="54" spans="1:24" x14ac:dyDescent="0.25">
      <c r="A54" s="7" t="s">
        <v>51</v>
      </c>
      <c r="B54" s="7">
        <v>2.3454898264593513</v>
      </c>
      <c r="C54"/>
      <c r="D54"/>
      <c r="E54"/>
      <c r="F54"/>
      <c r="G54"/>
      <c r="H54"/>
      <c r="I54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</row>
    <row r="55" spans="1:24" ht="15.75" thickBot="1" x14ac:dyDescent="0.3">
      <c r="A55" s="9" t="s">
        <v>52</v>
      </c>
      <c r="B55" s="9">
        <v>8</v>
      </c>
      <c r="C55"/>
      <c r="D55"/>
      <c r="E55"/>
      <c r="F55"/>
      <c r="G55"/>
      <c r="H55"/>
      <c r="I55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</row>
    <row r="56" spans="1:24" x14ac:dyDescent="0.25">
      <c r="A56"/>
      <c r="B56"/>
      <c r="C56"/>
      <c r="D56"/>
      <c r="E56"/>
      <c r="F56"/>
      <c r="G56"/>
      <c r="H56"/>
      <c r="I56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</row>
    <row r="57" spans="1:24" ht="15.75" customHeight="1" thickBot="1" x14ac:dyDescent="0.3">
      <c r="A57" t="s">
        <v>53</v>
      </c>
      <c r="B57"/>
      <c r="C57"/>
      <c r="D57"/>
      <c r="E57"/>
      <c r="F57"/>
      <c r="G57"/>
      <c r="H57"/>
      <c r="I57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</row>
    <row r="58" spans="1:24" x14ac:dyDescent="0.25">
      <c r="A58" s="10"/>
      <c r="B58" s="10" t="s">
        <v>54</v>
      </c>
      <c r="C58" s="10" t="s">
        <v>55</v>
      </c>
      <c r="D58" s="10" t="s">
        <v>56</v>
      </c>
      <c r="E58" s="10" t="s">
        <v>57</v>
      </c>
      <c r="F58" s="10" t="s">
        <v>58</v>
      </c>
      <c r="G58"/>
      <c r="H58"/>
      <c r="I58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</row>
    <row r="59" spans="1:24" x14ac:dyDescent="0.25">
      <c r="A59" s="7" t="s">
        <v>59</v>
      </c>
      <c r="B59" s="7">
        <v>1</v>
      </c>
      <c r="C59" s="7">
        <v>715640.95071954106</v>
      </c>
      <c r="D59" s="7">
        <v>715640.95071954106</v>
      </c>
      <c r="E59" s="7">
        <v>130085.25628776736</v>
      </c>
      <c r="F59" s="7">
        <v>3.0659633657492487E-14</v>
      </c>
      <c r="G59"/>
      <c r="H59"/>
      <c r="I59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</row>
    <row r="60" spans="1:24" x14ac:dyDescent="0.25">
      <c r="A60" s="7" t="s">
        <v>60</v>
      </c>
      <c r="B60" s="7">
        <v>6</v>
      </c>
      <c r="C60" s="7">
        <v>33.007935156145905</v>
      </c>
      <c r="D60" s="7">
        <v>5.5013225260243175</v>
      </c>
      <c r="E60" s="7"/>
      <c r="F60" s="7"/>
      <c r="G60"/>
      <c r="H60"/>
      <c r="I60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</row>
    <row r="61" spans="1:24" ht="15.75" thickBot="1" x14ac:dyDescent="0.3">
      <c r="A61" s="9" t="s">
        <v>61</v>
      </c>
      <c r="B61" s="9">
        <v>7</v>
      </c>
      <c r="C61" s="9">
        <v>715673.95865469717</v>
      </c>
      <c r="D61" s="9"/>
      <c r="E61" s="9"/>
      <c r="F61" s="9"/>
      <c r="G61"/>
      <c r="H61"/>
      <c r="I61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</row>
    <row r="63" spans="1:24" x14ac:dyDescent="0.25">
      <c r="A63" s="10"/>
      <c r="B63" s="10" t="s">
        <v>62</v>
      </c>
      <c r="C63" s="10" t="s">
        <v>51</v>
      </c>
      <c r="D63" s="10" t="s">
        <v>63</v>
      </c>
      <c r="E63" s="10" t="s">
        <v>64</v>
      </c>
      <c r="F63" s="10" t="s">
        <v>65</v>
      </c>
      <c r="G63" s="10" t="s">
        <v>66</v>
      </c>
      <c r="H63" s="10" t="s">
        <v>67</v>
      </c>
      <c r="I63" s="10" t="s">
        <v>68</v>
      </c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</row>
    <row r="64" spans="1:24" x14ac:dyDescent="0.25">
      <c r="A64" s="7" t="s">
        <v>69</v>
      </c>
      <c r="B64" s="7">
        <v>-1.0515927841435655</v>
      </c>
      <c r="C64" s="7">
        <v>0.93004309568280563</v>
      </c>
      <c r="D64" s="7">
        <v>-1.1306925335234301</v>
      </c>
      <c r="E64" s="7">
        <v>0.30134624757372269</v>
      </c>
      <c r="F64" s="7">
        <v>-3.3273262570453777</v>
      </c>
      <c r="G64" s="7">
        <v>1.2241406887582467</v>
      </c>
      <c r="H64" s="7">
        <v>-3.3273262570453777</v>
      </c>
      <c r="I64" s="7">
        <v>1.2241406887582467</v>
      </c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</row>
    <row r="65" spans="1:24" ht="15.75" thickBot="1" x14ac:dyDescent="0.3">
      <c r="A65" s="9" t="s">
        <v>70</v>
      </c>
      <c r="B65" s="9">
        <v>0.16384455053367589</v>
      </c>
      <c r="C65" s="9">
        <v>4.5427408560216718E-4</v>
      </c>
      <c r="D65" s="9">
        <v>360.6733373674403</v>
      </c>
      <c r="E65" s="9">
        <v>3.0659633657492487E-14</v>
      </c>
      <c r="F65" s="9">
        <v>0.16273298188994789</v>
      </c>
      <c r="G65" s="9">
        <v>0.16495611917740388</v>
      </c>
      <c r="H65" s="9">
        <v>0.16273298188994789</v>
      </c>
      <c r="I65" s="9">
        <v>0.16495611917740388</v>
      </c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</row>
    <row r="66" spans="1:24" x14ac:dyDescent="0.25">
      <c r="A66"/>
      <c r="B66"/>
      <c r="C66"/>
      <c r="D66"/>
      <c r="E66"/>
      <c r="F66"/>
      <c r="G66"/>
      <c r="H66"/>
      <c r="I66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</row>
    <row r="67" spans="1:24" x14ac:dyDescent="0.25">
      <c r="A67"/>
      <c r="B67"/>
      <c r="C67"/>
      <c r="D67"/>
      <c r="E67"/>
      <c r="F67"/>
      <c r="G67"/>
      <c r="H67"/>
      <c r="I67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</row>
    <row r="68" spans="1:24" x14ac:dyDescent="0.25">
      <c r="A68"/>
      <c r="B68"/>
      <c r="C68"/>
      <c r="D68"/>
      <c r="E68"/>
      <c r="F68"/>
      <c r="G68"/>
      <c r="H68"/>
      <c r="I68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</row>
    <row r="69" spans="1:24" x14ac:dyDescent="0.25">
      <c r="A69" t="s">
        <v>71</v>
      </c>
      <c r="B69"/>
      <c r="C69"/>
      <c r="D69"/>
      <c r="E69"/>
      <c r="F69"/>
      <c r="G69"/>
      <c r="H69"/>
      <c r="I69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</row>
    <row r="71" spans="1:24" x14ac:dyDescent="0.25">
      <c r="A71" s="10" t="s">
        <v>72</v>
      </c>
      <c r="B71" s="10" t="s">
        <v>73</v>
      </c>
      <c r="C71" s="10" t="s">
        <v>74</v>
      </c>
      <c r="D71"/>
      <c r="E71"/>
      <c r="F71"/>
      <c r="G71"/>
      <c r="H71"/>
      <c r="I71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</row>
    <row r="72" spans="1:24" x14ac:dyDescent="0.25">
      <c r="A72" s="7">
        <v>1</v>
      </c>
      <c r="B72" s="7">
        <v>-0.86244335302746633</v>
      </c>
      <c r="C72" s="7">
        <v>0.86244335302746633</v>
      </c>
      <c r="D72"/>
      <c r="E72"/>
      <c r="F72"/>
      <c r="G72"/>
      <c r="H72"/>
      <c r="I7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</row>
    <row r="73" spans="1:24" x14ac:dyDescent="0.25">
      <c r="A73" s="7">
        <v>2</v>
      </c>
      <c r="B73" s="7">
        <v>-0.46848823374427229</v>
      </c>
      <c r="C73" s="7">
        <v>0.89617832905864625</v>
      </c>
      <c r="D73"/>
      <c r="E73"/>
      <c r="F73"/>
      <c r="G73"/>
      <c r="H73"/>
      <c r="I73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</row>
    <row r="74" spans="1:24" x14ac:dyDescent="0.25">
      <c r="A74" s="7">
        <v>3</v>
      </c>
      <c r="B74" s="7">
        <v>1.273270363178999</v>
      </c>
      <c r="C74" s="7">
        <v>0.86518011339287115</v>
      </c>
      <c r="D74"/>
      <c r="E74"/>
      <c r="F74"/>
      <c r="G74"/>
      <c r="H74"/>
      <c r="I74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</row>
    <row r="75" spans="1:24" x14ac:dyDescent="0.25">
      <c r="A75" s="7">
        <v>4</v>
      </c>
      <c r="B75" s="7">
        <v>3.4150827376553288</v>
      </c>
      <c r="C75" s="7">
        <v>0.86181821548841153</v>
      </c>
      <c r="D75"/>
      <c r="E75"/>
      <c r="F75"/>
      <c r="G75"/>
      <c r="H75"/>
      <c r="I75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</row>
    <row r="76" spans="1:24" x14ac:dyDescent="0.25">
      <c r="A76" s="7">
        <v>5</v>
      </c>
      <c r="B76" s="7">
        <v>20.791161420752843</v>
      </c>
      <c r="C76" s="7">
        <v>0.59334334496585583</v>
      </c>
      <c r="D76"/>
      <c r="E76"/>
      <c r="F76"/>
      <c r="G76"/>
      <c r="H76"/>
      <c r="I76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</row>
    <row r="77" spans="1:24" x14ac:dyDescent="0.25">
      <c r="A77" s="7">
        <v>6</v>
      </c>
      <c r="B77" s="7">
        <v>42.796303780178178</v>
      </c>
      <c r="C77" s="7">
        <v>-2.7294248740780347E-2</v>
      </c>
      <c r="D77"/>
      <c r="E77"/>
      <c r="F77"/>
      <c r="G77"/>
      <c r="H77"/>
      <c r="I77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</row>
    <row r="78" spans="1:24" x14ac:dyDescent="0.25">
      <c r="A78" s="7">
        <v>7</v>
      </c>
      <c r="B78" s="7">
        <v>219.142648643325</v>
      </c>
      <c r="C78" s="7">
        <v>-5.2976009861380078</v>
      </c>
      <c r="D78"/>
      <c r="E78"/>
      <c r="F78"/>
      <c r="G78"/>
      <c r="H78"/>
      <c r="I78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</row>
    <row r="79" spans="1:24" ht="15.75" thickBot="1" x14ac:dyDescent="0.3">
      <c r="A79" s="9">
        <v>8</v>
      </c>
      <c r="B79" s="9">
        <v>920.50054699429393</v>
      </c>
      <c r="C79" s="9">
        <v>1.245931878945612</v>
      </c>
      <c r="D79"/>
      <c r="E79"/>
      <c r="F79"/>
      <c r="G79"/>
      <c r="H79"/>
      <c r="I79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</row>
    <row r="80" spans="1:24" x14ac:dyDescent="0.25">
      <c r="A80"/>
      <c r="B80"/>
      <c r="C80"/>
      <c r="D80"/>
      <c r="E80"/>
      <c r="F80"/>
      <c r="G80"/>
      <c r="H80"/>
      <c r="I80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</row>
    <row r="81" spans="1:24" x14ac:dyDescent="0.25">
      <c r="A81"/>
      <c r="B81"/>
      <c r="C81"/>
      <c r="D81"/>
      <c r="E81"/>
      <c r="F81"/>
      <c r="G81"/>
      <c r="H81"/>
      <c r="I81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</row>
    <row r="82" spans="1:24" x14ac:dyDescent="0.25">
      <c r="A82"/>
      <c r="B82"/>
      <c r="C82"/>
      <c r="D82"/>
      <c r="E82"/>
      <c r="F82"/>
      <c r="G82"/>
      <c r="H82"/>
      <c r="I8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</row>
    <row r="83" spans="1:24" x14ac:dyDescent="0.25">
      <c r="A83"/>
      <c r="B83"/>
      <c r="C83"/>
      <c r="D83"/>
      <c r="E83"/>
      <c r="F83"/>
      <c r="G83"/>
      <c r="H83"/>
      <c r="I83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</row>
    <row r="84" spans="1:24" x14ac:dyDescent="0.25">
      <c r="A84"/>
      <c r="B84"/>
      <c r="C84"/>
      <c r="D84"/>
      <c r="E84"/>
      <c r="F84"/>
      <c r="G84"/>
      <c r="H84"/>
      <c r="I84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</row>
    <row r="85" spans="1:24" x14ac:dyDescent="0.25">
      <c r="A85"/>
      <c r="B85"/>
      <c r="C85"/>
      <c r="D85"/>
      <c r="E85"/>
      <c r="F85"/>
      <c r="G85"/>
      <c r="H85"/>
      <c r="I85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</row>
    <row r="86" spans="1:24" x14ac:dyDescent="0.25">
      <c r="A86"/>
      <c r="B86"/>
      <c r="C86"/>
      <c r="D86"/>
      <c r="E86"/>
      <c r="F86"/>
      <c r="G86"/>
      <c r="H86"/>
      <c r="I86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</row>
    <row r="87" spans="1:24" x14ac:dyDescent="0.25">
      <c r="A87"/>
      <c r="B87"/>
      <c r="C87"/>
      <c r="D87"/>
      <c r="E87"/>
      <c r="F87"/>
      <c r="G87"/>
      <c r="H87"/>
      <c r="I87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</row>
    <row r="88" spans="1:24" x14ac:dyDescent="0.25">
      <c r="A88"/>
      <c r="B88"/>
      <c r="C88"/>
      <c r="D88"/>
      <c r="E88"/>
      <c r="F88"/>
      <c r="G88"/>
      <c r="H88"/>
      <c r="I88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</row>
    <row r="89" spans="1:24" x14ac:dyDescent="0.25">
      <c r="A89"/>
      <c r="B89"/>
      <c r="C89"/>
      <c r="D89"/>
      <c r="E89"/>
      <c r="F89"/>
      <c r="G89"/>
      <c r="H89"/>
      <c r="I89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</row>
    <row r="90" spans="1:24" x14ac:dyDescent="0.25">
      <c r="A90"/>
      <c r="B90"/>
      <c r="C90"/>
      <c r="D90"/>
      <c r="E90"/>
      <c r="F90"/>
      <c r="G90"/>
      <c r="H90"/>
      <c r="I90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</row>
    <row r="91" spans="1:24" x14ac:dyDescent="0.25">
      <c r="A91"/>
      <c r="B91"/>
      <c r="C91"/>
      <c r="D91"/>
      <c r="E91"/>
      <c r="F91"/>
      <c r="G91"/>
      <c r="H91"/>
      <c r="I91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</row>
    <row r="92" spans="1:24" x14ac:dyDescent="0.25">
      <c r="A92"/>
      <c r="B92"/>
      <c r="C92"/>
      <c r="D92"/>
      <c r="E92"/>
      <c r="F92"/>
      <c r="G92"/>
      <c r="H92"/>
      <c r="I9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</row>
    <row r="93" spans="1:24" x14ac:dyDescent="0.25">
      <c r="A93"/>
      <c r="B93"/>
      <c r="C93"/>
      <c r="D93"/>
      <c r="E93"/>
      <c r="F93"/>
      <c r="G93"/>
      <c r="H93"/>
      <c r="I93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</row>
    <row r="94" spans="1:24" x14ac:dyDescent="0.25">
      <c r="A94"/>
      <c r="B94"/>
      <c r="C94"/>
      <c r="D94"/>
      <c r="E94"/>
      <c r="F94"/>
      <c r="G94"/>
      <c r="H94"/>
      <c r="I94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</row>
    <row r="95" spans="1:24" x14ac:dyDescent="0.25">
      <c r="A95"/>
      <c r="B95"/>
      <c r="C95"/>
      <c r="D95"/>
      <c r="E95"/>
      <c r="F95"/>
      <c r="G95"/>
      <c r="H95"/>
      <c r="I95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</row>
    <row r="96" spans="1:24" x14ac:dyDescent="0.25">
      <c r="A96"/>
      <c r="B96"/>
      <c r="C96"/>
      <c r="D96"/>
      <c r="E96"/>
      <c r="F96"/>
      <c r="G96"/>
      <c r="H96"/>
      <c r="I96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</row>
    <row r="97" spans="1:24" x14ac:dyDescent="0.25">
      <c r="A97"/>
      <c r="B97"/>
      <c r="C97"/>
      <c r="D97"/>
      <c r="E97"/>
      <c r="F97"/>
      <c r="G97"/>
      <c r="H97"/>
      <c r="I97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</row>
    <row r="98" spans="1:24" x14ac:dyDescent="0.25">
      <c r="A98"/>
      <c r="B98"/>
      <c r="C98"/>
      <c r="D98"/>
      <c r="E98"/>
      <c r="F98"/>
      <c r="G98"/>
      <c r="H98"/>
      <c r="I98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</row>
    <row r="99" spans="1:24" x14ac:dyDescent="0.25">
      <c r="A99"/>
      <c r="B99"/>
      <c r="C99"/>
      <c r="D99"/>
      <c r="E99"/>
      <c r="F99"/>
      <c r="G99"/>
      <c r="H99"/>
      <c r="I99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</row>
    <row r="100" spans="1:24" x14ac:dyDescent="0.25">
      <c r="A100"/>
      <c r="B100"/>
      <c r="C100"/>
      <c r="D100"/>
      <c r="E100"/>
      <c r="F100"/>
      <c r="G100"/>
      <c r="H100"/>
      <c r="I100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</row>
    <row r="101" spans="1:24" x14ac:dyDescent="0.25">
      <c r="A101"/>
      <c r="B101"/>
      <c r="C101"/>
      <c r="D101"/>
      <c r="E101"/>
      <c r="F101"/>
      <c r="G101"/>
      <c r="H101"/>
      <c r="I101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</row>
    <row r="102" spans="1:24" x14ac:dyDescent="0.25">
      <c r="A102"/>
      <c r="B102"/>
      <c r="C102"/>
      <c r="D102"/>
      <c r="E102"/>
      <c r="F102"/>
      <c r="G102"/>
      <c r="H102"/>
      <c r="I10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</row>
    <row r="103" spans="1:24" x14ac:dyDescent="0.25">
      <c r="A103"/>
      <c r="B103"/>
      <c r="C103"/>
      <c r="D103"/>
      <c r="E103"/>
      <c r="F103"/>
      <c r="G103"/>
      <c r="H103"/>
      <c r="I103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</row>
    <row r="104" spans="1:24" x14ac:dyDescent="0.25">
      <c r="A104"/>
      <c r="B104"/>
      <c r="C104"/>
      <c r="D104"/>
      <c r="E104"/>
      <c r="F104"/>
      <c r="G104"/>
      <c r="H104"/>
      <c r="I104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</row>
    <row r="105" spans="1:24" x14ac:dyDescent="0.25">
      <c r="A105"/>
      <c r="B105"/>
      <c r="C105"/>
      <c r="D105"/>
      <c r="E105"/>
      <c r="F105"/>
      <c r="G105"/>
      <c r="H105"/>
      <c r="I105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</row>
    <row r="106" spans="1:24" x14ac:dyDescent="0.25">
      <c r="A106"/>
      <c r="B106"/>
      <c r="C106"/>
      <c r="D106"/>
      <c r="E106"/>
      <c r="F106"/>
      <c r="G106"/>
      <c r="H106"/>
      <c r="I106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</row>
    <row r="107" spans="1:24" x14ac:dyDescent="0.25">
      <c r="A107"/>
      <c r="B107"/>
      <c r="C107"/>
      <c r="D107"/>
      <c r="E107"/>
      <c r="F107"/>
      <c r="G107"/>
      <c r="H107"/>
      <c r="I107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</row>
    <row r="108" spans="1:24" x14ac:dyDescent="0.25">
      <c r="A108"/>
      <c r="B108"/>
      <c r="C108"/>
      <c r="D108"/>
      <c r="E108"/>
      <c r="F108"/>
      <c r="G108"/>
      <c r="H108"/>
      <c r="I108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</row>
    <row r="109" spans="1:24" x14ac:dyDescent="0.25">
      <c r="A109"/>
      <c r="B109"/>
      <c r="C109"/>
      <c r="D109"/>
      <c r="E109"/>
      <c r="F109"/>
      <c r="G109"/>
      <c r="H109"/>
      <c r="I109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</row>
    <row r="110" spans="1:24" x14ac:dyDescent="0.25">
      <c r="A110"/>
      <c r="B110"/>
      <c r="C110"/>
      <c r="D110"/>
      <c r="E110"/>
      <c r="F110"/>
      <c r="G110"/>
      <c r="H110"/>
      <c r="I110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</row>
    <row r="111" spans="1:24" x14ac:dyDescent="0.25">
      <c r="A111"/>
      <c r="B111"/>
      <c r="C111"/>
      <c r="D111"/>
      <c r="E111"/>
      <c r="F111"/>
      <c r="G111"/>
      <c r="H111"/>
      <c r="I111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20" sqref="A20:XFD37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84</v>
      </c>
      <c r="C1" t="s">
        <v>23</v>
      </c>
      <c r="D1" t="s">
        <v>21</v>
      </c>
      <c r="E1" t="s">
        <v>81</v>
      </c>
      <c r="F1" t="s">
        <v>82</v>
      </c>
      <c r="G1" t="s">
        <v>83</v>
      </c>
    </row>
    <row r="2" spans="1:7" x14ac:dyDescent="0.25">
      <c r="A2" t="s">
        <v>86</v>
      </c>
      <c r="B2" s="13" t="s">
        <v>85</v>
      </c>
      <c r="C2">
        <v>1.4083333333333301</v>
      </c>
      <c r="D2">
        <v>9.6893333333333304E-2</v>
      </c>
      <c r="E2" s="1" t="s">
        <v>45</v>
      </c>
      <c r="F2" s="1">
        <f>C2*'Calibration Data'!$B$31+'Calibration Data'!$B$30</f>
        <v>0.18458896613501183</v>
      </c>
      <c r="G2" s="14">
        <f>'Calibration Data'!$B$20</f>
        <v>0.15745067498955981</v>
      </c>
    </row>
    <row r="3" spans="1:7" x14ac:dyDescent="0.25">
      <c r="A3" t="s">
        <v>87</v>
      </c>
      <c r="B3" s="13" t="s">
        <v>85</v>
      </c>
      <c r="C3">
        <v>1.38</v>
      </c>
      <c r="D3">
        <v>9.5909999999999995E-2</v>
      </c>
      <c r="E3" s="1" t="s">
        <v>45</v>
      </c>
      <c r="F3" s="1">
        <f>C3*'Calibration Data'!$B$31+'Calibration Data'!$B$30</f>
        <v>0.18007847889759071</v>
      </c>
      <c r="G3" s="14">
        <f>'Calibration Data'!$B$20</f>
        <v>0.15745067498955981</v>
      </c>
    </row>
    <row r="4" spans="1:7" x14ac:dyDescent="0.25">
      <c r="A4" t="s">
        <v>88</v>
      </c>
      <c r="B4" s="13" t="s">
        <v>85</v>
      </c>
      <c r="C4">
        <v>1.28666666666667</v>
      </c>
      <c r="D4">
        <v>9.2768666666666694E-2</v>
      </c>
      <c r="E4" s="1" t="s">
        <v>45</v>
      </c>
      <c r="F4" s="1">
        <f>C4*'Calibration Data'!$B$31+'Calibration Data'!$B$30</f>
        <v>0.16522040329196711</v>
      </c>
      <c r="G4" s="14">
        <f>'Calibration Data'!$B$20</f>
        <v>0.15745067498955981</v>
      </c>
    </row>
    <row r="5" spans="1:7" x14ac:dyDescent="0.25">
      <c r="A5" t="s">
        <v>89</v>
      </c>
      <c r="B5" s="13" t="s">
        <v>85</v>
      </c>
      <c r="C5">
        <v>4.1733333333333302</v>
      </c>
      <c r="D5">
        <v>0.16672466666666699</v>
      </c>
      <c r="E5" s="1" t="s">
        <v>45</v>
      </c>
      <c r="F5" s="1">
        <f>C5*'Calibration Data'!$B$31+'Calibration Data'!$B$30</f>
        <v>0.62475945595162707</v>
      </c>
      <c r="G5" s="14">
        <f>'Calibration Data'!$B$20</f>
        <v>0.15745067498955981</v>
      </c>
    </row>
    <row r="6" spans="1:7" x14ac:dyDescent="0.25">
      <c r="A6" t="s">
        <v>90</v>
      </c>
      <c r="B6" s="13" t="s">
        <v>85</v>
      </c>
      <c r="C6">
        <v>4.2175000000000002</v>
      </c>
      <c r="D6">
        <v>0.16764562499999999</v>
      </c>
      <c r="E6" s="1" t="s">
        <v>45</v>
      </c>
      <c r="F6" s="1">
        <f>C6*'Calibration Data'!$B$31+'Calibration Data'!$B$30</f>
        <v>0.6317905095864319</v>
      </c>
      <c r="G6" s="14">
        <f>'Calibration Data'!$B$20</f>
        <v>0.15745067498955981</v>
      </c>
    </row>
    <row r="7" spans="1:7" x14ac:dyDescent="0.25">
      <c r="A7" t="s">
        <v>91</v>
      </c>
      <c r="B7" s="13" t="s">
        <v>85</v>
      </c>
      <c r="C7">
        <v>3.6733333333333298</v>
      </c>
      <c r="D7">
        <v>0.15648400000000001</v>
      </c>
      <c r="E7" s="1" t="s">
        <v>45</v>
      </c>
      <c r="F7" s="1">
        <f>C7*'Calibration Data'!$B$31+'Calibration Data'!$B$30</f>
        <v>0.54516262235006907</v>
      </c>
      <c r="G7" s="14">
        <f>'Calibration Data'!$B$20</f>
        <v>0.15745067498955981</v>
      </c>
    </row>
    <row r="8" spans="1:7" ht="15.75" customHeight="1" x14ac:dyDescent="0.25">
      <c r="A8" t="s">
        <v>92</v>
      </c>
      <c r="B8" s="13" t="s">
        <v>85</v>
      </c>
      <c r="C8">
        <v>15.341666666666701</v>
      </c>
      <c r="D8">
        <v>0.31987375000000001</v>
      </c>
      <c r="E8" s="1" t="s">
        <v>45</v>
      </c>
      <c r="F8" s="1">
        <f>C8*'Calibration Data'!$B$31+'Calibration Data'!$B$30</f>
        <v>2.4026873958317645</v>
      </c>
      <c r="G8" s="14">
        <f>'Calibration Data'!$B$20</f>
        <v>0.15745067498955981</v>
      </c>
    </row>
    <row r="9" spans="1:7" x14ac:dyDescent="0.25">
      <c r="A9" t="s">
        <v>93</v>
      </c>
      <c r="B9" s="13" t="s">
        <v>85</v>
      </c>
      <c r="C9">
        <v>16.316666666666698</v>
      </c>
      <c r="D9">
        <v>0.3304125</v>
      </c>
      <c r="E9" s="1" t="s">
        <v>45</v>
      </c>
      <c r="F9" s="1">
        <f>C9*'Calibration Data'!$B$31+'Calibration Data'!$B$30</f>
        <v>2.5579012213548022</v>
      </c>
      <c r="G9" s="14">
        <f>'Calibration Data'!$B$20</f>
        <v>0.15745067498955981</v>
      </c>
    </row>
    <row r="10" spans="1:7" x14ac:dyDescent="0.25">
      <c r="A10" t="s">
        <v>94</v>
      </c>
      <c r="B10" s="13" t="s">
        <v>85</v>
      </c>
      <c r="C10">
        <v>15.34</v>
      </c>
      <c r="D10">
        <v>0.31983899999999998</v>
      </c>
      <c r="E10" s="1" t="s">
        <v>45</v>
      </c>
      <c r="F10" s="1">
        <f>C10*'Calibration Data'!$B$31+'Calibration Data'!$B$30</f>
        <v>2.4024220730530876</v>
      </c>
      <c r="G10" s="14">
        <f>'Calibration Data'!$B$20</f>
        <v>0.15745067498955981</v>
      </c>
    </row>
    <row r="11" spans="1:7" x14ac:dyDescent="0.25">
      <c r="A11" t="s">
        <v>95</v>
      </c>
      <c r="B11" s="13" t="s">
        <v>85</v>
      </c>
      <c r="C11">
        <v>30.4941666666667</v>
      </c>
      <c r="D11">
        <v>0.44978895833333299</v>
      </c>
      <c r="E11" s="1" t="s">
        <v>45</v>
      </c>
      <c r="F11" s="1">
        <f>C11*'Calibration Data'!$B$31+'Calibration Data'!$B$30</f>
        <v>4.8148694381269772</v>
      </c>
      <c r="G11" s="14">
        <f>'Calibration Data'!$B$20</f>
        <v>0.15745067498955981</v>
      </c>
    </row>
    <row r="12" spans="1:7" x14ac:dyDescent="0.25">
      <c r="A12" t="s">
        <v>96</v>
      </c>
      <c r="B12" s="13" t="s">
        <v>85</v>
      </c>
      <c r="C12">
        <v>30.2566666666667</v>
      </c>
      <c r="D12">
        <v>0.44779866666666701</v>
      </c>
      <c r="E12" s="1" t="s">
        <v>45</v>
      </c>
      <c r="F12" s="1">
        <f>C12*'Calibration Data'!$B$31+'Calibration Data'!$B$30</f>
        <v>4.7770609421662371</v>
      </c>
      <c r="G12" s="14">
        <f>'Calibration Data'!$B$20</f>
        <v>0.15745067498955981</v>
      </c>
    </row>
    <row r="13" spans="1:7" x14ac:dyDescent="0.25">
      <c r="A13" t="s">
        <v>97</v>
      </c>
      <c r="B13" s="13" t="s">
        <v>85</v>
      </c>
      <c r="C13">
        <v>30.285833333333301</v>
      </c>
      <c r="D13">
        <v>0.44974462500000001</v>
      </c>
      <c r="E13" s="1" t="s">
        <v>45</v>
      </c>
      <c r="F13" s="1">
        <f>C13*'Calibration Data'!$B$31+'Calibration Data'!$B$30</f>
        <v>4.7817040907929842</v>
      </c>
      <c r="G13" s="14">
        <f>'Calibration Data'!$B$20</f>
        <v>0.15745067498955981</v>
      </c>
    </row>
    <row r="14" spans="1:7" x14ac:dyDescent="0.25">
      <c r="A14" t="s">
        <v>98</v>
      </c>
      <c r="B14" s="13" t="s">
        <v>85</v>
      </c>
      <c r="C14">
        <v>77.439166666666694</v>
      </c>
      <c r="D14">
        <v>0.72018424999999997</v>
      </c>
      <c r="E14" s="1" t="s">
        <v>45</v>
      </c>
      <c r="F14" s="1">
        <f>C14*'Calibration Data'!$B$31+'Calibration Data'!$B$30</f>
        <v>12.288216144977248</v>
      </c>
      <c r="G14" s="14">
        <f>'Calibration Data'!$B$20</f>
        <v>0.15745067498955981</v>
      </c>
    </row>
    <row r="15" spans="1:7" x14ac:dyDescent="0.25">
      <c r="A15" t="s">
        <v>99</v>
      </c>
      <c r="B15" s="13" t="s">
        <v>85</v>
      </c>
      <c r="C15">
        <v>84.968333333333305</v>
      </c>
      <c r="D15">
        <v>0.75196974999999999</v>
      </c>
      <c r="E15" s="1" t="s">
        <v>45</v>
      </c>
      <c r="F15" s="1">
        <f>C15*'Calibration Data'!$B$31+'Calibration Data'!$B$30</f>
        <v>13.486811797627364</v>
      </c>
      <c r="G15" s="14">
        <f>'Calibration Data'!$B$20</f>
        <v>0.15745067498955981</v>
      </c>
    </row>
    <row r="16" spans="1:7" x14ac:dyDescent="0.25">
      <c r="A16" t="s">
        <v>100</v>
      </c>
      <c r="B16" s="13" t="s">
        <v>85</v>
      </c>
      <c r="C16">
        <v>79.975833333333298</v>
      </c>
      <c r="D16">
        <v>0.73177887500000005</v>
      </c>
      <c r="E16" s="1" t="s">
        <v>45</v>
      </c>
      <c r="F16" s="1">
        <f>C16*'Calibration Data'!$B$31+'Calibration Data'!$B$30</f>
        <v>12.692037414115809</v>
      </c>
      <c r="G16" s="14">
        <f>'Calibration Data'!$B$20</f>
        <v>0.15745067498955981</v>
      </c>
    </row>
    <row r="17" spans="1:7" x14ac:dyDescent="0.25">
      <c r="A17" t="s">
        <v>101</v>
      </c>
      <c r="B17" s="13" t="s">
        <v>85</v>
      </c>
      <c r="C17">
        <v>154.3725</v>
      </c>
      <c r="D17">
        <v>1.0188584999999999</v>
      </c>
      <c r="E17" s="1" t="s">
        <v>45</v>
      </c>
      <c r="F17" s="1">
        <f>C17*'Calibration Data'!$B$31+'Calibration Data'!$B$30</f>
        <v>24.535515608470288</v>
      </c>
      <c r="G17" s="14">
        <f>'Calibration Data'!$B$20</f>
        <v>0.15745067498955981</v>
      </c>
    </row>
    <row r="18" spans="1:7" x14ac:dyDescent="0.25">
      <c r="A18" t="s">
        <v>102</v>
      </c>
      <c r="B18" s="13" t="s">
        <v>85</v>
      </c>
      <c r="C18">
        <v>164.441666666667</v>
      </c>
      <c r="D18">
        <v>1.05242666666667</v>
      </c>
      <c r="E18" s="1" t="s">
        <v>45</v>
      </c>
      <c r="F18" s="1">
        <f>C18*'Calibration Data'!$B$31+'Calibration Data'!$B$30</f>
        <v>26.13846317581638</v>
      </c>
      <c r="G18" s="14">
        <f>'Calibration Data'!$B$20</f>
        <v>0.15745067498955981</v>
      </c>
    </row>
    <row r="19" spans="1:7" x14ac:dyDescent="0.25">
      <c r="A19" t="s">
        <v>103</v>
      </c>
      <c r="B19" s="13" t="s">
        <v>85</v>
      </c>
      <c r="C19">
        <v>166.03833333333299</v>
      </c>
      <c r="D19">
        <v>1.0460415000000001</v>
      </c>
      <c r="E19" s="1" t="s">
        <v>45</v>
      </c>
      <c r="F19" s="1">
        <f>C19*'Calibration Data'!$B$31+'Calibration Data'!$B$30</f>
        <v>26.392642397783913</v>
      </c>
      <c r="G19" s="14">
        <f>'Calibration Data'!$B$20</f>
        <v>0.15745067498955981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I2" sqref="I2:I19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1.28515625" bestFit="1" customWidth="1"/>
    <col min="14" max="14" width="12.42578125" bestFit="1" customWidth="1"/>
    <col min="15" max="15" width="16.85546875" bestFit="1" customWidth="1"/>
    <col min="16" max="16" width="18.140625" bestFit="1" customWidth="1"/>
    <col min="17" max="17" width="9" bestFit="1" customWidth="1"/>
    <col min="18" max="18" width="10.140625" bestFit="1" customWidth="1"/>
    <col min="19" max="19" width="13.140625" bestFit="1" customWidth="1"/>
    <col min="20" max="20" width="14.28515625" bestFit="1" customWidth="1"/>
  </cols>
  <sheetData>
    <row r="1" spans="1:19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77</v>
      </c>
      <c r="H1" t="s">
        <v>78</v>
      </c>
      <c r="I1" t="s">
        <v>75</v>
      </c>
      <c r="J1" t="s">
        <v>76</v>
      </c>
      <c r="K1" t="s">
        <v>79</v>
      </c>
      <c r="L1" t="s">
        <v>80</v>
      </c>
      <c r="M1" t="s">
        <v>29</v>
      </c>
      <c r="N1" t="s">
        <v>30</v>
      </c>
      <c r="O1" t="s">
        <v>33</v>
      </c>
      <c r="P1" t="s">
        <v>34</v>
      </c>
      <c r="Q1" t="s">
        <v>31</v>
      </c>
      <c r="R1" t="s">
        <v>32</v>
      </c>
      <c r="S1" t="s">
        <v>107</v>
      </c>
    </row>
    <row r="2" spans="1:19" x14ac:dyDescent="0.25">
      <c r="A2" t="s">
        <v>86</v>
      </c>
      <c r="B2">
        <v>0</v>
      </c>
      <c r="C2">
        <v>0</v>
      </c>
      <c r="D2">
        <v>9</v>
      </c>
      <c r="E2" s="1">
        <v>4.8000000000000001E-2</v>
      </c>
      <c r="F2" s="1">
        <v>1E-3</v>
      </c>
      <c r="G2" s="1">
        <v>100</v>
      </c>
      <c r="H2" s="1">
        <v>5</v>
      </c>
      <c r="I2" s="1">
        <f>'Count-&gt;Actual Activity'!F2</f>
        <v>0.18458896613501183</v>
      </c>
      <c r="J2" s="1">
        <f>'Count-&gt;Actual Activity'!G2</f>
        <v>0.15745067498955981</v>
      </c>
      <c r="K2" s="1">
        <v>10</v>
      </c>
      <c r="L2" s="1">
        <v>0.02</v>
      </c>
      <c r="M2">
        <f t="shared" ref="M2:M19" si="0">I2/K2</f>
        <v>1.8458896613501183E-2</v>
      </c>
      <c r="N2">
        <f t="shared" ref="N2:N19" si="1">SQRT((L2/K2)^2+(J2/I2)^2)*M2</f>
        <v>1.5745110779862324E-2</v>
      </c>
      <c r="O2">
        <f>B2*Parameters!$B$6</f>
        <v>0</v>
      </c>
      <c r="P2" t="e">
        <f>SQRT((C2/B2)^2+(Parameters!$C$6/Parameters!$B$6)^2)*'Bottle Results'!O2</f>
        <v>#DIV/0!</v>
      </c>
      <c r="Q2">
        <f t="shared" ref="Q2:Q19" si="2">(O2-M2*G2)/E2</f>
        <v>-38.456034611460801</v>
      </c>
      <c r="S2" t="e">
        <f t="shared" ref="S2:S19" si="3">(O2-M2*G2)/O2</f>
        <v>#DIV/0!</v>
      </c>
    </row>
    <row r="3" spans="1:19" x14ac:dyDescent="0.25">
      <c r="A3" t="s">
        <v>87</v>
      </c>
      <c r="B3">
        <v>0</v>
      </c>
      <c r="C3">
        <v>0</v>
      </c>
      <c r="D3">
        <v>9</v>
      </c>
      <c r="E3" s="1">
        <v>3.2000000000000001E-2</v>
      </c>
      <c r="F3" s="1">
        <v>1E-3</v>
      </c>
      <c r="G3" s="1">
        <v>100</v>
      </c>
      <c r="H3" s="1">
        <v>5</v>
      </c>
      <c r="I3" s="1">
        <f>'Count-&gt;Actual Activity'!F3</f>
        <v>0.18007847889759071</v>
      </c>
      <c r="J3" s="1">
        <f>'Count-&gt;Actual Activity'!G3</f>
        <v>0.15745067498955981</v>
      </c>
      <c r="K3" s="1">
        <v>10</v>
      </c>
      <c r="L3" s="1">
        <v>0.02</v>
      </c>
      <c r="M3">
        <f t="shared" si="0"/>
        <v>1.8007847889759072E-2</v>
      </c>
      <c r="N3">
        <f t="shared" si="1"/>
        <v>1.5745108690543311E-2</v>
      </c>
      <c r="O3">
        <f>B3*Parameters!$B$6</f>
        <v>0</v>
      </c>
      <c r="P3" t="e">
        <f>SQRT((C3/B3)^2+(Parameters!$C$6/Parameters!$B$6)^2)*'Bottle Results'!O3</f>
        <v>#DIV/0!</v>
      </c>
      <c r="Q3">
        <f t="shared" si="2"/>
        <v>-56.274524655497096</v>
      </c>
      <c r="S3" t="e">
        <f t="shared" si="3"/>
        <v>#DIV/0!</v>
      </c>
    </row>
    <row r="4" spans="1:19" x14ac:dyDescent="0.25">
      <c r="A4" t="s">
        <v>88</v>
      </c>
      <c r="B4">
        <v>0</v>
      </c>
      <c r="C4">
        <v>0</v>
      </c>
      <c r="D4">
        <v>9</v>
      </c>
      <c r="E4" s="1">
        <v>4.4999999999999998E-2</v>
      </c>
      <c r="F4" s="1">
        <v>1E-3</v>
      </c>
      <c r="G4" s="1">
        <v>100</v>
      </c>
      <c r="H4" s="1">
        <v>5</v>
      </c>
      <c r="I4" s="1">
        <f>'Count-&gt;Actual Activity'!F4</f>
        <v>0.16522040329196711</v>
      </c>
      <c r="J4" s="1">
        <f>'Count-&gt;Actual Activity'!G4</f>
        <v>0.15745067498955981</v>
      </c>
      <c r="K4" s="1">
        <v>10</v>
      </c>
      <c r="L4" s="1">
        <v>0.02</v>
      </c>
      <c r="M4">
        <f t="shared" si="0"/>
        <v>1.652204032919671E-2</v>
      </c>
      <c r="N4">
        <f t="shared" si="1"/>
        <v>1.5745102173626773E-2</v>
      </c>
      <c r="O4">
        <f>B4*Parameters!$B$6</f>
        <v>0</v>
      </c>
      <c r="P4" t="e">
        <f>SQRT((C4/B4)^2+(Parameters!$C$6/Parameters!$B$6)^2)*'Bottle Results'!O4</f>
        <v>#DIV/0!</v>
      </c>
      <c r="Q4">
        <f t="shared" si="2"/>
        <v>-36.715645175992691</v>
      </c>
      <c r="S4" t="e">
        <f t="shared" si="3"/>
        <v>#DIV/0!</v>
      </c>
    </row>
    <row r="5" spans="1:19" x14ac:dyDescent="0.25">
      <c r="A5" t="s">
        <v>89</v>
      </c>
      <c r="B5" s="14">
        <v>6.9499999999999996E-3</v>
      </c>
      <c r="C5" s="14">
        <v>1.0000000000000001E-5</v>
      </c>
      <c r="D5">
        <v>8.98</v>
      </c>
      <c r="E5" s="1">
        <v>3.5999999999999997E-2</v>
      </c>
      <c r="F5" s="1">
        <v>1E-3</v>
      </c>
      <c r="G5" s="1">
        <v>100</v>
      </c>
      <c r="H5" s="1">
        <v>5</v>
      </c>
      <c r="I5" s="1">
        <f>'Count-&gt;Actual Activity'!F5</f>
        <v>0.62475945595162707</v>
      </c>
      <c r="J5" s="1">
        <f>'Count-&gt;Actual Activity'!G5</f>
        <v>0.15745067498955981</v>
      </c>
      <c r="K5" s="1">
        <v>10</v>
      </c>
      <c r="L5" s="1">
        <v>0.02</v>
      </c>
      <c r="M5">
        <f t="shared" si="0"/>
        <v>6.2475945595162709E-2</v>
      </c>
      <c r="N5">
        <f t="shared" si="1"/>
        <v>1.5745563296427092E-2</v>
      </c>
      <c r="O5">
        <f>B5*Parameters!$B$6</f>
        <v>6.4061380281690141</v>
      </c>
      <c r="P5">
        <f>SQRT((C5/B5)^2+(Parameters!$C$6/Parameters!$B$6)^2)*'Bottle Results'!O5</f>
        <v>0.28157696433321128</v>
      </c>
      <c r="Q5">
        <f t="shared" si="2"/>
        <v>4.4039852403539772</v>
      </c>
      <c r="S5">
        <f t="shared" si="3"/>
        <v>2.4748681335868383E-2</v>
      </c>
    </row>
    <row r="6" spans="1:19" x14ac:dyDescent="0.25">
      <c r="A6" t="s">
        <v>90</v>
      </c>
      <c r="B6" s="14">
        <v>6.9499999999999996E-3</v>
      </c>
      <c r="C6" s="14">
        <v>1.0000000000000001E-5</v>
      </c>
      <c r="D6">
        <v>9.01</v>
      </c>
      <c r="E6" s="1">
        <v>4.4999999999999998E-2</v>
      </c>
      <c r="F6" s="1">
        <v>1E-3</v>
      </c>
      <c r="G6" s="1">
        <v>100</v>
      </c>
      <c r="H6" s="1">
        <v>5</v>
      </c>
      <c r="I6" s="1">
        <f>'Count-&gt;Actual Activity'!F6</f>
        <v>0.6317905095864319</v>
      </c>
      <c r="J6" s="1">
        <f>'Count-&gt;Actual Activity'!G6</f>
        <v>0.15745067498955981</v>
      </c>
      <c r="K6" s="1">
        <v>10</v>
      </c>
      <c r="L6" s="1">
        <v>0.02</v>
      </c>
      <c r="M6">
        <f t="shared" si="0"/>
        <v>6.3179050958643193E-2</v>
      </c>
      <c r="N6">
        <f t="shared" si="1"/>
        <v>1.5745574518467087E-2</v>
      </c>
      <c r="O6">
        <f>B6*Parameters!$B$6</f>
        <v>6.4061380281690141</v>
      </c>
      <c r="P6">
        <f>SQRT((C6/B6)^2+(Parameters!$C$6/Parameters!$B$6)^2)*'Bottle Results'!O6</f>
        <v>0.28157696433321128</v>
      </c>
      <c r="Q6">
        <f t="shared" si="2"/>
        <v>1.9607318289932094</v>
      </c>
      <c r="S6">
        <f t="shared" si="3"/>
        <v>1.3773186265534296E-2</v>
      </c>
    </row>
    <row r="7" spans="1:19" x14ac:dyDescent="0.25">
      <c r="A7" t="s">
        <v>91</v>
      </c>
      <c r="B7" s="14">
        <v>6.9499999999999996E-3</v>
      </c>
      <c r="C7" s="14">
        <v>1.0000000000000001E-5</v>
      </c>
      <c r="D7">
        <v>8.98</v>
      </c>
      <c r="E7" s="1">
        <v>3.9E-2</v>
      </c>
      <c r="F7" s="1">
        <v>1E-3</v>
      </c>
      <c r="G7" s="1">
        <v>100</v>
      </c>
      <c r="H7" s="1">
        <v>5</v>
      </c>
      <c r="I7" s="1">
        <f>'Count-&gt;Actual Activity'!F7</f>
        <v>0.54516262235006907</v>
      </c>
      <c r="J7" s="1">
        <f>'Count-&gt;Actual Activity'!G7</f>
        <v>0.15745067498955981</v>
      </c>
      <c r="K7" s="1">
        <v>10</v>
      </c>
      <c r="L7" s="1">
        <v>0.02</v>
      </c>
      <c r="M7">
        <f t="shared" si="0"/>
        <v>5.4516262235006906E-2</v>
      </c>
      <c r="N7">
        <f t="shared" si="1"/>
        <v>1.5745445012386033E-2</v>
      </c>
      <c r="O7">
        <f>B7*Parameters!$B$6</f>
        <v>6.4061380281690141</v>
      </c>
      <c r="P7">
        <f>SQRT((C7/B7)^2+(Parameters!$C$6/Parameters!$B$6)^2)*'Bottle Results'!O7</f>
        <v>0.28157696433321128</v>
      </c>
      <c r="Q7">
        <f t="shared" si="2"/>
        <v>24.474661658162134</v>
      </c>
      <c r="S7">
        <f t="shared" si="3"/>
        <v>0.14899956892454583</v>
      </c>
    </row>
    <row r="8" spans="1:19" ht="15.75" customHeight="1" x14ac:dyDescent="0.25">
      <c r="A8" t="s">
        <v>92</v>
      </c>
      <c r="B8" s="14">
        <v>3.4799999999999998E-2</v>
      </c>
      <c r="C8" s="14">
        <v>1E-4</v>
      </c>
      <c r="D8">
        <v>9</v>
      </c>
      <c r="E8" s="1">
        <v>4.9000000000000002E-2</v>
      </c>
      <c r="F8" s="1">
        <v>1E-3</v>
      </c>
      <c r="G8" s="1">
        <v>100</v>
      </c>
      <c r="H8" s="1">
        <v>5</v>
      </c>
      <c r="I8" s="1">
        <f>'Count-&gt;Actual Activity'!F8</f>
        <v>2.4026873958317645</v>
      </c>
      <c r="J8" s="1">
        <f>'Count-&gt;Actual Activity'!G8</f>
        <v>0.15745067498955981</v>
      </c>
      <c r="K8" s="1">
        <v>10</v>
      </c>
      <c r="L8" s="1">
        <v>0.02</v>
      </c>
      <c r="M8">
        <f t="shared" si="0"/>
        <v>0.24026873958317646</v>
      </c>
      <c r="N8">
        <f t="shared" si="1"/>
        <v>1.5752398763856999E-2</v>
      </c>
      <c r="O8">
        <f>B8*Parameters!$B$6</f>
        <v>32.076777464788734</v>
      </c>
      <c r="P8">
        <f>SQRT((C8/B8)^2+(Parameters!$C$6/Parameters!$B$6)^2)*'Bottle Results'!O8</f>
        <v>1.412166343341188</v>
      </c>
      <c r="Q8">
        <f t="shared" si="2"/>
        <v>164.28374503002215</v>
      </c>
      <c r="S8">
        <f t="shared" si="3"/>
        <v>0.25095736363503512</v>
      </c>
    </row>
    <row r="9" spans="1:19" x14ac:dyDescent="0.25">
      <c r="A9" t="s">
        <v>93</v>
      </c>
      <c r="B9" s="14">
        <v>3.4799999999999998E-2</v>
      </c>
      <c r="C9" s="14">
        <v>1E-4</v>
      </c>
      <c r="D9">
        <v>8.98</v>
      </c>
      <c r="E9" s="1">
        <v>3.9E-2</v>
      </c>
      <c r="F9" s="1">
        <v>1E-3</v>
      </c>
      <c r="G9" s="1">
        <v>100</v>
      </c>
      <c r="H9" s="1">
        <v>5</v>
      </c>
      <c r="I9" s="1">
        <f>'Count-&gt;Actual Activity'!F9</f>
        <v>2.5579012213548022</v>
      </c>
      <c r="J9" s="1">
        <f>'Count-&gt;Actual Activity'!G9</f>
        <v>0.15745067498955981</v>
      </c>
      <c r="K9" s="1">
        <v>10</v>
      </c>
      <c r="L9" s="1">
        <v>0.02</v>
      </c>
      <c r="M9">
        <f t="shared" si="0"/>
        <v>0.25579012213548025</v>
      </c>
      <c r="N9">
        <f t="shared" si="1"/>
        <v>1.5753376301384042E-2</v>
      </c>
      <c r="O9">
        <f>B9*Parameters!$B$6</f>
        <v>32.076777464788734</v>
      </c>
      <c r="P9">
        <f>SQRT((C9/B9)^2+(Parameters!$C$6/Parameters!$B$6)^2)*'Bottle Results'!O9</f>
        <v>1.412166343341188</v>
      </c>
      <c r="Q9">
        <f t="shared" si="2"/>
        <v>166.6093654164284</v>
      </c>
      <c r="S9">
        <f t="shared" si="3"/>
        <v>0.2025691408176343</v>
      </c>
    </row>
    <row r="10" spans="1:19" x14ac:dyDescent="0.25">
      <c r="A10" t="s">
        <v>94</v>
      </c>
      <c r="B10" s="14">
        <v>3.4799999999999998E-2</v>
      </c>
      <c r="C10" s="14">
        <v>1E-4</v>
      </c>
      <c r="D10">
        <v>8.98</v>
      </c>
      <c r="E10" s="1">
        <v>3.9E-2</v>
      </c>
      <c r="F10" s="1">
        <v>1E-3</v>
      </c>
      <c r="G10" s="1">
        <v>100</v>
      </c>
      <c r="H10" s="1">
        <v>5</v>
      </c>
      <c r="I10" s="1">
        <f>'Count-&gt;Actual Activity'!F10</f>
        <v>2.4024220730530876</v>
      </c>
      <c r="J10" s="1">
        <f>'Count-&gt;Actual Activity'!G10</f>
        <v>0.15745067498955981</v>
      </c>
      <c r="K10" s="1">
        <v>10</v>
      </c>
      <c r="L10" s="1">
        <v>0.02</v>
      </c>
      <c r="M10">
        <f t="shared" si="0"/>
        <v>0.24024220730530876</v>
      </c>
      <c r="N10">
        <f t="shared" si="1"/>
        <v>1.5752397145176466E-2</v>
      </c>
      <c r="O10">
        <f>B10*Parameters!$B$6</f>
        <v>32.076777464788734</v>
      </c>
      <c r="P10">
        <f>SQRT((C10/B10)^2+(Parameters!$C$6/Parameters!$B$6)^2)*'Bottle Results'!O10</f>
        <v>1.412166343341188</v>
      </c>
      <c r="Q10">
        <f t="shared" si="2"/>
        <v>206.47581369891938</v>
      </c>
      <c r="S10">
        <f t="shared" si="3"/>
        <v>0.25104007854583565</v>
      </c>
    </row>
    <row r="11" spans="1:19" x14ac:dyDescent="0.25">
      <c r="A11" t="s">
        <v>95</v>
      </c>
      <c r="B11" s="14">
        <v>6.9500000000000006E-2</v>
      </c>
      <c r="C11" s="14">
        <v>1E-4</v>
      </c>
      <c r="D11">
        <v>8.9700000000000006</v>
      </c>
      <c r="E11" s="1">
        <v>4.2999999999999997E-2</v>
      </c>
      <c r="F11" s="1">
        <v>1E-3</v>
      </c>
      <c r="G11" s="1">
        <v>100</v>
      </c>
      <c r="H11" s="1">
        <v>5</v>
      </c>
      <c r="I11" s="1">
        <f>'Count-&gt;Actual Activity'!F11</f>
        <v>4.8148694381269772</v>
      </c>
      <c r="J11" s="1">
        <f>'Count-&gt;Actual Activity'!G11</f>
        <v>0.15745067498955981</v>
      </c>
      <c r="K11" s="1">
        <v>10</v>
      </c>
      <c r="L11" s="1">
        <v>0.02</v>
      </c>
      <c r="M11">
        <f t="shared" si="0"/>
        <v>0.48148694381269774</v>
      </c>
      <c r="N11">
        <f t="shared" si="1"/>
        <v>1.577448792369909E-2</v>
      </c>
      <c r="O11">
        <f>B11*Parameters!$B$6</f>
        <v>64.061380281690148</v>
      </c>
      <c r="P11">
        <f>SQRT((C11/B11)^2+(Parameters!$C$6/Parameters!$B$6)^2)*'Bottle Results'!O11</f>
        <v>2.8157696433321129</v>
      </c>
      <c r="Q11">
        <f t="shared" si="2"/>
        <v>370.06246280047378</v>
      </c>
      <c r="S11">
        <f t="shared" si="3"/>
        <v>0.24839748738552378</v>
      </c>
    </row>
    <row r="12" spans="1:19" x14ac:dyDescent="0.25">
      <c r="A12" t="s">
        <v>96</v>
      </c>
      <c r="B12" s="14">
        <v>6.9500000000000006E-2</v>
      </c>
      <c r="C12" s="14">
        <v>1E-4</v>
      </c>
      <c r="D12">
        <v>8.98</v>
      </c>
      <c r="E12" s="1">
        <v>3.9E-2</v>
      </c>
      <c r="F12" s="1">
        <v>1E-3</v>
      </c>
      <c r="G12" s="1">
        <v>100</v>
      </c>
      <c r="H12" s="1">
        <v>5</v>
      </c>
      <c r="I12" s="1">
        <f>'Count-&gt;Actual Activity'!F12</f>
        <v>4.7770609421662371</v>
      </c>
      <c r="J12" s="1">
        <f>'Count-&gt;Actual Activity'!G12</f>
        <v>0.15745067498955981</v>
      </c>
      <c r="K12" s="1">
        <v>10</v>
      </c>
      <c r="L12" s="1">
        <v>0.02</v>
      </c>
      <c r="M12">
        <f t="shared" si="0"/>
        <v>0.47770609421662369</v>
      </c>
      <c r="N12">
        <f t="shared" si="1"/>
        <v>1.5774028115750485E-2</v>
      </c>
      <c r="O12">
        <f>B12*Parameters!$B$6</f>
        <v>64.061380281690148</v>
      </c>
      <c r="P12">
        <f>SQRT((C12/B12)^2+(Parameters!$C$6/Parameters!$B$6)^2)*'Bottle Results'!O12</f>
        <v>2.8157696433321129</v>
      </c>
      <c r="Q12">
        <f t="shared" si="2"/>
        <v>417.71207333404556</v>
      </c>
      <c r="S12">
        <f t="shared" si="3"/>
        <v>0.25429940454598604</v>
      </c>
    </row>
    <row r="13" spans="1:19" x14ac:dyDescent="0.25">
      <c r="A13" t="s">
        <v>97</v>
      </c>
      <c r="B13" s="14">
        <v>6.9500000000000006E-2</v>
      </c>
      <c r="C13" s="14">
        <v>1E-4</v>
      </c>
      <c r="D13">
        <v>8.99</v>
      </c>
      <c r="E13" s="1">
        <v>4.3999999999999997E-2</v>
      </c>
      <c r="F13" s="1">
        <v>1E-3</v>
      </c>
      <c r="G13" s="1">
        <v>100</v>
      </c>
      <c r="H13" s="1">
        <v>5</v>
      </c>
      <c r="I13" s="1">
        <f>'Count-&gt;Actual Activity'!F13</f>
        <v>4.7817040907929842</v>
      </c>
      <c r="J13" s="1">
        <f>'Count-&gt;Actual Activity'!G13</f>
        <v>0.15745067498955981</v>
      </c>
      <c r="K13" s="1">
        <v>10</v>
      </c>
      <c r="L13" s="1">
        <v>0.02</v>
      </c>
      <c r="M13">
        <f t="shared" si="0"/>
        <v>0.47817040907929842</v>
      </c>
      <c r="N13">
        <f t="shared" si="1"/>
        <v>1.5774084388868858E-2</v>
      </c>
      <c r="O13">
        <f>B13*Parameters!$B$6</f>
        <v>64.061380281690148</v>
      </c>
      <c r="P13">
        <f>SQRT((C13/B13)^2+(Parameters!$C$6/Parameters!$B$6)^2)*'Bottle Results'!O13</f>
        <v>2.8157696433321129</v>
      </c>
      <c r="Q13">
        <f t="shared" si="2"/>
        <v>369.18953122182512</v>
      </c>
      <c r="S13">
        <f t="shared" si="3"/>
        <v>0.25357460770172036</v>
      </c>
    </row>
    <row r="14" spans="1:19" x14ac:dyDescent="0.25">
      <c r="A14" t="s">
        <v>98</v>
      </c>
      <c r="B14" s="14">
        <v>0.17399999999999999</v>
      </c>
      <c r="C14" s="14">
        <v>1E-3</v>
      </c>
      <c r="D14">
        <v>8.9700000000000006</v>
      </c>
      <c r="E14" s="1">
        <v>4.8000000000000001E-2</v>
      </c>
      <c r="F14" s="1">
        <v>1E-3</v>
      </c>
      <c r="G14" s="1">
        <v>100</v>
      </c>
      <c r="H14" s="1">
        <v>5</v>
      </c>
      <c r="I14" s="1">
        <f>'Count-&gt;Actual Activity'!F14</f>
        <v>12.288216144977248</v>
      </c>
      <c r="J14" s="1">
        <f>'Count-&gt;Actual Activity'!G14</f>
        <v>0.15745067498955981</v>
      </c>
      <c r="K14" s="1">
        <v>10</v>
      </c>
      <c r="L14" s="1">
        <v>0.02</v>
      </c>
      <c r="M14">
        <f t="shared" si="0"/>
        <v>1.2288216144977249</v>
      </c>
      <c r="N14">
        <f t="shared" si="1"/>
        <v>1.5935719650762785E-2</v>
      </c>
      <c r="O14">
        <f>B14*Parameters!$B$6</f>
        <v>160.38388732394367</v>
      </c>
      <c r="P14">
        <f>SQRT((C14/B14)^2+(Parameters!$C$6/Parameters!$B$6)^2)*'Bottle Results'!O14</f>
        <v>7.1058114920202442</v>
      </c>
      <c r="Q14">
        <f t="shared" si="2"/>
        <v>781.28595571189965</v>
      </c>
      <c r="S14">
        <f t="shared" si="3"/>
        <v>0.23382477192627918</v>
      </c>
    </row>
    <row r="15" spans="1:19" x14ac:dyDescent="0.25">
      <c r="A15" t="s">
        <v>99</v>
      </c>
      <c r="B15" s="14">
        <v>0.17399999999999999</v>
      </c>
      <c r="C15" s="14">
        <v>1E-3</v>
      </c>
      <c r="D15">
        <v>9</v>
      </c>
      <c r="E15" s="1">
        <v>4.7E-2</v>
      </c>
      <c r="F15" s="1">
        <v>1E-3</v>
      </c>
      <c r="G15" s="1">
        <v>100</v>
      </c>
      <c r="H15" s="1">
        <v>5</v>
      </c>
      <c r="I15" s="1">
        <f>'Count-&gt;Actual Activity'!F15</f>
        <v>13.486811797627364</v>
      </c>
      <c r="J15" s="1">
        <f>'Count-&gt;Actual Activity'!G15</f>
        <v>0.15745067498955981</v>
      </c>
      <c r="K15" s="1">
        <v>10</v>
      </c>
      <c r="L15" s="1">
        <v>0.02</v>
      </c>
      <c r="M15">
        <f t="shared" si="0"/>
        <v>1.3486811797627365</v>
      </c>
      <c r="N15">
        <f t="shared" si="1"/>
        <v>1.5974445663160419E-2</v>
      </c>
      <c r="O15">
        <f>B15*Parameters!$B$6</f>
        <v>160.38388732394367</v>
      </c>
      <c r="P15">
        <f>SQRT((C15/B15)^2+(Parameters!$C$6/Parameters!$B$6)^2)*'Bottle Results'!O15</f>
        <v>7.1058114920202442</v>
      </c>
      <c r="Q15">
        <f t="shared" si="2"/>
        <v>542.88870952489401</v>
      </c>
      <c r="S15">
        <f t="shared" si="3"/>
        <v>0.15909185001940512</v>
      </c>
    </row>
    <row r="16" spans="1:19" x14ac:dyDescent="0.25">
      <c r="A16" t="s">
        <v>100</v>
      </c>
      <c r="B16" s="14">
        <v>0.17399999999999999</v>
      </c>
      <c r="C16" s="14">
        <v>1E-3</v>
      </c>
      <c r="D16">
        <v>9.02</v>
      </c>
      <c r="E16" s="1">
        <v>0.03</v>
      </c>
      <c r="F16" s="1">
        <v>1E-3</v>
      </c>
      <c r="G16" s="1">
        <v>100</v>
      </c>
      <c r="H16" s="1">
        <v>5</v>
      </c>
      <c r="I16" s="1">
        <f>'Count-&gt;Actual Activity'!F16</f>
        <v>12.692037414115809</v>
      </c>
      <c r="J16" s="1">
        <f>'Count-&gt;Actual Activity'!G16</f>
        <v>0.15745067498955981</v>
      </c>
      <c r="K16" s="1">
        <v>10</v>
      </c>
      <c r="L16" s="1">
        <v>0.02</v>
      </c>
      <c r="M16">
        <f t="shared" si="0"/>
        <v>1.2692037414115809</v>
      </c>
      <c r="N16">
        <f t="shared" si="1"/>
        <v>1.5948374935883986E-2</v>
      </c>
      <c r="O16">
        <f>B16*Parameters!$B$6</f>
        <v>160.38388732394367</v>
      </c>
      <c r="P16">
        <f>SQRT((C16/B16)^2+(Parameters!$C$6/Parameters!$B$6)^2)*'Bottle Results'!O16</f>
        <v>7.1058114920202442</v>
      </c>
      <c r="Q16">
        <f t="shared" si="2"/>
        <v>1115.450439426186</v>
      </c>
      <c r="S16">
        <f t="shared" si="3"/>
        <v>0.20864635307907153</v>
      </c>
    </row>
    <row r="17" spans="1:19" x14ac:dyDescent="0.25">
      <c r="A17" t="s">
        <v>101</v>
      </c>
      <c r="B17" s="14">
        <v>0.34799999999999998</v>
      </c>
      <c r="C17" s="14">
        <v>1E-3</v>
      </c>
      <c r="D17">
        <v>8.99</v>
      </c>
      <c r="E17" s="1">
        <v>4.7E-2</v>
      </c>
      <c r="F17" s="1">
        <v>1E-3</v>
      </c>
      <c r="G17" s="1">
        <v>100</v>
      </c>
      <c r="H17" s="1">
        <v>5</v>
      </c>
      <c r="I17" s="1">
        <f>'Count-&gt;Actual Activity'!F17</f>
        <v>24.535515608470288</v>
      </c>
      <c r="J17" s="1">
        <f>'Count-&gt;Actual Activity'!G17</f>
        <v>0.15745067498955981</v>
      </c>
      <c r="K17" s="1">
        <v>10</v>
      </c>
      <c r="L17" s="1">
        <v>0.02</v>
      </c>
      <c r="M17">
        <f t="shared" si="0"/>
        <v>2.4535515608470289</v>
      </c>
      <c r="N17">
        <f t="shared" si="1"/>
        <v>1.649202266532579E-2</v>
      </c>
      <c r="O17">
        <f>B17*Parameters!$B$6</f>
        <v>320.76777464788734</v>
      </c>
      <c r="P17">
        <f>SQRT((C17/B17)^2+(Parameters!$C$6/Parameters!$B$6)^2)*'Bottle Results'!O17</f>
        <v>14.121663433411879</v>
      </c>
      <c r="Q17">
        <f t="shared" si="2"/>
        <v>1604.5237992166906</v>
      </c>
      <c r="S17">
        <f t="shared" si="3"/>
        <v>0.23510035771506743</v>
      </c>
    </row>
    <row r="18" spans="1:19" x14ac:dyDescent="0.25">
      <c r="A18" t="s">
        <v>102</v>
      </c>
      <c r="B18" s="14">
        <v>0.34799999999999998</v>
      </c>
      <c r="C18" s="14">
        <v>1E-3</v>
      </c>
      <c r="D18">
        <v>8.98</v>
      </c>
      <c r="E18" s="1">
        <v>4.1000000000000002E-2</v>
      </c>
      <c r="F18" s="1">
        <v>1E-3</v>
      </c>
      <c r="G18" s="1">
        <v>100</v>
      </c>
      <c r="H18" s="1">
        <v>5</v>
      </c>
      <c r="I18" s="1">
        <f>'Count-&gt;Actual Activity'!F18</f>
        <v>26.13846317581638</v>
      </c>
      <c r="J18" s="1">
        <f>'Count-&gt;Actual Activity'!G18</f>
        <v>0.15745067498955981</v>
      </c>
      <c r="K18" s="1">
        <v>10</v>
      </c>
      <c r="L18" s="1">
        <v>0.02</v>
      </c>
      <c r="M18">
        <f t="shared" si="0"/>
        <v>2.613846317581638</v>
      </c>
      <c r="N18">
        <f t="shared" si="1"/>
        <v>1.6590235707620922E-2</v>
      </c>
      <c r="O18">
        <f>B18*Parameters!$B$6</f>
        <v>320.76777464788734</v>
      </c>
      <c r="P18">
        <f>SQRT((C18/B18)^2+(Parameters!$C$6/Parameters!$B$6)^2)*'Bottle Results'!O18</f>
        <v>14.121663433411879</v>
      </c>
      <c r="Q18">
        <f t="shared" si="2"/>
        <v>1448.3693387737453</v>
      </c>
      <c r="S18">
        <f t="shared" si="3"/>
        <v>0.18512814435586469</v>
      </c>
    </row>
    <row r="19" spans="1:19" x14ac:dyDescent="0.25">
      <c r="A19" t="s">
        <v>103</v>
      </c>
      <c r="B19" s="14">
        <v>0.34799999999999998</v>
      </c>
      <c r="C19" s="14">
        <v>1E-3</v>
      </c>
      <c r="D19">
        <v>9</v>
      </c>
      <c r="E19" s="1">
        <v>0.04</v>
      </c>
      <c r="F19" s="1">
        <v>1E-3</v>
      </c>
      <c r="G19" s="1">
        <v>100</v>
      </c>
      <c r="H19" s="1">
        <v>5</v>
      </c>
      <c r="I19" s="1">
        <f>'Count-&gt;Actual Activity'!F19</f>
        <v>26.392642397783913</v>
      </c>
      <c r="J19" s="1">
        <f>'Count-&gt;Actual Activity'!G19</f>
        <v>0.15745067498955981</v>
      </c>
      <c r="K19" s="1">
        <v>10</v>
      </c>
      <c r="L19" s="1">
        <v>0.02</v>
      </c>
      <c r="M19">
        <f t="shared" si="0"/>
        <v>2.6392642397783912</v>
      </c>
      <c r="N19">
        <f t="shared" si="1"/>
        <v>1.6606324501712351E-2</v>
      </c>
      <c r="O19">
        <f>B19*Parameters!$B$6</f>
        <v>320.76777464788734</v>
      </c>
      <c r="P19">
        <f>SQRT((C19/B19)^2+(Parameters!$C$6/Parameters!$B$6)^2)*'Bottle Results'!O19</f>
        <v>14.121663433411879</v>
      </c>
      <c r="Q19">
        <f t="shared" si="2"/>
        <v>1421.0337667512049</v>
      </c>
      <c r="S19">
        <f t="shared" si="3"/>
        <v>0.1772040559013261</v>
      </c>
    </row>
  </sheetData>
  <conditionalFormatting sqref="I2:I19">
    <cfRule type="cellIs" dxfId="0" priority="1" operator="lessThan">
      <formula>0.209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B3" sqref="B3:K7"/>
    </sheetView>
  </sheetViews>
  <sheetFormatPr defaultRowHeight="15" x14ac:dyDescent="0.25"/>
  <sheetData>
    <row r="1" spans="1:12" x14ac:dyDescent="0.25">
      <c r="A1" t="s">
        <v>15</v>
      </c>
      <c r="B1" t="s">
        <v>29</v>
      </c>
      <c r="C1" t="s">
        <v>104</v>
      </c>
      <c r="D1" t="s">
        <v>31</v>
      </c>
      <c r="E1" t="s">
        <v>105</v>
      </c>
      <c r="F1" t="s">
        <v>106</v>
      </c>
      <c r="G1" t="s">
        <v>107</v>
      </c>
      <c r="H1" t="s">
        <v>108</v>
      </c>
      <c r="I1" t="s">
        <v>109</v>
      </c>
      <c r="J1" t="s">
        <v>110</v>
      </c>
      <c r="K1" t="s">
        <v>124</v>
      </c>
      <c r="L1" t="s">
        <v>7</v>
      </c>
    </row>
    <row r="2" spans="1:12" x14ac:dyDescent="0.25">
      <c r="A2">
        <v>0</v>
      </c>
      <c r="B2">
        <f>AVERAGE('Bottle Results'!M2:M4)</f>
        <v>1.7662928277485654E-2</v>
      </c>
      <c r="C2">
        <f>_xlfn.STDEV.S('Bottle Results'!M2:M4)</f>
        <v>1.0134496636294108E-3</v>
      </c>
      <c r="D2">
        <f>AVERAGE('Bottle Results'!Q2:Q4)</f>
        <v>-43.815401480983532</v>
      </c>
      <c r="E2">
        <f>_xlfn.STDEV.S('Bottle Results'!Q2:Q4)</f>
        <v>10.824950418133447</v>
      </c>
      <c r="F2">
        <f>AVERAGE('Bottle Results'!O2:O4)</f>
        <v>0</v>
      </c>
      <c r="G2" t="e">
        <f>AVERAGE('Bottle Results'!S2:S4)</f>
        <v>#DIV/0!</v>
      </c>
      <c r="I2">
        <f>AVERAGE('Bottle Results'!D2:D4)</f>
        <v>9</v>
      </c>
      <c r="J2">
        <f>_xlfn.STDEV.S('Bottle Results'!D2:D4)</f>
        <v>0</v>
      </c>
      <c r="K2">
        <v>0</v>
      </c>
      <c r="L2" t="s">
        <v>125</v>
      </c>
    </row>
    <row r="3" spans="1:12" x14ac:dyDescent="0.25">
      <c r="A3">
        <v>10</v>
      </c>
      <c r="B3">
        <f>AVERAGE('Bottle Results'!M5:M7)</f>
        <v>6.0057086262937605E-2</v>
      </c>
      <c r="C3">
        <f>_xlfn.STDEV.S('Bottle Results'!M5:M7)</f>
        <v>4.8113550554297457E-3</v>
      </c>
      <c r="D3">
        <f>AVERAGE('Bottle Results'!Q5:Q7)</f>
        <v>10.279792909169773</v>
      </c>
      <c r="E3">
        <f>_xlfn.STDEV.S('Bottle Results'!Q5:Q7)</f>
        <v>12.353667306062254</v>
      </c>
      <c r="F3">
        <f>AVERAGE('Bottle Results'!O5:O7)</f>
        <v>6.4061380281690141</v>
      </c>
      <c r="G3">
        <f>AVERAGE('Bottle Results'!S5:S7)</f>
        <v>6.2507145508649498E-2</v>
      </c>
      <c r="H3">
        <f>_xlfn.STDEV.S('Bottle Results'!S5:S7)</f>
        <v>7.5105391645844913E-2</v>
      </c>
      <c r="I3">
        <f>AVERAGE('Bottle Results'!D5:D7)</f>
        <v>8.99</v>
      </c>
      <c r="J3">
        <f>_xlfn.STDEV.S('Bottle Results'!D5:D7)</f>
        <v>1.7320508075688402E-2</v>
      </c>
      <c r="K3">
        <f>COUNT('Bottle Results'!I5:I7)</f>
        <v>3</v>
      </c>
    </row>
    <row r="4" spans="1:12" x14ac:dyDescent="0.25">
      <c r="A4">
        <v>50</v>
      </c>
      <c r="B4">
        <f>AVERAGE('Bottle Results'!M8:M10)</f>
        <v>0.24543368967465518</v>
      </c>
      <c r="C4">
        <f>_xlfn.STDEV.S('Bottle Results'!M8:M10)</f>
        <v>8.9689434147599539E-3</v>
      </c>
      <c r="D4">
        <f>AVERAGE('Bottle Results'!Q8:Q10)</f>
        <v>179.12297471512332</v>
      </c>
      <c r="E4">
        <f>_xlfn.STDEV.S('Bottle Results'!Q8:Q10)</f>
        <v>23.71677629654836</v>
      </c>
      <c r="F4">
        <f>AVERAGE('Bottle Results'!O8:O10)</f>
        <v>32.076777464788734</v>
      </c>
      <c r="G4">
        <f>AVERAGE('Bottle Results'!S8:S10)</f>
        <v>0.23485552766616835</v>
      </c>
      <c r="H4">
        <f>_xlfn.STDEV.S('Bottle Results'!S8:S10)</f>
        <v>2.7960861793568024E-2</v>
      </c>
      <c r="I4">
        <f>AVERAGE('Bottle Results'!D8:D10)</f>
        <v>8.9866666666666664</v>
      </c>
      <c r="J4">
        <f>_xlfn.STDEV.S('Bottle Results'!D8:D10)</f>
        <v>1.154700538379227E-2</v>
      </c>
      <c r="K4">
        <f>COUNT('Bottle Results'!I8:I10)</f>
        <v>3</v>
      </c>
    </row>
    <row r="5" spans="1:12" x14ac:dyDescent="0.25">
      <c r="A5">
        <v>100</v>
      </c>
      <c r="B5">
        <f>AVERAGE('Bottle Results'!M11:M13)</f>
        <v>0.47912114903620662</v>
      </c>
      <c r="C5">
        <f>_xlfn.STDEV.S('Bottle Results'!M11:M13)</f>
        <v>2.061949506239104E-3</v>
      </c>
      <c r="D5">
        <f>AVERAGE('Bottle Results'!Q11:Q13)</f>
        <v>385.6546891187815</v>
      </c>
      <c r="E5">
        <f>_xlfn.STDEV.S('Bottle Results'!Q11:Q13)</f>
        <v>27.765939826143953</v>
      </c>
      <c r="F5">
        <f>AVERAGE('Bottle Results'!O11:O13)</f>
        <v>64.061380281690148</v>
      </c>
      <c r="G5">
        <f>AVERAGE('Bottle Results'!S11:S13)</f>
        <v>0.2520904998777434</v>
      </c>
      <c r="H5">
        <f>_xlfn.STDEV.S('Bottle Results'!S11:S13)</f>
        <v>3.2187091460913267E-3</v>
      </c>
      <c r="I5">
        <f>AVERAGE('Bottle Results'!D11:D13)</f>
        <v>8.9800000000000022</v>
      </c>
      <c r="J5">
        <f>_xlfn.STDEV.S('Bottle Results'!D11:D13)</f>
        <v>9.9999999999997868E-3</v>
      </c>
      <c r="K5">
        <f>COUNT('Bottle Results'!I11:I13)</f>
        <v>3</v>
      </c>
    </row>
    <row r="6" spans="1:12" x14ac:dyDescent="0.25">
      <c r="A6">
        <v>250</v>
      </c>
      <c r="B6">
        <f>AVERAGE('Bottle Results'!M14:M16)</f>
        <v>1.2822355118906807</v>
      </c>
      <c r="C6">
        <f>_xlfn.STDEV.S('Bottle Results'!M14:M16)</f>
        <v>6.0983187254720864E-2</v>
      </c>
      <c r="D6">
        <f>AVERAGE('Bottle Results'!Q14:Q16)</f>
        <v>813.20836822099318</v>
      </c>
      <c r="E6">
        <f>_xlfn.STDEV.S('Bottle Results'!Q14:Q16)</f>
        <v>287.61261090604239</v>
      </c>
      <c r="F6">
        <f>AVERAGE('Bottle Results'!O14:O16)</f>
        <v>160.38388732394367</v>
      </c>
      <c r="G6">
        <f>AVERAGE('Bottle Results'!S14:S16)</f>
        <v>0.20052099167491863</v>
      </c>
      <c r="H6">
        <f>_xlfn.STDEV.S('Bottle Results'!S14:S16)</f>
        <v>3.8023262979994171E-2</v>
      </c>
      <c r="I6">
        <f>AVERAGE('Bottle Results'!D14:D16)</f>
        <v>8.9966666666666661</v>
      </c>
      <c r="J6">
        <f>_xlfn.STDEV.S('Bottle Results'!D14:D16)</f>
        <v>2.5166114784235295E-2</v>
      </c>
      <c r="K6">
        <f>COUNT('Bottle Results'!I14:I16)</f>
        <v>3</v>
      </c>
    </row>
    <row r="7" spans="1:12" x14ac:dyDescent="0.25">
      <c r="A7">
        <v>500</v>
      </c>
      <c r="B7">
        <f>AVERAGE('Bottle Results'!M17:M19)</f>
        <v>2.568887372735686</v>
      </c>
      <c r="C7">
        <f>_xlfn.STDEV.S('Bottle Results'!M17:M19)</f>
        <v>0.1006890253215902</v>
      </c>
      <c r="D7">
        <f>AVERAGE('Bottle Results'!Q17:Q19)</f>
        <v>1491.3089682472137</v>
      </c>
      <c r="E7">
        <f>_xlfn.STDEV.S('Bottle Results'!Q17:Q19)</f>
        <v>98.99498390340446</v>
      </c>
      <c r="F7">
        <f>AVERAGE('Bottle Results'!O17:O19)</f>
        <v>320.76777464788734</v>
      </c>
      <c r="G7">
        <f>AVERAGE('Bottle Results'!S17:S19)</f>
        <v>0.1991441859907527</v>
      </c>
      <c r="H7">
        <f>_xlfn.STDEV.S('Bottle Results'!S17:S19)</f>
        <v>3.1390006503028339E-2</v>
      </c>
      <c r="I7">
        <f>AVERAGE('Bottle Results'!D17:D19)</f>
        <v>8.99</v>
      </c>
      <c r="J7">
        <f>_xlfn.STDEV.S('Bottle Results'!D17:D19)</f>
        <v>9.9999999999997868E-3</v>
      </c>
      <c r="K7">
        <f>COUNT('Bottle Results'!I17:I19)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2017-07-06T22:30:43Z</dcterms:modified>
</cp:coreProperties>
</file>