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ABW_7_11_2017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G13" i="5" s="1"/>
  <c r="F12" i="5"/>
  <c r="G12" i="5" s="1"/>
  <c r="F11" i="5"/>
  <c r="G11" i="5" s="1"/>
  <c r="C13" i="5"/>
  <c r="C12" i="5"/>
  <c r="C11" i="5"/>
  <c r="C10" i="5"/>
  <c r="C9" i="5"/>
  <c r="C8" i="5"/>
  <c r="C7" i="5"/>
  <c r="C6" i="5"/>
  <c r="C5" i="5"/>
  <c r="C4" i="5"/>
  <c r="C3" i="5"/>
  <c r="C2" i="5"/>
  <c r="B3" i="5"/>
  <c r="B4" i="5"/>
  <c r="B5" i="5"/>
  <c r="B6" i="5"/>
  <c r="B7" i="5"/>
  <c r="B8" i="5"/>
  <c r="B9" i="5"/>
  <c r="B10" i="5"/>
  <c r="B11" i="5"/>
  <c r="B12" i="5"/>
  <c r="B13" i="5"/>
  <c r="B2" i="5"/>
  <c r="C9" i="1"/>
  <c r="C6" i="1"/>
  <c r="B6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D10" i="10"/>
  <c r="C10" i="10"/>
  <c r="E10" i="10" s="1"/>
  <c r="H9" i="10"/>
  <c r="F9" i="10"/>
  <c r="G9" i="10" s="1"/>
  <c r="D9" i="10"/>
  <c r="J9" i="10" s="1"/>
  <c r="C9" i="10"/>
  <c r="E9" i="10" s="1"/>
  <c r="J8" i="10"/>
  <c r="H8" i="10"/>
  <c r="E8" i="10"/>
  <c r="D8" i="10"/>
  <c r="H7" i="10"/>
  <c r="F7" i="10"/>
  <c r="G8" i="10" s="1"/>
  <c r="E7" i="10"/>
  <c r="D7" i="10"/>
  <c r="J7" i="10" s="1"/>
  <c r="H6" i="10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J2" i="10"/>
  <c r="K2" i="10" s="1"/>
  <c r="G2" i="10"/>
  <c r="E2" i="10"/>
  <c r="D2" i="10"/>
  <c r="H2" i="10" s="1"/>
  <c r="I2" i="10" s="1"/>
  <c r="I8" i="10" l="1"/>
  <c r="K9" i="10"/>
  <c r="G7" i="10"/>
  <c r="K7" i="10" s="1"/>
  <c r="I7" i="10"/>
  <c r="G5" i="10"/>
  <c r="K5" i="10" s="1"/>
  <c r="I9" i="10"/>
  <c r="G4" i="10"/>
  <c r="K4" i="10" s="1"/>
  <c r="G6" i="10"/>
  <c r="I6" i="10" s="1"/>
  <c r="K8" i="10"/>
  <c r="H5" i="10"/>
  <c r="G3" i="10"/>
  <c r="K3" i="10" s="1"/>
  <c r="H4" i="10"/>
  <c r="H3" i="10"/>
  <c r="I4" i="10" l="1"/>
  <c r="K6" i="10"/>
  <c r="K11" i="10" s="1"/>
  <c r="I5" i="10"/>
  <c r="I3" i="10"/>
  <c r="J5" i="8"/>
  <c r="J4" i="8"/>
  <c r="J3" i="8"/>
  <c r="I5" i="8"/>
  <c r="I4" i="8"/>
  <c r="I3" i="8"/>
  <c r="J2" i="8"/>
  <c r="I2" i="8"/>
  <c r="I11" i="10" l="1"/>
  <c r="F3" i="2"/>
  <c r="F4" i="2"/>
  <c r="F5" i="2"/>
  <c r="F6" i="2"/>
  <c r="F7" i="2"/>
  <c r="F8" i="2"/>
  <c r="F9" i="2"/>
  <c r="F10" i="2"/>
  <c r="F11" i="2"/>
  <c r="F12" i="2"/>
  <c r="F13" i="2"/>
  <c r="F14" i="2"/>
  <c r="B9" i="1" s="1"/>
  <c r="F15" i="2"/>
  <c r="F16" i="2"/>
  <c r="F2" i="2"/>
  <c r="C8" i="1" l="1"/>
  <c r="B8" i="1"/>
  <c r="K12" i="5"/>
  <c r="K11" i="5"/>
  <c r="J10" i="5"/>
  <c r="N10" i="5" s="1"/>
  <c r="K10" i="5"/>
  <c r="K3" i="5"/>
  <c r="J3" i="5"/>
  <c r="N3" i="5" s="1"/>
  <c r="K9" i="5"/>
  <c r="J9" i="5"/>
  <c r="N9" i="5" s="1"/>
  <c r="J8" i="5"/>
  <c r="K8" i="5"/>
  <c r="K7" i="5"/>
  <c r="J7" i="5"/>
  <c r="N7" i="5" s="1"/>
  <c r="K6" i="5"/>
  <c r="J6" i="5"/>
  <c r="N6" i="5" s="1"/>
  <c r="K13" i="5"/>
  <c r="J13" i="5"/>
  <c r="N13" i="5" s="1"/>
  <c r="K5" i="5"/>
  <c r="J5" i="5"/>
  <c r="J4" i="5"/>
  <c r="N4" i="5" s="1"/>
  <c r="K4" i="5"/>
  <c r="J12" i="5"/>
  <c r="N12" i="5" s="1"/>
  <c r="J11" i="5"/>
  <c r="K2" i="5"/>
  <c r="N5" i="5" l="1"/>
  <c r="K3" i="8"/>
  <c r="N8" i="5"/>
  <c r="K4" i="8"/>
  <c r="N11" i="5"/>
  <c r="K5" i="8"/>
  <c r="R3" i="5"/>
  <c r="P3" i="5"/>
  <c r="P7" i="5"/>
  <c r="T7" i="5" s="1"/>
  <c r="P11" i="5"/>
  <c r="F5" i="8" s="1"/>
  <c r="Q3" i="5"/>
  <c r="Q7" i="5"/>
  <c r="Q11" i="5"/>
  <c r="P4" i="5"/>
  <c r="P8" i="5"/>
  <c r="P12" i="5"/>
  <c r="R12" i="5" s="1"/>
  <c r="Q4" i="5"/>
  <c r="Q8" i="5"/>
  <c r="Q12" i="5"/>
  <c r="P5" i="5"/>
  <c r="P9" i="5"/>
  <c r="R9" i="5" s="1"/>
  <c r="P13" i="5"/>
  <c r="T13" i="5" s="1"/>
  <c r="Q9" i="5"/>
  <c r="Q13" i="5"/>
  <c r="Q5" i="5"/>
  <c r="P6" i="5"/>
  <c r="T6" i="5" s="1"/>
  <c r="P10" i="5"/>
  <c r="T10" i="5" s="1"/>
  <c r="Q2" i="5"/>
  <c r="Q6" i="5"/>
  <c r="Q10" i="5"/>
  <c r="P2" i="5"/>
  <c r="F2" i="8" s="1"/>
  <c r="R4" i="5"/>
  <c r="O10" i="5"/>
  <c r="O4" i="5"/>
  <c r="O8" i="5"/>
  <c r="O13" i="5"/>
  <c r="O12" i="5"/>
  <c r="O6" i="5"/>
  <c r="O5" i="5"/>
  <c r="O7" i="5"/>
  <c r="O9" i="5"/>
  <c r="O11" i="5"/>
  <c r="O3" i="5"/>
  <c r="T4" i="5"/>
  <c r="R5" i="5"/>
  <c r="B4" i="8"/>
  <c r="C4" i="8"/>
  <c r="R13" i="5"/>
  <c r="T12" i="5"/>
  <c r="T3" i="5"/>
  <c r="R8" i="5"/>
  <c r="T8" i="5"/>
  <c r="C3" i="8"/>
  <c r="B3" i="8"/>
  <c r="T9" i="5"/>
  <c r="R7" i="5"/>
  <c r="C5" i="8"/>
  <c r="B5" i="8"/>
  <c r="R11" i="5"/>
  <c r="J2" i="5"/>
  <c r="R10" i="5" l="1"/>
  <c r="T11" i="5"/>
  <c r="H5" i="8" s="1"/>
  <c r="G5" i="8"/>
  <c r="F4" i="8"/>
  <c r="R6" i="5"/>
  <c r="D3" i="8" s="1"/>
  <c r="N2" i="5"/>
  <c r="O2" i="5" s="1"/>
  <c r="K2" i="8"/>
  <c r="F3" i="8"/>
  <c r="T5" i="5"/>
  <c r="H3" i="8" s="1"/>
  <c r="G3" i="8"/>
  <c r="G4" i="8"/>
  <c r="H4" i="8"/>
  <c r="E3" i="8"/>
  <c r="D5" i="8"/>
  <c r="E5" i="8"/>
  <c r="D4" i="8"/>
  <c r="E4" i="8"/>
  <c r="B2" i="8" l="1"/>
  <c r="T2" i="5"/>
  <c r="R2" i="5"/>
  <c r="C2" i="8"/>
  <c r="E2" i="8"/>
  <c r="D2" i="8"/>
  <c r="G2" i="8" l="1"/>
  <c r="H2" i="8"/>
</calcChain>
</file>

<file path=xl/sharedStrings.xml><?xml version="1.0" encoding="utf-8"?>
<sst xmlns="http://schemas.openxmlformats.org/spreadsheetml/2006/main" count="271" uniqueCount="132">
  <si>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</si>
  <si>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</si>
  <si>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</si>
  <si>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</si>
  <si>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</si>
  <si>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</si>
  <si>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</si>
  <si>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</si>
  <si>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</si>
  <si>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</si>
  <si>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</si>
  <si>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</si>
  <si>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</si>
  <si>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</si>
  <si>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</si>
  <si>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</si>
  <si>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</si>
  <si>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</si>
  <si>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</si>
  <si>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</si>
  <si>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</si>
  <si>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</si>
  <si>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</si>
  <si>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</si>
  <si>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</si>
  <si>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</si>
  <si>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</si>
  <si>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</si>
  <si>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</si>
  <si>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</si>
  <si>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</si>
  <si>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</si>
  <si>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</si>
  <si>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</si>
  <si>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</si>
  <si>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</si>
  <si>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</si>
  <si>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</si>
  <si>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</si>
  <si>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</si>
  <si>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</si>
  <si>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</si>
  <si>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</si>
  <si>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</si>
  <si>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</si>
  <si>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</si>
  <si>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</si>
  <si>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</si>
  <si>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</si>
  <si>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</si>
  <si>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</si>
  <si>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</si>
  <si>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</si>
  <si>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</si>
  <si>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</si>
  <si>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</si>
  <si>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</si>
  <si>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</si>
  <si>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</si>
  <si>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</si>
  <si>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</si>
  <si>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</si>
  <si>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</si>
  <si>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</si>
  <si>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</si>
  <si>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</si>
  <si>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</si>
  <si>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</si>
  <si>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</si>
  <si>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</si>
  <si>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</si>
  <si>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</si>
  <si>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</si>
  <si>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</si>
  <si>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</si>
  <si>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</si>
  <si>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</si>
  <si>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</si>
  <si>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</si>
  <si>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</si>
  <si>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</si>
  <si>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</si>
  <si>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</si>
  <si>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</si>
  <si>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</si>
  <si>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</si>
  <si>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</si>
  <si>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</si>
  <si>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</si>
  <si>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</si>
  <si>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</si>
  <si>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</si>
  <si>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</si>
  <si>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</si>
  <si>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</si>
  <si>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</si>
  <si>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</si>
  <si>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</si>
  <si>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</si>
  <si>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</si>
  <si>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</si>
  <si>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</si>
  <si>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</si>
  <si>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</si>
  <si>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Multiple</t>
  </si>
  <si>
    <t>Initial Stock</t>
  </si>
  <si>
    <t>Final Stock</t>
  </si>
  <si>
    <t>FHY Slurry</t>
  </si>
  <si>
    <t>g/L FHY</t>
  </si>
  <si>
    <t>Initial measurement of Ra in AGW stock</t>
  </si>
  <si>
    <t>Final measurement of Ra in AGW</t>
  </si>
  <si>
    <t>RaGlassABW_1A</t>
  </si>
  <si>
    <t>RaGlassABW_1B</t>
  </si>
  <si>
    <t>RaGlassABW_1C</t>
  </si>
  <si>
    <t>RaGOEABW_1A</t>
  </si>
  <si>
    <t>RaGOEABW_1C</t>
  </si>
  <si>
    <t>RaGOEABW_1B</t>
  </si>
  <si>
    <t>RaMontABW_1A</t>
  </si>
  <si>
    <t>RaMontABW_1B</t>
  </si>
  <si>
    <t>RaMontABW_1C</t>
  </si>
  <si>
    <t>RaFHYABW_1A</t>
  </si>
  <si>
    <t>RaFHYABW_1B</t>
  </si>
  <si>
    <t>RaFHYABW_1C</t>
  </si>
  <si>
    <t>FinalStock</t>
  </si>
  <si>
    <t>InitialStock_5mL</t>
  </si>
  <si>
    <t>InitialStock</t>
  </si>
  <si>
    <t>Slurry Volume (mL)</t>
  </si>
  <si>
    <t>RaGlassABW_1</t>
  </si>
  <si>
    <t>RaGOEABW_1</t>
  </si>
  <si>
    <t>RaMontABW_1</t>
  </si>
  <si>
    <t>RaFHYABW_1</t>
  </si>
  <si>
    <t>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</si>
</sst>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52784"/>
        <c:axId val="226653568"/>
      </c:scatterChart>
      <c:valAx>
        <c:axId val="22665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653568"/>
        <c:crosses val="autoZero"/>
        <c:crossBetween val="midCat"/>
      </c:valAx>
      <c:valAx>
        <c:axId val="22665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652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56704"/>
        <c:axId val="226657096"/>
      </c:scatterChart>
      <c:valAx>
        <c:axId val="2266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657096"/>
        <c:crosses val="autoZero"/>
        <c:crossBetween val="midCat"/>
      </c:valAx>
      <c:valAx>
        <c:axId val="226657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65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0" sqref="B10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42896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104</v>
      </c>
    </row>
    <row r="5" spans="1:5" x14ac:dyDescent="0.25">
      <c r="A5" t="s">
        <v>22</v>
      </c>
      <c r="B5" t="s">
        <v>98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105</v>
      </c>
      <c r="B8">
        <f>AVERAGE('Count-&gt;Actual Activity'!F15/5,'Count-&gt;Actual Activity'!F16/10)</f>
        <v>0.67298429697439288</v>
      </c>
      <c r="C8">
        <f>_xlfn.STDEV.S('Count-&gt;Actual Activity'!F15/5,'Count-&gt;Actual Activity'!F16/10)</f>
        <v>2.0413036897778191E-2</v>
      </c>
      <c r="D8" t="s">
        <v>20</v>
      </c>
      <c r="E8" t="s">
        <v>109</v>
      </c>
    </row>
    <row r="9" spans="1:5" x14ac:dyDescent="0.25">
      <c r="A9" t="s">
        <v>106</v>
      </c>
      <c r="B9">
        <f>'Count-&gt;Actual Activity'!F14/10</f>
        <v>0.64951143749927476</v>
      </c>
      <c r="C9">
        <f>'Count-&gt;Actual Activity'!G14/10</f>
        <v>1.5745067498955982E-2</v>
      </c>
      <c r="D9" t="s">
        <v>20</v>
      </c>
      <c r="E9" t="s">
        <v>110</v>
      </c>
    </row>
    <row r="10" spans="1:5" x14ac:dyDescent="0.25">
      <c r="A10" t="s">
        <v>107</v>
      </c>
      <c r="B10">
        <v>32.102209408675648</v>
      </c>
      <c r="C10">
        <v>0.2103500515048406</v>
      </c>
      <c r="D10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7" workbookViewId="0">
      <selection activeCell="C59" sqref="C59"/>
    </sheetView>
  </sheetViews>
  <sheetFormatPr defaultRowHeight="15" x14ac:dyDescent="0.25"/>
  <cols>
    <col min="1" max="1" width="14.85546875" bestFit="1" customWidth="1"/>
    <col min="2" max="2" width="15.425781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42926.320833333331</v>
      </c>
      <c r="B2" t="s">
        <v>111</v>
      </c>
      <c r="C2">
        <v>1285.9000000000001</v>
      </c>
      <c r="D2">
        <v>1.76</v>
      </c>
      <c r="E2">
        <v>0.02</v>
      </c>
      <c r="F2">
        <v>202.52</v>
      </c>
    </row>
    <row r="3" spans="1:6" x14ac:dyDescent="0.25">
      <c r="A3" s="16">
        <v>42926.320833333331</v>
      </c>
      <c r="B3" t="s">
        <v>112</v>
      </c>
      <c r="C3">
        <v>1207.5999999999999</v>
      </c>
      <c r="D3">
        <v>1.82</v>
      </c>
      <c r="E3">
        <v>0.01</v>
      </c>
      <c r="F3">
        <v>213.15</v>
      </c>
    </row>
    <row r="4" spans="1:6" x14ac:dyDescent="0.25">
      <c r="A4" s="16">
        <v>42926.320833333331</v>
      </c>
      <c r="B4" t="s">
        <v>113</v>
      </c>
      <c r="C4">
        <v>1216.9000000000001</v>
      </c>
      <c r="D4">
        <v>1.81</v>
      </c>
      <c r="E4">
        <v>0.01</v>
      </c>
      <c r="F4">
        <v>223.78</v>
      </c>
    </row>
    <row r="5" spans="1:6" x14ac:dyDescent="0.25">
      <c r="A5" s="16">
        <v>42926.320833333331</v>
      </c>
      <c r="B5" t="s">
        <v>114</v>
      </c>
      <c r="C5">
        <v>1185.4000000000001</v>
      </c>
      <c r="D5">
        <v>1.84</v>
      </c>
      <c r="E5">
        <v>0.01</v>
      </c>
      <c r="F5">
        <v>234.41</v>
      </c>
    </row>
    <row r="6" spans="1:6" x14ac:dyDescent="0.25">
      <c r="A6" s="16">
        <v>42926.320833333331</v>
      </c>
      <c r="B6" t="s">
        <v>116</v>
      </c>
      <c r="C6">
        <v>1204.2</v>
      </c>
      <c r="D6">
        <v>1.82</v>
      </c>
      <c r="E6">
        <v>0.01</v>
      </c>
      <c r="F6">
        <v>245.04</v>
      </c>
    </row>
    <row r="7" spans="1:6" x14ac:dyDescent="0.25">
      <c r="A7" s="16">
        <v>42926.320833333331</v>
      </c>
      <c r="B7" t="s">
        <v>115</v>
      </c>
      <c r="C7">
        <v>1192.7</v>
      </c>
      <c r="D7">
        <v>1.83</v>
      </c>
      <c r="E7">
        <v>0.01</v>
      </c>
      <c r="F7">
        <v>255.68</v>
      </c>
    </row>
    <row r="8" spans="1:6" x14ac:dyDescent="0.25">
      <c r="A8" s="16">
        <v>42926.320833333331</v>
      </c>
      <c r="B8" t="s">
        <v>117</v>
      </c>
      <c r="C8">
        <v>1180.4000000000001</v>
      </c>
      <c r="D8">
        <v>1.84</v>
      </c>
      <c r="E8">
        <v>0.01</v>
      </c>
      <c r="F8">
        <v>266.41000000000003</v>
      </c>
    </row>
    <row r="9" spans="1:6" x14ac:dyDescent="0.25">
      <c r="A9" s="16">
        <v>42926.320833333331</v>
      </c>
      <c r="B9" t="s">
        <v>118</v>
      </c>
      <c r="C9">
        <v>1167.3</v>
      </c>
      <c r="D9">
        <v>1.85</v>
      </c>
      <c r="E9">
        <v>0.02</v>
      </c>
      <c r="F9">
        <v>277.05</v>
      </c>
    </row>
    <row r="10" spans="1:6" x14ac:dyDescent="0.25">
      <c r="A10" s="16">
        <v>42926.320833333331</v>
      </c>
      <c r="B10" t="s">
        <v>119</v>
      </c>
      <c r="C10">
        <v>1178</v>
      </c>
      <c r="D10">
        <v>1.84</v>
      </c>
      <c r="E10">
        <v>0.01</v>
      </c>
      <c r="F10">
        <v>287.7</v>
      </c>
    </row>
    <row r="11" spans="1:6" x14ac:dyDescent="0.25">
      <c r="A11" s="16">
        <v>42926.320833333331</v>
      </c>
      <c r="B11" t="s">
        <v>120</v>
      </c>
      <c r="C11">
        <v>1125.0999999999999</v>
      </c>
      <c r="D11">
        <v>1.89</v>
      </c>
      <c r="E11">
        <v>0.01</v>
      </c>
      <c r="F11">
        <v>298.32</v>
      </c>
    </row>
    <row r="12" spans="1:6" x14ac:dyDescent="0.25">
      <c r="A12" s="16">
        <v>42926.320833333331</v>
      </c>
      <c r="B12" t="s">
        <v>121</v>
      </c>
      <c r="C12">
        <v>1122.5</v>
      </c>
      <c r="D12">
        <v>1.89</v>
      </c>
      <c r="E12">
        <v>0.01</v>
      </c>
      <c r="F12">
        <v>308.95999999999998</v>
      </c>
    </row>
    <row r="13" spans="1:6" x14ac:dyDescent="0.25">
      <c r="A13" s="16">
        <v>42926.320833333331</v>
      </c>
      <c r="B13" t="s">
        <v>122</v>
      </c>
      <c r="C13">
        <v>1119.4000000000001</v>
      </c>
      <c r="D13">
        <v>1.89</v>
      </c>
      <c r="E13">
        <v>0.01</v>
      </c>
      <c r="F13">
        <v>319.60000000000002</v>
      </c>
    </row>
    <row r="14" spans="1:6" x14ac:dyDescent="0.25">
      <c r="A14" s="16">
        <v>42927.474999999999</v>
      </c>
      <c r="B14" t="s">
        <v>111</v>
      </c>
      <c r="C14">
        <v>1268.9000000000001</v>
      </c>
      <c r="D14">
        <v>1.78</v>
      </c>
      <c r="E14">
        <v>0.01</v>
      </c>
      <c r="F14">
        <v>202.43</v>
      </c>
    </row>
    <row r="15" spans="1:6" x14ac:dyDescent="0.25">
      <c r="A15" s="16">
        <v>42927.474999999999</v>
      </c>
      <c r="B15" t="s">
        <v>112</v>
      </c>
      <c r="C15">
        <v>1186.3</v>
      </c>
      <c r="D15">
        <v>1.84</v>
      </c>
      <c r="E15">
        <v>0.01</v>
      </c>
      <c r="F15">
        <v>213.08</v>
      </c>
    </row>
    <row r="16" spans="1:6" x14ac:dyDescent="0.25">
      <c r="A16" s="16">
        <v>42927.474999999999</v>
      </c>
      <c r="B16" t="s">
        <v>113</v>
      </c>
      <c r="C16">
        <v>1218</v>
      </c>
      <c r="D16">
        <v>1.81</v>
      </c>
      <c r="E16">
        <v>0.01</v>
      </c>
      <c r="F16">
        <v>223.71</v>
      </c>
    </row>
    <row r="17" spans="1:6" x14ac:dyDescent="0.25">
      <c r="A17" s="16">
        <v>42927.474999999999</v>
      </c>
      <c r="B17" t="s">
        <v>114</v>
      </c>
      <c r="C17">
        <v>1194.8</v>
      </c>
      <c r="D17">
        <v>1.83</v>
      </c>
      <c r="E17">
        <v>0.01</v>
      </c>
      <c r="F17">
        <v>234.35</v>
      </c>
    </row>
    <row r="18" spans="1:6" x14ac:dyDescent="0.25">
      <c r="A18" s="16">
        <v>42927.474999999999</v>
      </c>
      <c r="B18" t="s">
        <v>116</v>
      </c>
      <c r="C18">
        <v>1208.7</v>
      </c>
      <c r="D18">
        <v>1.82</v>
      </c>
      <c r="E18">
        <v>0.01</v>
      </c>
      <c r="F18">
        <v>244.98</v>
      </c>
    </row>
    <row r="19" spans="1:6" x14ac:dyDescent="0.25">
      <c r="A19" s="16">
        <v>42927.474999999999</v>
      </c>
      <c r="B19" t="s">
        <v>115</v>
      </c>
      <c r="C19">
        <v>1189.7</v>
      </c>
      <c r="D19">
        <v>1.83</v>
      </c>
      <c r="E19">
        <v>0.01</v>
      </c>
      <c r="F19">
        <v>255.61</v>
      </c>
    </row>
    <row r="20" spans="1:6" x14ac:dyDescent="0.25">
      <c r="A20" s="16">
        <v>42927.474999999999</v>
      </c>
      <c r="B20" t="s">
        <v>117</v>
      </c>
      <c r="C20">
        <v>1161</v>
      </c>
      <c r="D20">
        <v>1.86</v>
      </c>
      <c r="E20">
        <v>0.01</v>
      </c>
      <c r="F20">
        <v>266.33999999999997</v>
      </c>
    </row>
    <row r="21" spans="1:6" x14ac:dyDescent="0.25">
      <c r="A21" s="16">
        <v>42927.474999999999</v>
      </c>
      <c r="B21" t="s">
        <v>118</v>
      </c>
      <c r="C21">
        <v>1183.5</v>
      </c>
      <c r="D21">
        <v>1.84</v>
      </c>
      <c r="E21">
        <v>0.02</v>
      </c>
      <c r="F21">
        <v>276.98</v>
      </c>
    </row>
    <row r="22" spans="1:6" x14ac:dyDescent="0.25">
      <c r="A22" s="16">
        <v>42927.474999999999</v>
      </c>
      <c r="B22" t="s">
        <v>119</v>
      </c>
      <c r="C22">
        <v>1194.7</v>
      </c>
      <c r="D22">
        <v>1.83</v>
      </c>
      <c r="E22">
        <v>0.01</v>
      </c>
      <c r="F22">
        <v>287.60000000000002</v>
      </c>
    </row>
    <row r="23" spans="1:6" x14ac:dyDescent="0.25">
      <c r="A23" s="16">
        <v>42927.474999999999</v>
      </c>
      <c r="B23" t="s">
        <v>120</v>
      </c>
      <c r="C23">
        <v>1123.2</v>
      </c>
      <c r="D23">
        <v>1.89</v>
      </c>
      <c r="E23">
        <v>0.01</v>
      </c>
      <c r="F23">
        <v>298.23</v>
      </c>
    </row>
    <row r="24" spans="1:6" x14ac:dyDescent="0.25">
      <c r="A24" s="16">
        <v>42927.474999999999</v>
      </c>
      <c r="B24" t="s">
        <v>121</v>
      </c>
      <c r="C24">
        <v>1150.0999999999999</v>
      </c>
      <c r="D24">
        <v>1.86</v>
      </c>
      <c r="E24">
        <v>0.01</v>
      </c>
      <c r="F24">
        <v>308.86</v>
      </c>
    </row>
    <row r="25" spans="1:6" x14ac:dyDescent="0.25">
      <c r="A25" s="16">
        <v>42927.474999999999</v>
      </c>
      <c r="B25" t="s">
        <v>122</v>
      </c>
      <c r="C25">
        <v>1116.2</v>
      </c>
      <c r="D25">
        <v>1.89</v>
      </c>
      <c r="E25">
        <v>0.02</v>
      </c>
      <c r="F25">
        <v>319.5</v>
      </c>
    </row>
    <row r="26" spans="1:6" x14ac:dyDescent="0.25">
      <c r="A26" s="16">
        <v>42927.474999999999</v>
      </c>
      <c r="B26" t="s">
        <v>123</v>
      </c>
      <c r="C26">
        <v>2481.5</v>
      </c>
      <c r="D26">
        <v>1.27</v>
      </c>
      <c r="E26">
        <v>0.01</v>
      </c>
      <c r="F26">
        <v>330.14</v>
      </c>
    </row>
    <row r="27" spans="1:6" x14ac:dyDescent="0.25">
      <c r="A27" s="16">
        <v>42927.474999999999</v>
      </c>
      <c r="B27" t="s">
        <v>124</v>
      </c>
      <c r="C27">
        <v>1297.5999999999999</v>
      </c>
      <c r="D27">
        <v>1.76</v>
      </c>
      <c r="E27">
        <v>0.02</v>
      </c>
      <c r="F27">
        <v>340.79</v>
      </c>
    </row>
    <row r="28" spans="1:6" x14ac:dyDescent="0.25">
      <c r="A28" s="16">
        <v>42927.474999999999</v>
      </c>
      <c r="B28" t="s">
        <v>125</v>
      </c>
      <c r="C28">
        <v>2524.1999999999998</v>
      </c>
      <c r="D28">
        <v>1.26</v>
      </c>
      <c r="E28">
        <v>0.01</v>
      </c>
      <c r="F28">
        <v>351.42</v>
      </c>
    </row>
    <row r="29" spans="1:6" x14ac:dyDescent="0.25">
      <c r="A29" s="16">
        <v>42928.348611111112</v>
      </c>
      <c r="B29" t="s">
        <v>111</v>
      </c>
      <c r="C29">
        <v>1276.9000000000001</v>
      </c>
      <c r="D29">
        <v>1.77</v>
      </c>
      <c r="E29">
        <v>0.01</v>
      </c>
      <c r="F29">
        <v>202.42</v>
      </c>
    </row>
    <row r="30" spans="1:6" x14ac:dyDescent="0.25">
      <c r="A30" s="16">
        <v>42928.348611111112</v>
      </c>
      <c r="B30" t="s">
        <v>112</v>
      </c>
      <c r="C30">
        <v>1203.4000000000001</v>
      </c>
      <c r="D30">
        <v>1.82</v>
      </c>
      <c r="E30">
        <v>0.01</v>
      </c>
      <c r="F30">
        <v>213.06</v>
      </c>
    </row>
    <row r="31" spans="1:6" x14ac:dyDescent="0.25">
      <c r="A31" s="16">
        <v>42928.348611111112</v>
      </c>
      <c r="B31" t="s">
        <v>113</v>
      </c>
      <c r="C31">
        <v>1200.9000000000001</v>
      </c>
      <c r="D31">
        <v>1.83</v>
      </c>
      <c r="E31">
        <v>0.01</v>
      </c>
      <c r="F31">
        <v>223.69</v>
      </c>
    </row>
    <row r="32" spans="1:6" x14ac:dyDescent="0.25">
      <c r="A32" s="16">
        <v>42928.348611111112</v>
      </c>
      <c r="B32" t="s">
        <v>114</v>
      </c>
      <c r="C32">
        <v>1153.8</v>
      </c>
      <c r="D32">
        <v>1.86</v>
      </c>
      <c r="E32">
        <v>0.01</v>
      </c>
      <c r="F32">
        <v>234.33</v>
      </c>
    </row>
    <row r="33" spans="1:6" x14ac:dyDescent="0.25">
      <c r="A33" s="16">
        <v>42928.348611111112</v>
      </c>
      <c r="B33" t="s">
        <v>116</v>
      </c>
      <c r="C33">
        <v>1228.8</v>
      </c>
      <c r="D33">
        <v>1.8</v>
      </c>
      <c r="E33">
        <v>0.01</v>
      </c>
      <c r="F33">
        <v>244.96</v>
      </c>
    </row>
    <row r="34" spans="1:6" x14ac:dyDescent="0.25">
      <c r="A34" s="16">
        <v>42928.348611111112</v>
      </c>
      <c r="B34" t="s">
        <v>115</v>
      </c>
      <c r="C34">
        <v>1183.8</v>
      </c>
      <c r="D34">
        <v>1.84</v>
      </c>
      <c r="E34">
        <v>0.01</v>
      </c>
      <c r="F34">
        <v>255.6</v>
      </c>
    </row>
    <row r="35" spans="1:6" x14ac:dyDescent="0.25">
      <c r="A35" s="16">
        <v>42928.348611111112</v>
      </c>
      <c r="B35" t="s">
        <v>117</v>
      </c>
      <c r="C35">
        <v>1168.2</v>
      </c>
      <c r="D35">
        <v>1.85</v>
      </c>
      <c r="E35">
        <v>0.01</v>
      </c>
      <c r="F35">
        <v>266.32</v>
      </c>
    </row>
    <row r="36" spans="1:6" x14ac:dyDescent="0.25">
      <c r="A36" s="16">
        <v>42928.348611111112</v>
      </c>
      <c r="B36" t="s">
        <v>118</v>
      </c>
      <c r="C36">
        <v>1136.3</v>
      </c>
      <c r="D36">
        <v>1.88</v>
      </c>
      <c r="E36">
        <v>0.02</v>
      </c>
      <c r="F36">
        <v>276.95</v>
      </c>
    </row>
    <row r="37" spans="1:6" x14ac:dyDescent="0.25">
      <c r="A37" s="16">
        <v>42928.348611111112</v>
      </c>
      <c r="B37" t="s">
        <v>119</v>
      </c>
      <c r="C37">
        <v>1170.5999999999999</v>
      </c>
      <c r="D37">
        <v>1.85</v>
      </c>
      <c r="E37">
        <v>0.01</v>
      </c>
      <c r="F37">
        <v>287.60000000000002</v>
      </c>
    </row>
    <row r="38" spans="1:6" x14ac:dyDescent="0.25">
      <c r="A38" s="16">
        <v>42928.348611111112</v>
      </c>
      <c r="B38" t="s">
        <v>120</v>
      </c>
      <c r="C38">
        <v>1111.7</v>
      </c>
      <c r="D38">
        <v>1.9</v>
      </c>
      <c r="E38">
        <v>0.01</v>
      </c>
      <c r="F38">
        <v>298.23</v>
      </c>
    </row>
    <row r="39" spans="1:6" x14ac:dyDescent="0.25">
      <c r="A39" s="16">
        <v>42928.348611111112</v>
      </c>
      <c r="B39" t="s">
        <v>121</v>
      </c>
      <c r="C39">
        <v>1145.3</v>
      </c>
      <c r="D39">
        <v>1.87</v>
      </c>
      <c r="E39">
        <v>0.01</v>
      </c>
      <c r="F39">
        <v>308.86</v>
      </c>
    </row>
    <row r="40" spans="1:6" x14ac:dyDescent="0.25">
      <c r="A40" s="16">
        <v>42928.348611111112</v>
      </c>
      <c r="B40" t="s">
        <v>122</v>
      </c>
      <c r="C40">
        <v>1115.5</v>
      </c>
      <c r="D40">
        <v>1.89</v>
      </c>
      <c r="E40">
        <v>0.01</v>
      </c>
      <c r="F40">
        <v>319.5</v>
      </c>
    </row>
    <row r="41" spans="1:6" x14ac:dyDescent="0.25">
      <c r="A41" s="16">
        <v>42928.348611111112</v>
      </c>
      <c r="B41" t="s">
        <v>123</v>
      </c>
      <c r="C41">
        <v>2471.6999999999998</v>
      </c>
      <c r="D41">
        <v>1.27</v>
      </c>
      <c r="E41">
        <v>0.01</v>
      </c>
      <c r="F41">
        <v>330.14</v>
      </c>
    </row>
    <row r="42" spans="1:6" x14ac:dyDescent="0.25">
      <c r="A42" s="16">
        <v>42928.348611111112</v>
      </c>
      <c r="B42" t="s">
        <v>124</v>
      </c>
      <c r="C42">
        <v>1322</v>
      </c>
      <c r="D42">
        <v>1.74</v>
      </c>
      <c r="E42">
        <v>0.01</v>
      </c>
      <c r="F42">
        <v>340.77</v>
      </c>
    </row>
    <row r="43" spans="1:6" x14ac:dyDescent="0.25">
      <c r="A43" s="16">
        <v>42928.348611111112</v>
      </c>
      <c r="B43" t="s">
        <v>125</v>
      </c>
      <c r="C43">
        <v>2521</v>
      </c>
      <c r="D43">
        <v>1.26</v>
      </c>
      <c r="E43">
        <v>0.01</v>
      </c>
      <c r="F43">
        <v>351.42</v>
      </c>
    </row>
    <row r="44" spans="1:6" x14ac:dyDescent="0.25">
      <c r="A44" s="16">
        <v>42933.388888888891</v>
      </c>
      <c r="B44" t="s">
        <v>111</v>
      </c>
      <c r="C44">
        <v>1264.5999999999999</v>
      </c>
      <c r="D44">
        <v>1.78</v>
      </c>
      <c r="E44">
        <v>0.02</v>
      </c>
      <c r="F44">
        <v>10.63</v>
      </c>
    </row>
    <row r="45" spans="1:6" x14ac:dyDescent="0.25">
      <c r="A45" s="16">
        <v>42933.388888888891</v>
      </c>
      <c r="B45" t="s">
        <v>112</v>
      </c>
      <c r="C45">
        <v>1197.8</v>
      </c>
      <c r="D45">
        <v>1.83</v>
      </c>
      <c r="E45">
        <v>0.01</v>
      </c>
      <c r="F45">
        <v>21.25</v>
      </c>
    </row>
    <row r="46" spans="1:6" x14ac:dyDescent="0.25">
      <c r="A46" s="16">
        <v>42933.388888888891</v>
      </c>
      <c r="B46" t="s">
        <v>113</v>
      </c>
      <c r="C46">
        <v>1187.3</v>
      </c>
      <c r="D46">
        <v>1.84</v>
      </c>
      <c r="E46">
        <v>0.01</v>
      </c>
      <c r="F46">
        <v>31.86</v>
      </c>
    </row>
    <row r="47" spans="1:6" x14ac:dyDescent="0.25">
      <c r="A47" s="16">
        <v>42933.388888888891</v>
      </c>
      <c r="B47" t="s">
        <v>114</v>
      </c>
      <c r="C47">
        <v>1146.2</v>
      </c>
      <c r="D47">
        <v>1.87</v>
      </c>
      <c r="E47">
        <v>0.01</v>
      </c>
      <c r="F47">
        <v>42.49</v>
      </c>
    </row>
    <row r="48" spans="1:6" x14ac:dyDescent="0.25">
      <c r="A48" s="16">
        <v>42933.388888888891</v>
      </c>
      <c r="B48" t="s">
        <v>116</v>
      </c>
      <c r="C48">
        <v>1200.0999999999999</v>
      </c>
      <c r="D48">
        <v>1.83</v>
      </c>
      <c r="E48">
        <v>0.01</v>
      </c>
      <c r="F48">
        <v>53.12</v>
      </c>
    </row>
    <row r="49" spans="1:6" x14ac:dyDescent="0.25">
      <c r="A49" s="16">
        <v>42933.388888888891</v>
      </c>
      <c r="B49" t="s">
        <v>115</v>
      </c>
      <c r="C49">
        <v>1193.5</v>
      </c>
      <c r="D49">
        <v>1.83</v>
      </c>
      <c r="E49">
        <v>0.01</v>
      </c>
      <c r="F49">
        <v>63.74</v>
      </c>
    </row>
    <row r="50" spans="1:6" x14ac:dyDescent="0.25">
      <c r="A50" s="16">
        <v>42933.388888888891</v>
      </c>
      <c r="B50" t="s">
        <v>117</v>
      </c>
      <c r="C50">
        <v>1168.0999999999999</v>
      </c>
      <c r="D50">
        <v>1.85</v>
      </c>
      <c r="E50">
        <v>0.01</v>
      </c>
      <c r="F50">
        <v>74.36</v>
      </c>
    </row>
    <row r="51" spans="1:6" x14ac:dyDescent="0.25">
      <c r="A51" s="16">
        <v>42933.388888888891</v>
      </c>
      <c r="B51" t="s">
        <v>118</v>
      </c>
      <c r="C51">
        <v>1168.4000000000001</v>
      </c>
      <c r="D51">
        <v>1.85</v>
      </c>
      <c r="E51">
        <v>0.02</v>
      </c>
      <c r="F51">
        <v>85</v>
      </c>
    </row>
    <row r="52" spans="1:6" x14ac:dyDescent="0.25">
      <c r="A52" s="16">
        <v>42933.388888888891</v>
      </c>
      <c r="B52" t="s">
        <v>119</v>
      </c>
      <c r="C52">
        <v>1157.8</v>
      </c>
      <c r="D52">
        <v>1.86</v>
      </c>
      <c r="E52">
        <v>0.02</v>
      </c>
      <c r="F52">
        <v>95.63</v>
      </c>
    </row>
    <row r="53" spans="1:6" x14ac:dyDescent="0.25">
      <c r="A53" s="16">
        <v>42933.388888888891</v>
      </c>
      <c r="B53" t="s">
        <v>120</v>
      </c>
      <c r="C53">
        <v>1121.3</v>
      </c>
      <c r="D53">
        <v>1.89</v>
      </c>
      <c r="E53">
        <v>0.01</v>
      </c>
      <c r="F53">
        <v>106.26</v>
      </c>
    </row>
    <row r="54" spans="1:6" x14ac:dyDescent="0.25">
      <c r="A54" s="16">
        <v>42933.388888888891</v>
      </c>
      <c r="B54" t="s">
        <v>121</v>
      </c>
      <c r="C54">
        <v>1148.0999999999999</v>
      </c>
      <c r="D54">
        <v>1.87</v>
      </c>
      <c r="E54">
        <v>0.01</v>
      </c>
      <c r="F54">
        <v>116.88</v>
      </c>
    </row>
    <row r="55" spans="1:6" x14ac:dyDescent="0.25">
      <c r="A55" s="16">
        <v>42933.388888888891</v>
      </c>
      <c r="B55" t="s">
        <v>122</v>
      </c>
      <c r="C55">
        <v>1109.0999999999999</v>
      </c>
      <c r="D55">
        <v>1.9</v>
      </c>
      <c r="E55">
        <v>0.01</v>
      </c>
      <c r="F55">
        <v>127.51</v>
      </c>
    </row>
    <row r="56" spans="1:6" x14ac:dyDescent="0.25">
      <c r="A56" s="16">
        <v>42933.388888888891</v>
      </c>
      <c r="B56" t="s">
        <v>123</v>
      </c>
      <c r="C56">
        <v>2435.6</v>
      </c>
      <c r="D56">
        <v>1.28</v>
      </c>
      <c r="E56">
        <v>0</v>
      </c>
      <c r="F56">
        <v>138.24</v>
      </c>
    </row>
    <row r="57" spans="1:6" x14ac:dyDescent="0.25">
      <c r="A57" s="16">
        <v>42933.388888888891</v>
      </c>
      <c r="B57" t="s">
        <v>124</v>
      </c>
      <c r="C57">
        <v>1311.5</v>
      </c>
      <c r="D57">
        <v>1.75</v>
      </c>
      <c r="E57">
        <v>0.01</v>
      </c>
      <c r="F57">
        <v>148.88</v>
      </c>
    </row>
    <row r="58" spans="1:6" x14ac:dyDescent="0.25">
      <c r="A58" s="16">
        <v>42933.388888888891</v>
      </c>
      <c r="B58" t="s">
        <v>125</v>
      </c>
      <c r="C58">
        <v>2445.8000000000002</v>
      </c>
      <c r="D58">
        <v>1.28</v>
      </c>
      <c r="E58">
        <v>0</v>
      </c>
      <c r="F58">
        <v>159.51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22" sqref="C22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93</v>
      </c>
      <c r="G1" s="2" t="s">
        <v>94</v>
      </c>
      <c r="H1" s="2" t="s">
        <v>95</v>
      </c>
      <c r="I1" s="18" t="s">
        <v>96</v>
      </c>
      <c r="J1" s="18" t="s">
        <v>97</v>
      </c>
      <c r="K1" s="2" t="s">
        <v>96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98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99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100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101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102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2" sqref="C2:D16"/>
    </sheetView>
  </sheetViews>
  <sheetFormatPr defaultRowHeight="15" x14ac:dyDescent="0.25"/>
  <cols>
    <col min="1" max="1" width="15.57031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111</v>
      </c>
      <c r="B2" s="14" t="s">
        <v>85</v>
      </c>
      <c r="C2">
        <v>21.23458333333333</v>
      </c>
      <c r="D2">
        <v>0.37638298958333333</v>
      </c>
      <c r="E2" s="1" t="s">
        <v>45</v>
      </c>
      <c r="F2" s="1">
        <f>C2*'Calibration Data'!$B$31+'Calibration Data'!$B$30</f>
        <v>3.3408024105207867</v>
      </c>
      <c r="G2" s="15">
        <f>'Calibration Data'!$B$20</f>
        <v>0.15745067498955981</v>
      </c>
    </row>
    <row r="3" spans="1:7" x14ac:dyDescent="0.25">
      <c r="A3" t="s">
        <v>112</v>
      </c>
      <c r="B3" s="14" t="s">
        <v>85</v>
      </c>
      <c r="C3">
        <v>19.979583333333331</v>
      </c>
      <c r="D3">
        <v>0.3651268854166666</v>
      </c>
      <c r="E3" s="1" t="s">
        <v>45</v>
      </c>
      <c r="F3" s="1">
        <f>C3*'Calibration Data'!$B$31+'Calibration Data'!$B$30</f>
        <v>3.1410143581808763</v>
      </c>
      <c r="G3" s="15">
        <f>'Calibration Data'!$B$20</f>
        <v>0.15745067498955981</v>
      </c>
    </row>
    <row r="4" spans="1:7" x14ac:dyDescent="0.25">
      <c r="A4" t="s">
        <v>113</v>
      </c>
      <c r="B4" s="14" t="s">
        <v>85</v>
      </c>
      <c r="C4">
        <v>20.096250000000001</v>
      </c>
      <c r="D4">
        <v>0.36625415625000007</v>
      </c>
      <c r="E4" s="1" t="s">
        <v>45</v>
      </c>
      <c r="F4" s="1">
        <f>C4*'Calibration Data'!$B$31+'Calibration Data'!$B$30</f>
        <v>3.1595869526879072</v>
      </c>
      <c r="G4" s="15">
        <f>'Calibration Data'!$B$20</f>
        <v>0.15745067498955981</v>
      </c>
    </row>
    <row r="5" spans="1:7" x14ac:dyDescent="0.25">
      <c r="A5" t="s">
        <v>114</v>
      </c>
      <c r="B5" s="14" t="s">
        <v>85</v>
      </c>
      <c r="C5">
        <v>19.500833333333329</v>
      </c>
      <c r="D5">
        <v>0.36076541666666662</v>
      </c>
      <c r="E5" s="1" t="s">
        <v>45</v>
      </c>
      <c r="F5" s="1">
        <f>C5*'Calibration Data'!$B$31+'Calibration Data'!$B$30</f>
        <v>3.0648003900073846</v>
      </c>
      <c r="G5" s="15">
        <f>'Calibration Data'!$B$20</f>
        <v>0.15745067498955981</v>
      </c>
    </row>
    <row r="6" spans="1:7" x14ac:dyDescent="0.25">
      <c r="A6" t="s">
        <v>116</v>
      </c>
      <c r="B6" s="14" t="s">
        <v>85</v>
      </c>
      <c r="C6">
        <v>20.174166666666661</v>
      </c>
      <c r="D6">
        <v>0.36666547916666659</v>
      </c>
      <c r="E6" s="1" t="s">
        <v>45</v>
      </c>
      <c r="F6" s="1">
        <f>C6*'Calibration Data'!$B$31+'Calibration Data'!$B$30</f>
        <v>3.1719907925908157</v>
      </c>
      <c r="G6" s="15">
        <f>'Calibration Data'!$B$20</f>
        <v>0.15745067498955981</v>
      </c>
    </row>
    <row r="7" spans="1:7" x14ac:dyDescent="0.25">
      <c r="A7" t="s">
        <v>115</v>
      </c>
      <c r="B7" s="14" t="s">
        <v>85</v>
      </c>
      <c r="C7">
        <v>19.83208333333333</v>
      </c>
      <c r="D7">
        <v>0.36342292708333329</v>
      </c>
      <c r="E7" s="1" t="s">
        <v>45</v>
      </c>
      <c r="F7" s="1">
        <f>C7*'Calibration Data'!$B$31+'Calibration Data'!$B$30</f>
        <v>3.1175332922684169</v>
      </c>
      <c r="G7" s="15">
        <f>'Calibration Data'!$B$20</f>
        <v>0.15745067498955981</v>
      </c>
    </row>
    <row r="8" spans="1:7" ht="15.75" customHeight="1" x14ac:dyDescent="0.25">
      <c r="A8" t="s">
        <v>117</v>
      </c>
      <c r="B8" s="14" t="s">
        <v>85</v>
      </c>
      <c r="C8">
        <v>19.490416666666668</v>
      </c>
      <c r="D8">
        <v>0.36057270833333338</v>
      </c>
      <c r="E8" s="1" t="s">
        <v>45</v>
      </c>
      <c r="F8" s="1">
        <f>C8*'Calibration Data'!$B$31+'Calibration Data'!$B$30</f>
        <v>3.0631421226406865</v>
      </c>
      <c r="G8" s="15">
        <f>'Calibration Data'!$B$20</f>
        <v>0.15745067498955981</v>
      </c>
    </row>
    <row r="9" spans="1:7" x14ac:dyDescent="0.25">
      <c r="A9" t="s">
        <v>118</v>
      </c>
      <c r="B9" s="14" t="s">
        <v>85</v>
      </c>
      <c r="C9">
        <v>19.397916666666671</v>
      </c>
      <c r="D9">
        <v>0.35983135416666667</v>
      </c>
      <c r="E9" s="1" t="s">
        <v>45</v>
      </c>
      <c r="F9" s="1">
        <f>C9*'Calibration Data'!$B$31+'Calibration Data'!$B$30</f>
        <v>3.0484167084243983</v>
      </c>
      <c r="G9" s="15">
        <f>'Calibration Data'!$B$20</f>
        <v>0.15745067498955981</v>
      </c>
    </row>
    <row r="10" spans="1:7" x14ac:dyDescent="0.25">
      <c r="A10" t="s">
        <v>119</v>
      </c>
      <c r="B10" s="14" t="s">
        <v>85</v>
      </c>
      <c r="C10">
        <v>19.587916666666661</v>
      </c>
      <c r="D10">
        <v>0.36139706249999998</v>
      </c>
      <c r="E10" s="1" t="s">
        <v>45</v>
      </c>
      <c r="F10" s="1">
        <f>C10*'Calibration Data'!$B$31+'Calibration Data'!$B$30</f>
        <v>3.0786635051929889</v>
      </c>
      <c r="G10" s="15">
        <f>'Calibration Data'!$B$20</f>
        <v>0.15745067498955981</v>
      </c>
    </row>
    <row r="11" spans="1:7" x14ac:dyDescent="0.25">
      <c r="A11" t="s">
        <v>120</v>
      </c>
      <c r="B11" s="14" t="s">
        <v>85</v>
      </c>
      <c r="C11">
        <v>18.67208333333333</v>
      </c>
      <c r="D11">
        <v>0.35336917708333332</v>
      </c>
      <c r="E11" s="1" t="s">
        <v>45</v>
      </c>
      <c r="F11" s="1">
        <f>C11*'Calibration Data'!$B$31+'Calibration Data'!$B$30</f>
        <v>2.9328686383128022</v>
      </c>
      <c r="G11" s="15">
        <f>'Calibration Data'!$B$20</f>
        <v>0.15745067498955981</v>
      </c>
    </row>
    <row r="12" spans="1:7" x14ac:dyDescent="0.25">
      <c r="A12" t="s">
        <v>121</v>
      </c>
      <c r="B12" s="14" t="s">
        <v>85</v>
      </c>
      <c r="C12">
        <v>19.024999999999999</v>
      </c>
      <c r="D12">
        <v>0.35624312499999999</v>
      </c>
      <c r="E12" s="1" t="s">
        <v>45</v>
      </c>
      <c r="F12" s="1">
        <f>C12*'Calibration Data'!$B$31+'Calibration Data'!$B$30</f>
        <v>2.9890507366965688</v>
      </c>
      <c r="G12" s="15">
        <f>'Calibration Data'!$B$20</f>
        <v>0.15745067498955981</v>
      </c>
    </row>
    <row r="13" spans="1:7" x14ac:dyDescent="0.25">
      <c r="A13" t="s">
        <v>122</v>
      </c>
      <c r="B13" s="14" t="s">
        <v>85</v>
      </c>
      <c r="C13">
        <v>18.584166666666668</v>
      </c>
      <c r="D13">
        <v>0.35170535416666671</v>
      </c>
      <c r="E13" s="1" t="s">
        <v>45</v>
      </c>
      <c r="F13" s="1">
        <f>C13*'Calibration Data'!$B$31+'Calibration Data'!$B$30</f>
        <v>2.9188728617378628</v>
      </c>
      <c r="G13" s="15">
        <f>'Calibration Data'!$B$20</f>
        <v>0.15745067498955981</v>
      </c>
    </row>
    <row r="14" spans="1:7" x14ac:dyDescent="0.25">
      <c r="A14" t="s">
        <v>123</v>
      </c>
      <c r="B14" s="14" t="s">
        <v>85</v>
      </c>
      <c r="C14">
        <v>41.048888888888889</v>
      </c>
      <c r="D14">
        <v>0.52268918518518515</v>
      </c>
      <c r="E14" s="1" t="s">
        <v>45</v>
      </c>
      <c r="F14" s="1">
        <f>C14*'Calibration Data'!$B$31+'Calibration Data'!$B$30</f>
        <v>6.4951143749927471</v>
      </c>
      <c r="G14" s="15">
        <f>'Calibration Data'!$B$20</f>
        <v>0.15745067498955981</v>
      </c>
    </row>
    <row r="15" spans="1:7" x14ac:dyDescent="0.25">
      <c r="A15" t="s">
        <v>124</v>
      </c>
      <c r="B15" s="14" t="s">
        <v>85</v>
      </c>
      <c r="C15">
        <v>21.839444444444439</v>
      </c>
      <c r="D15">
        <v>0.38219027777777781</v>
      </c>
      <c r="E15" s="1" t="s">
        <v>45</v>
      </c>
      <c r="F15" s="1">
        <f>C15*'Calibration Data'!$B$31+'Calibration Data'!$B$30</f>
        <v>3.4370924689471156</v>
      </c>
      <c r="G15" s="15">
        <f>'Calibration Data'!$B$20</f>
        <v>0.15745067498955981</v>
      </c>
    </row>
    <row r="16" spans="1:7" x14ac:dyDescent="0.25">
      <c r="A16" t="s">
        <v>125</v>
      </c>
      <c r="B16" s="14" t="s">
        <v>85</v>
      </c>
      <c r="C16">
        <v>41.616666666666667</v>
      </c>
      <c r="D16">
        <v>0.52714444444444442</v>
      </c>
      <c r="E16" s="1" t="s">
        <v>45</v>
      </c>
      <c r="F16" s="1">
        <f>C16*'Calibration Data'!$B$31+'Calibration Data'!$B$30</f>
        <v>6.5855010015936273</v>
      </c>
      <c r="G16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Q13" sqref="Q13"/>
    </sheetView>
  </sheetViews>
  <sheetFormatPr defaultRowHeight="15" x14ac:dyDescent="0.25"/>
  <cols>
    <col min="1" max="1" width="15.57031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8.2851562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7109375" bestFit="1" customWidth="1"/>
    <col min="13" max="13" width="29.855468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126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79</v>
      </c>
      <c r="M1" t="s">
        <v>80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89</v>
      </c>
    </row>
    <row r="2" spans="1:20" x14ac:dyDescent="0.25">
      <c r="A2" t="s">
        <v>111</v>
      </c>
      <c r="B2">
        <f>100</f>
        <v>100</v>
      </c>
      <c r="C2">
        <f t="shared" ref="C2:C13" si="0">0.08</f>
        <v>0.08</v>
      </c>
      <c r="D2" s="1">
        <v>6.99</v>
      </c>
      <c r="E2" s="1"/>
      <c r="F2" s="1">
        <v>0</v>
      </c>
      <c r="G2" s="1">
        <v>0</v>
      </c>
      <c r="H2" s="1">
        <v>100</v>
      </c>
      <c r="I2" s="1">
        <v>5</v>
      </c>
      <c r="J2" s="1">
        <f>'Count-&gt;Actual Activity'!F2</f>
        <v>3.3408024105207867</v>
      </c>
      <c r="K2" s="1">
        <f>'Count-&gt;Actual Activity'!G2</f>
        <v>0.15745067498955981</v>
      </c>
      <c r="L2" s="1">
        <v>5</v>
      </c>
      <c r="M2" s="1">
        <v>0.02</v>
      </c>
      <c r="N2">
        <f t="shared" ref="N2:N13" si="1">J2/L2</f>
        <v>0.66816048210415735</v>
      </c>
      <c r="O2">
        <f t="shared" ref="O2:O13" si="2">SQRT((M2/L2)^2+(K2/J2)^2)*N2</f>
        <v>3.1603348193889998E-2</v>
      </c>
      <c r="P2">
        <f>B2*AVERAGE(Parameters!$B$8:$B$9)</f>
        <v>66.124786723683386</v>
      </c>
      <c r="Q2">
        <f>_xlfn.STDEV.S(Parameters!$B$8:$B$9)</f>
        <v>1.6597818108694932E-2</v>
      </c>
      <c r="R2" t="e">
        <f t="shared" ref="R2:R13" si="3">(P2-N2*H2)/F2</f>
        <v>#DIV/0!</v>
      </c>
      <c r="T2">
        <f t="shared" ref="T2:T13" si="4">(P2-N2*H2)/P2</f>
        <v>-1.0453893630249858E-2</v>
      </c>
    </row>
    <row r="3" spans="1:20" x14ac:dyDescent="0.25">
      <c r="A3" t="s">
        <v>112</v>
      </c>
      <c r="B3">
        <f>100</f>
        <v>100</v>
      </c>
      <c r="C3">
        <f t="shared" si="0"/>
        <v>0.08</v>
      </c>
      <c r="D3" s="1">
        <v>6.99</v>
      </c>
      <c r="E3" s="1"/>
      <c r="F3" s="1">
        <v>0</v>
      </c>
      <c r="G3" s="1">
        <v>0</v>
      </c>
      <c r="H3" s="1">
        <v>100</v>
      </c>
      <c r="I3" s="1">
        <v>5</v>
      </c>
      <c r="J3" s="1">
        <f>'Count-&gt;Actual Activity'!F3</f>
        <v>3.1410143581808763</v>
      </c>
      <c r="K3" s="1">
        <f>'Count-&gt;Actual Activity'!G3</f>
        <v>0.15745067498955981</v>
      </c>
      <c r="L3" s="1">
        <v>5</v>
      </c>
      <c r="M3" s="1">
        <v>0.02</v>
      </c>
      <c r="N3">
        <f t="shared" si="1"/>
        <v>0.62820287163617528</v>
      </c>
      <c r="O3">
        <f t="shared" si="2"/>
        <v>3.159023304367397E-2</v>
      </c>
      <c r="P3">
        <f>B3*AVERAGE(Parameters!$B$8:$B$9)</f>
        <v>66.124786723683386</v>
      </c>
      <c r="Q3">
        <f>_xlfn.STDEV.S(Parameters!$B$8:$B$9)</f>
        <v>1.6597818108694932E-2</v>
      </c>
      <c r="R3" t="e">
        <f t="shared" si="3"/>
        <v>#DIV/0!</v>
      </c>
      <c r="T3">
        <f t="shared" si="4"/>
        <v>4.9973689501251889E-2</v>
      </c>
    </row>
    <row r="4" spans="1:20" x14ac:dyDescent="0.25">
      <c r="A4" t="s">
        <v>113</v>
      </c>
      <c r="B4">
        <f>100</f>
        <v>100</v>
      </c>
      <c r="C4">
        <f t="shared" si="0"/>
        <v>0.08</v>
      </c>
      <c r="D4" s="1">
        <v>6.97</v>
      </c>
      <c r="E4" s="1"/>
      <c r="F4" s="1">
        <v>0</v>
      </c>
      <c r="G4" s="1">
        <v>0</v>
      </c>
      <c r="H4" s="1">
        <v>100</v>
      </c>
      <c r="I4" s="1">
        <v>5</v>
      </c>
      <c r="J4" s="1">
        <f>'Count-&gt;Actual Activity'!F4</f>
        <v>3.1595869526879072</v>
      </c>
      <c r="K4" s="1">
        <f>'Count-&gt;Actual Activity'!G4</f>
        <v>0.15745067498955981</v>
      </c>
      <c r="L4" s="1">
        <v>5</v>
      </c>
      <c r="M4" s="1">
        <v>0.02</v>
      </c>
      <c r="N4">
        <f t="shared" si="1"/>
        <v>0.63191739053758145</v>
      </c>
      <c r="O4">
        <f t="shared" si="2"/>
        <v>3.15914183854119E-2</v>
      </c>
      <c r="P4">
        <f>B4*AVERAGE(Parameters!$B$8:$B$9)</f>
        <v>66.124786723683386</v>
      </c>
      <c r="Q4">
        <f>_xlfn.STDEV.S(Parameters!$B$8:$B$9)</f>
        <v>1.6597818108694932E-2</v>
      </c>
      <c r="R4" t="e">
        <f t="shared" si="3"/>
        <v>#DIV/0!</v>
      </c>
      <c r="T4">
        <f t="shared" si="4"/>
        <v>4.4356251494339236E-2</v>
      </c>
    </row>
    <row r="5" spans="1:20" x14ac:dyDescent="0.25">
      <c r="A5" t="s">
        <v>114</v>
      </c>
      <c r="B5">
        <f>100</f>
        <v>100</v>
      </c>
      <c r="C5">
        <f t="shared" si="0"/>
        <v>0.08</v>
      </c>
      <c r="D5" s="1">
        <v>7.04</v>
      </c>
      <c r="E5" s="1"/>
      <c r="F5" s="1">
        <v>3.0700000000000002E-2</v>
      </c>
      <c r="G5" s="1">
        <v>1E-4</v>
      </c>
      <c r="H5" s="1">
        <v>100</v>
      </c>
      <c r="I5" s="1">
        <v>5</v>
      </c>
      <c r="J5" s="1">
        <f>'Count-&gt;Actual Activity'!F5</f>
        <v>3.0648003900073846</v>
      </c>
      <c r="K5" s="1">
        <f>'Count-&gt;Actual Activity'!G5</f>
        <v>0.15745067498955981</v>
      </c>
      <c r="L5" s="1">
        <v>5</v>
      </c>
      <c r="M5" s="1">
        <v>0.02</v>
      </c>
      <c r="N5">
        <f t="shared" si="1"/>
        <v>0.61296007800147689</v>
      </c>
      <c r="O5">
        <f t="shared" si="2"/>
        <v>3.1585441632218741E-2</v>
      </c>
      <c r="P5">
        <f>B5*AVERAGE(Parameters!$B$8:$B$9)</f>
        <v>66.124786723683386</v>
      </c>
      <c r="Q5">
        <f>_xlfn.STDEV.S(Parameters!$B$8:$B$9)</f>
        <v>1.6597818108694932E-2</v>
      </c>
      <c r="R5">
        <f t="shared" si="3"/>
        <v>157.28921575034832</v>
      </c>
      <c r="T5">
        <f t="shared" si="4"/>
        <v>7.3025247608189389E-2</v>
      </c>
    </row>
    <row r="6" spans="1:20" x14ac:dyDescent="0.25">
      <c r="A6" t="s">
        <v>116</v>
      </c>
      <c r="B6">
        <f>100</f>
        <v>100</v>
      </c>
      <c r="C6">
        <f t="shared" si="0"/>
        <v>0.08</v>
      </c>
      <c r="D6" s="1">
        <v>6.97</v>
      </c>
      <c r="E6" s="1"/>
      <c r="F6" s="1">
        <v>3.0099999999999998E-2</v>
      </c>
      <c r="G6" s="1">
        <v>1E-4</v>
      </c>
      <c r="H6" s="1">
        <v>100</v>
      </c>
      <c r="I6" s="1">
        <v>5</v>
      </c>
      <c r="J6" s="1">
        <f>'Count-&gt;Actual Activity'!F6</f>
        <v>3.1719907925908157</v>
      </c>
      <c r="K6" s="1">
        <f>'Count-&gt;Actual Activity'!G6</f>
        <v>0.15745067498955981</v>
      </c>
      <c r="L6" s="1">
        <v>5</v>
      </c>
      <c r="M6" s="1">
        <v>0.02</v>
      </c>
      <c r="N6">
        <f t="shared" si="1"/>
        <v>0.63439815851816317</v>
      </c>
      <c r="O6">
        <f t="shared" si="2"/>
        <v>3.1592213891451476E-2</v>
      </c>
      <c r="P6">
        <f>B6*AVERAGE(Parameters!$B$8:$B$9)</f>
        <v>66.124786723683386</v>
      </c>
      <c r="Q6">
        <f>_xlfn.STDEV.S(Parameters!$B$8:$B$9)</f>
        <v>1.6597818108694932E-2</v>
      </c>
      <c r="R6">
        <f t="shared" si="3"/>
        <v>89.201690095251351</v>
      </c>
      <c r="T6">
        <f t="shared" si="4"/>
        <v>4.0604605396865667E-2</v>
      </c>
    </row>
    <row r="7" spans="1:20" x14ac:dyDescent="0.25">
      <c r="A7" t="s">
        <v>115</v>
      </c>
      <c r="B7">
        <f>100</f>
        <v>100</v>
      </c>
      <c r="C7">
        <f t="shared" si="0"/>
        <v>0.08</v>
      </c>
      <c r="D7" s="1">
        <v>6.97</v>
      </c>
      <c r="E7" s="1"/>
      <c r="F7" s="1">
        <v>2.64E-2</v>
      </c>
      <c r="G7" s="1">
        <v>1E-4</v>
      </c>
      <c r="H7" s="1">
        <v>100</v>
      </c>
      <c r="I7" s="1">
        <v>5</v>
      </c>
      <c r="J7" s="1">
        <f>'Count-&gt;Actual Activity'!F7</f>
        <v>3.1175332922684169</v>
      </c>
      <c r="K7" s="1">
        <f>'Count-&gt;Actual Activity'!G7</f>
        <v>0.15745067498955981</v>
      </c>
      <c r="L7" s="1">
        <v>5</v>
      </c>
      <c r="M7" s="1">
        <v>0.02</v>
      </c>
      <c r="N7">
        <f t="shared" si="1"/>
        <v>0.62350665845368336</v>
      </c>
      <c r="O7">
        <f t="shared" si="2"/>
        <v>3.1588744372590953E-2</v>
      </c>
      <c r="P7">
        <f>B7*AVERAGE(Parameters!$B$8:$B$9)</f>
        <v>66.124786723683386</v>
      </c>
      <c r="Q7">
        <f>_xlfn.STDEV.S(Parameters!$B$8:$B$9)</f>
        <v>1.6597818108694932E-2</v>
      </c>
      <c r="R7">
        <f t="shared" si="3"/>
        <v>142.95912417860049</v>
      </c>
      <c r="T7">
        <f t="shared" si="4"/>
        <v>5.707573612427707E-2</v>
      </c>
    </row>
    <row r="8" spans="1:20" ht="15.75" customHeight="1" x14ac:dyDescent="0.25">
      <c r="A8" t="s">
        <v>117</v>
      </c>
      <c r="B8">
        <f>100</f>
        <v>100</v>
      </c>
      <c r="C8">
        <f t="shared" si="0"/>
        <v>0.08</v>
      </c>
      <c r="D8" s="1">
        <v>6.99</v>
      </c>
      <c r="E8" s="1"/>
      <c r="F8" s="1">
        <v>2.9899999999999999E-2</v>
      </c>
      <c r="G8" s="1">
        <v>1E-4</v>
      </c>
      <c r="H8" s="1">
        <v>100</v>
      </c>
      <c r="I8" s="1">
        <v>5</v>
      </c>
      <c r="J8" s="1">
        <f>'Count-&gt;Actual Activity'!F8</f>
        <v>3.0631421226406865</v>
      </c>
      <c r="K8" s="1">
        <f>'Count-&gt;Actual Activity'!G8</f>
        <v>0.15745067498955981</v>
      </c>
      <c r="L8" s="1">
        <v>5</v>
      </c>
      <c r="M8" s="1">
        <v>0.02</v>
      </c>
      <c r="N8">
        <f t="shared" si="1"/>
        <v>0.61262842452813726</v>
      </c>
      <c r="O8">
        <f t="shared" si="2"/>
        <v>3.1585338680649867E-2</v>
      </c>
      <c r="P8">
        <f>B8*AVERAGE(Parameters!$B$8:$B$9)</f>
        <v>66.124786723683386</v>
      </c>
      <c r="Q8">
        <f>_xlfn.STDEV.S(Parameters!$B$8:$B$9)</f>
        <v>1.6597818108694932E-2</v>
      </c>
      <c r="R8">
        <f t="shared" si="3"/>
        <v>162.60683180166077</v>
      </c>
      <c r="T8">
        <f t="shared" si="4"/>
        <v>7.3526804573092006E-2</v>
      </c>
    </row>
    <row r="9" spans="1:20" x14ac:dyDescent="0.25">
      <c r="A9" t="s">
        <v>118</v>
      </c>
      <c r="B9">
        <f>100</f>
        <v>100</v>
      </c>
      <c r="C9">
        <f t="shared" si="0"/>
        <v>0.08</v>
      </c>
      <c r="D9" s="1">
        <v>6.97</v>
      </c>
      <c r="E9" s="1"/>
      <c r="F9" s="1">
        <v>3.0800000000000001E-2</v>
      </c>
      <c r="G9" s="1">
        <v>1E-4</v>
      </c>
      <c r="H9" s="1">
        <v>100</v>
      </c>
      <c r="I9" s="1">
        <v>5</v>
      </c>
      <c r="J9" s="1">
        <f>'Count-&gt;Actual Activity'!F9</f>
        <v>3.0484167084243983</v>
      </c>
      <c r="K9" s="1">
        <f>'Count-&gt;Actual Activity'!G9</f>
        <v>0.15745067498955981</v>
      </c>
      <c r="L9" s="1">
        <v>5</v>
      </c>
      <c r="M9" s="1">
        <v>0.02</v>
      </c>
      <c r="N9">
        <f t="shared" si="1"/>
        <v>0.6096833416848797</v>
      </c>
      <c r="O9">
        <f t="shared" si="2"/>
        <v>3.1584426900305926E-2</v>
      </c>
      <c r="P9">
        <f>B9*AVERAGE(Parameters!$B$8:$B$9)</f>
        <v>66.124786723683386</v>
      </c>
      <c r="Q9">
        <f>_xlfn.STDEV.S(Parameters!$B$8:$B$9)</f>
        <v>1.6597818108694932E-2</v>
      </c>
      <c r="R9">
        <f t="shared" si="3"/>
        <v>167.41729075309789</v>
      </c>
      <c r="T9">
        <f t="shared" si="4"/>
        <v>7.7980630421429692E-2</v>
      </c>
    </row>
    <row r="10" spans="1:20" x14ac:dyDescent="0.25">
      <c r="A10" t="s">
        <v>119</v>
      </c>
      <c r="B10">
        <f>100</f>
        <v>100</v>
      </c>
      <c r="C10">
        <f t="shared" si="0"/>
        <v>0.08</v>
      </c>
      <c r="D10" s="1">
        <v>6.95</v>
      </c>
      <c r="E10" s="1"/>
      <c r="F10" s="1">
        <v>3.0300000000000001E-2</v>
      </c>
      <c r="G10" s="1">
        <v>1E-4</v>
      </c>
      <c r="H10" s="1">
        <v>100</v>
      </c>
      <c r="I10" s="1">
        <v>5</v>
      </c>
      <c r="J10" s="1">
        <f>'Count-&gt;Actual Activity'!F10</f>
        <v>3.0786635051929889</v>
      </c>
      <c r="K10" s="1">
        <f>'Count-&gt;Actual Activity'!G10</f>
        <v>0.15745067498955981</v>
      </c>
      <c r="L10" s="1">
        <v>5</v>
      </c>
      <c r="M10" s="1">
        <v>0.02</v>
      </c>
      <c r="N10">
        <f t="shared" si="1"/>
        <v>0.61573270103859779</v>
      </c>
      <c r="O10">
        <f t="shared" si="2"/>
        <v>3.1586304474135185E-2</v>
      </c>
      <c r="P10">
        <f>B10*AVERAGE(Parameters!$B$8:$B$9)</f>
        <v>66.124786723683386</v>
      </c>
      <c r="Q10">
        <f>_xlfn.STDEV.S(Parameters!$B$8:$B$9)</f>
        <v>1.6597818108694932E-2</v>
      </c>
      <c r="R10">
        <f t="shared" si="3"/>
        <v>150.2150699611752</v>
      </c>
      <c r="T10">
        <f t="shared" si="4"/>
        <v>6.8832231381601244E-2</v>
      </c>
    </row>
    <row r="11" spans="1:20" x14ac:dyDescent="0.25">
      <c r="A11" t="s">
        <v>120</v>
      </c>
      <c r="B11">
        <f>100</f>
        <v>100</v>
      </c>
      <c r="C11">
        <f t="shared" si="0"/>
        <v>0.08</v>
      </c>
      <c r="D11" s="1">
        <v>6.98</v>
      </c>
      <c r="E11" s="1">
        <v>0.222</v>
      </c>
      <c r="F11" s="1">
        <f>E11*Parameters!$B$10/1000</f>
        <v>7.1266904887259935E-3</v>
      </c>
      <c r="G11" s="1">
        <f>F11*SQRT((0.002/E11)^2+(Parameters!$C$10/Parameters!$B$10)^2)</f>
        <v>7.9390702534074816E-5</v>
      </c>
      <c r="H11" s="1">
        <v>100</v>
      </c>
      <c r="I11" s="1">
        <v>5</v>
      </c>
      <c r="J11" s="1">
        <f>'Count-&gt;Actual Activity'!F11</f>
        <v>2.9328686383128022</v>
      </c>
      <c r="K11" s="1">
        <f>'Count-&gt;Actual Activity'!G11</f>
        <v>0.15745067498955981</v>
      </c>
      <c r="L11" s="1">
        <v>5</v>
      </c>
      <c r="M11" s="1">
        <v>0.02</v>
      </c>
      <c r="N11">
        <f t="shared" si="1"/>
        <v>0.58657372766256044</v>
      </c>
      <c r="O11">
        <f t="shared" si="2"/>
        <v>3.1577423929042454E-2</v>
      </c>
      <c r="P11">
        <f>B11*AVERAGE(Parameters!$B$8:$B$9)</f>
        <v>66.124786723683386</v>
      </c>
      <c r="Q11">
        <f>_xlfn.STDEV.S(Parameters!$B$8:$B$9)</f>
        <v>1.6597818108694932E-2</v>
      </c>
      <c r="R11">
        <f t="shared" si="3"/>
        <v>1047.8094943565111</v>
      </c>
      <c r="T11">
        <f t="shared" si="4"/>
        <v>0.11292911973586443</v>
      </c>
    </row>
    <row r="12" spans="1:20" x14ac:dyDescent="0.25">
      <c r="A12" t="s">
        <v>121</v>
      </c>
      <c r="B12">
        <f>100</f>
        <v>100</v>
      </c>
      <c r="C12">
        <f t="shared" si="0"/>
        <v>0.08</v>
      </c>
      <c r="D12" s="1">
        <v>6.97</v>
      </c>
      <c r="E12" s="1">
        <v>0.222</v>
      </c>
      <c r="F12" s="1">
        <f>E12*Parameters!$B$10/1000</f>
        <v>7.1266904887259935E-3</v>
      </c>
      <c r="G12" s="1">
        <f>F12*SQRT((0.002/E12)^2+(Parameters!$C$10/Parameters!$B$10)^2)</f>
        <v>7.9390702534074816E-5</v>
      </c>
      <c r="H12" s="1">
        <v>100</v>
      </c>
      <c r="I12" s="1">
        <v>5</v>
      </c>
      <c r="J12" s="1">
        <f>'Count-&gt;Actual Activity'!F12</f>
        <v>2.9890507366965688</v>
      </c>
      <c r="K12" s="1">
        <f>'Count-&gt;Actual Activity'!G12</f>
        <v>0.15745067498955981</v>
      </c>
      <c r="L12" s="1">
        <v>5</v>
      </c>
      <c r="M12" s="1">
        <v>0.02</v>
      </c>
      <c r="N12">
        <f t="shared" si="1"/>
        <v>0.59781014733931381</v>
      </c>
      <c r="O12">
        <f t="shared" si="2"/>
        <v>3.1580795331069632E-2</v>
      </c>
      <c r="P12">
        <f>B12*AVERAGE(Parameters!$B$8:$B$9)</f>
        <v>66.124786723683386</v>
      </c>
      <c r="Q12">
        <f>_xlfn.STDEV.S(Parameters!$B$8:$B$9)</f>
        <v>1.6597818108694932E-2</v>
      </c>
      <c r="R12">
        <f t="shared" si="3"/>
        <v>890.14276679862587</v>
      </c>
      <c r="T12">
        <f t="shared" si="4"/>
        <v>9.5936369764953941E-2</v>
      </c>
    </row>
    <row r="13" spans="1:20" x14ac:dyDescent="0.25">
      <c r="A13" t="s">
        <v>122</v>
      </c>
      <c r="B13">
        <f>100</f>
        <v>100</v>
      </c>
      <c r="C13">
        <f t="shared" si="0"/>
        <v>0.08</v>
      </c>
      <c r="D13" s="1">
        <v>6.97</v>
      </c>
      <c r="E13" s="1">
        <v>0.222</v>
      </c>
      <c r="F13" s="1">
        <f>E13*Parameters!$B$10/1000</f>
        <v>7.1266904887259935E-3</v>
      </c>
      <c r="G13" s="1">
        <f>F13*SQRT((0.002/E13)^2+(Parameters!$C$10/Parameters!$B$10)^2)</f>
        <v>7.9390702534074816E-5</v>
      </c>
      <c r="H13" s="1">
        <v>100</v>
      </c>
      <c r="I13" s="1">
        <v>5</v>
      </c>
      <c r="J13" s="1">
        <f>'Count-&gt;Actual Activity'!F13</f>
        <v>2.9188728617378628</v>
      </c>
      <c r="K13" s="1">
        <f>'Count-&gt;Actual Activity'!G13</f>
        <v>0.15745067498955981</v>
      </c>
      <c r="L13" s="1">
        <v>5</v>
      </c>
      <c r="M13" s="1">
        <v>0.02</v>
      </c>
      <c r="N13">
        <f t="shared" si="1"/>
        <v>0.58377457234757257</v>
      </c>
      <c r="O13">
        <f t="shared" si="2"/>
        <v>3.1576593961474587E-2</v>
      </c>
      <c r="P13">
        <f>B13*AVERAGE(Parameters!$B$8:$B$9)</f>
        <v>66.124786723683386</v>
      </c>
      <c r="Q13">
        <f>_xlfn.STDEV.S(Parameters!$B$8:$B$9)</f>
        <v>1.6597818108694932E-2</v>
      </c>
      <c r="R13">
        <f t="shared" si="3"/>
        <v>1087.0865658024504</v>
      </c>
      <c r="T13">
        <f t="shared" si="4"/>
        <v>0.11716226051964457</v>
      </c>
    </row>
  </sheetData>
  <conditionalFormatting sqref="J2:J13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G9" sqref="G9"/>
    </sheetView>
  </sheetViews>
  <sheetFormatPr defaultRowHeight="15" x14ac:dyDescent="0.25"/>
  <cols>
    <col min="1" max="1" width="14.140625" bestFit="1" customWidth="1"/>
  </cols>
  <sheetData>
    <row r="1" spans="1:12" x14ac:dyDescent="0.25">
      <c r="A1" t="s">
        <v>15</v>
      </c>
      <c r="B1" t="s">
        <v>29</v>
      </c>
      <c r="C1" t="s">
        <v>86</v>
      </c>
      <c r="D1" t="s">
        <v>31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131</v>
      </c>
      <c r="L1" t="s">
        <v>7</v>
      </c>
    </row>
    <row r="2" spans="1:12" x14ac:dyDescent="0.25">
      <c r="A2" t="s">
        <v>127</v>
      </c>
      <c r="B2">
        <f>AVERAGE('Bottle Results'!N2:N4)</f>
        <v>0.64276024809263799</v>
      </c>
      <c r="C2">
        <f>_xlfn.STDEV.S('Bottle Results'!N2:N4)</f>
        <v>2.2075514230639869E-2</v>
      </c>
      <c r="D2" t="e">
        <f>AVERAGE('Bottle Results'!R2:R4)</f>
        <v>#DIV/0!</v>
      </c>
      <c r="E2" t="e">
        <f>_xlfn.STDEV.S('Bottle Results'!R2:R4)</f>
        <v>#DIV/0!</v>
      </c>
      <c r="F2">
        <f>AVERAGE('Bottle Results'!P2:P4)</f>
        <v>66.124786723683386</v>
      </c>
      <c r="G2">
        <f>AVERAGE('Bottle Results'!T2:T4)</f>
        <v>2.7958682455113754E-2</v>
      </c>
      <c r="H2">
        <f>_xlfn.STDEV.S('Bottle Results'!T2:T4)</f>
        <v>3.3384628252771713E-2</v>
      </c>
      <c r="I2">
        <f>AVERAGE('Bottle Results'!D2:D4)</f>
        <v>6.9833333333333334</v>
      </c>
      <c r="J2">
        <f>_xlfn.STDEV.S('Bottle Results'!D2:D4)</f>
        <v>1.1547005383792781E-2</v>
      </c>
      <c r="K2">
        <f>COUNT('Bottle Results'!J2:J4)</f>
        <v>3</v>
      </c>
    </row>
    <row r="3" spans="1:12" x14ac:dyDescent="0.25">
      <c r="A3" t="s">
        <v>128</v>
      </c>
      <c r="B3">
        <f>AVERAGE('Bottle Results'!N5:N7)</f>
        <v>0.62362163165777451</v>
      </c>
      <c r="C3">
        <f>_xlfn.STDEV.S('Bottle Results'!N5:N7)</f>
        <v>1.0719502702468298E-2</v>
      </c>
      <c r="D3">
        <f>AVERAGE('Bottle Results'!R5:R7)</f>
        <v>129.81667667473337</v>
      </c>
      <c r="E3">
        <f>_xlfn.STDEV.S('Bottle Results'!R5:R7)</f>
        <v>35.895970975198622</v>
      </c>
      <c r="F3">
        <f>AVERAGE('Bottle Results'!P5:P7)</f>
        <v>66.124786723683386</v>
      </c>
      <c r="G3">
        <f>AVERAGE('Bottle Results'!T5:T7)</f>
        <v>5.6901863043110706E-2</v>
      </c>
      <c r="H3">
        <f>_xlfn.STDEV.S('Bottle Results'!T5:T7)</f>
        <v>1.6211020456310957E-2</v>
      </c>
      <c r="I3">
        <f>AVERAGE('Bottle Results'!D5:D7)</f>
        <v>6.9933333333333332</v>
      </c>
      <c r="J3">
        <f>_xlfn.STDEV.S('Bottle Results'!D5:D7)</f>
        <v>4.0414518843273968E-2</v>
      </c>
      <c r="K3">
        <f>COUNT('Bottle Results'!J5:J7)</f>
        <v>3</v>
      </c>
    </row>
    <row r="4" spans="1:12" x14ac:dyDescent="0.25">
      <c r="A4" t="s">
        <v>129</v>
      </c>
      <c r="B4">
        <f>AVERAGE('Bottle Results'!N8:N10)</f>
        <v>0.61268148908387154</v>
      </c>
      <c r="C4">
        <f>_xlfn.STDEV.S('Bottle Results'!N8:N10)</f>
        <v>3.0250287656335747E-3</v>
      </c>
      <c r="D4">
        <f>AVERAGE('Bottle Results'!R8:R10)</f>
        <v>160.07973083864462</v>
      </c>
      <c r="E4">
        <f>_xlfn.STDEV.S('Bottle Results'!R8:R10)</f>
        <v>8.8751777166134627</v>
      </c>
      <c r="F4">
        <f>AVERAGE('Bottle Results'!P8:P10)</f>
        <v>66.124786723683386</v>
      </c>
      <c r="G4">
        <f>AVERAGE('Bottle Results'!T8:T10)</f>
        <v>7.3446555458707638E-2</v>
      </c>
      <c r="H4">
        <f>_xlfn.STDEV.S('Bottle Results'!T8:T10)</f>
        <v>4.5747274441493369E-3</v>
      </c>
      <c r="I4">
        <f>AVERAGE('Bottle Results'!D8:D10)</f>
        <v>6.97</v>
      </c>
      <c r="J4">
        <f>_xlfn.STDEV.S('Bottle Results'!D8:D10)</f>
        <v>2.0000000000000018E-2</v>
      </c>
      <c r="K4">
        <f>COUNT('Bottle Results'!J8:J10)</f>
        <v>3</v>
      </c>
    </row>
    <row r="5" spans="1:12" x14ac:dyDescent="0.25">
      <c r="A5" t="s">
        <v>130</v>
      </c>
      <c r="B5">
        <f>AVERAGE('Bottle Results'!N11:N13)</f>
        <v>0.58938614911648235</v>
      </c>
      <c r="C5">
        <f>_xlfn.STDEV.S('Bottle Results'!N11:N13)</f>
        <v>7.4284336951377494E-3</v>
      </c>
      <c r="D5">
        <f>AVERAGE('Bottle Results'!R11:R13)</f>
        <v>1008.3462756525291</v>
      </c>
      <c r="E5">
        <f>_xlfn.STDEV.S('Bottle Results'!R11:R13)</f>
        <v>104.23398780807268</v>
      </c>
      <c r="F5">
        <f>AVERAGE('Bottle Results'!P11:P13)</f>
        <v>66.124786723683386</v>
      </c>
      <c r="G5">
        <f>AVERAGE('Bottle Results'!T11:T13)</f>
        <v>0.10867591667348764</v>
      </c>
      <c r="H5">
        <f>_xlfn.STDEV.S('Bottle Results'!T11:T13)</f>
        <v>1.1233962426493766E-2</v>
      </c>
      <c r="I5">
        <f>AVERAGE('Bottle Results'!D11:D13)</f>
        <v>6.9733333333333327</v>
      </c>
      <c r="J5">
        <f>_xlfn.STDEV.S('Bottle Results'!D3:D11)</f>
        <v>2.522124325070265E-2</v>
      </c>
      <c r="K5">
        <f>COUNT('Bottle Results'!J11:J13)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2017-07-18T17:58:53Z</dcterms:modified>
</cp:coreProperties>
</file>