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AGW_7_7_2017\"/>
    </mc:Choice>
  </mc:AlternateContent>
  <bookViews>
    <workbookView xWindow="0" yWindow="0" windowWidth="7470" windowHeight="1228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2" i="5"/>
  <c r="G10" i="5"/>
  <c r="G7" i="5"/>
  <c r="G6" i="5"/>
  <c r="G5" i="5"/>
  <c r="F10" i="5"/>
  <c r="F9" i="5"/>
  <c r="G9" i="5" s="1"/>
  <c r="F8" i="5"/>
  <c r="G8" i="5" s="1"/>
  <c r="B13" i="5" l="1"/>
  <c r="B12" i="5"/>
  <c r="B11" i="5"/>
  <c r="B10" i="5"/>
  <c r="B9" i="5"/>
  <c r="B8" i="5"/>
  <c r="B7" i="5"/>
  <c r="B6" i="5"/>
  <c r="B5" i="5"/>
  <c r="B4" i="5"/>
  <c r="B3" i="5"/>
  <c r="B2" i="5"/>
  <c r="C9" i="1"/>
  <c r="C8" i="1"/>
  <c r="C6" i="1" l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I9" i="10" l="1"/>
  <c r="G7" i="10"/>
  <c r="I7" i="10" s="1"/>
  <c r="G6" i="10"/>
  <c r="I6" i="10" s="1"/>
  <c r="G5" i="10"/>
  <c r="K5" i="10" s="1"/>
  <c r="I8" i="10"/>
  <c r="K6" i="10"/>
  <c r="G4" i="10"/>
  <c r="K4" i="10" s="1"/>
  <c r="K9" i="10"/>
  <c r="K8" i="10"/>
  <c r="H5" i="10"/>
  <c r="G3" i="10"/>
  <c r="K3" i="10" s="1"/>
  <c r="H4" i="10"/>
  <c r="H3" i="10"/>
  <c r="I5" i="10" l="1"/>
  <c r="I4" i="10"/>
  <c r="K7" i="10"/>
  <c r="K11" i="10" s="1"/>
  <c r="I3" i="10"/>
  <c r="J5" i="8"/>
  <c r="J4" i="8"/>
  <c r="J3" i="8"/>
  <c r="I5" i="8"/>
  <c r="I4" i="8"/>
  <c r="I3" i="8"/>
  <c r="J2" i="8"/>
  <c r="I2" i="8"/>
  <c r="I11" i="10" l="1"/>
  <c r="F3" i="2"/>
  <c r="J2" i="5" s="1"/>
  <c r="F4" i="2"/>
  <c r="F5" i="2"/>
  <c r="J3" i="5" s="1"/>
  <c r="F6" i="2"/>
  <c r="F7" i="2"/>
  <c r="J5" i="5" s="1"/>
  <c r="F8" i="2"/>
  <c r="J6" i="5" s="1"/>
  <c r="F9" i="2"/>
  <c r="J7" i="5" s="1"/>
  <c r="F10" i="2"/>
  <c r="B9" i="1" s="1"/>
  <c r="F11" i="2"/>
  <c r="F12" i="2"/>
  <c r="F13" i="2"/>
  <c r="F14" i="2"/>
  <c r="F15" i="2"/>
  <c r="F16" i="2"/>
  <c r="F2" i="2"/>
  <c r="K3" i="8" l="1"/>
  <c r="J9" i="5"/>
  <c r="J10" i="5"/>
  <c r="N10" i="5" s="1"/>
  <c r="B8" i="1"/>
  <c r="J8" i="5"/>
  <c r="K4" i="8" s="1"/>
  <c r="J11" i="5"/>
  <c r="J4" i="5"/>
  <c r="N4" i="5" s="1"/>
  <c r="J13" i="5"/>
  <c r="N13" i="5" s="1"/>
  <c r="J12" i="5"/>
  <c r="N12" i="5" s="1"/>
  <c r="N3" i="5"/>
  <c r="N9" i="5"/>
  <c r="N7" i="5"/>
  <c r="N6" i="5"/>
  <c r="N5" i="5"/>
  <c r="K5" i="8" l="1"/>
  <c r="P8" i="5"/>
  <c r="P6" i="5"/>
  <c r="Q6" i="5" s="1"/>
  <c r="P9" i="5"/>
  <c r="Q9" i="5" s="1"/>
  <c r="P13" i="5"/>
  <c r="Q13" i="5" s="1"/>
  <c r="P10" i="5"/>
  <c r="Q10" i="5" s="1"/>
  <c r="P11" i="5"/>
  <c r="P12" i="5"/>
  <c r="Q12" i="5" s="1"/>
  <c r="P7" i="5"/>
  <c r="Q7" i="5" s="1"/>
  <c r="P2" i="5"/>
  <c r="P5" i="5"/>
  <c r="P3" i="5"/>
  <c r="Q3" i="5" s="1"/>
  <c r="P4" i="5"/>
  <c r="Q4" i="5" s="1"/>
  <c r="R12" i="5"/>
  <c r="T7" i="5"/>
  <c r="N8" i="5"/>
  <c r="O8" i="5" s="1"/>
  <c r="K2" i="8"/>
  <c r="R6" i="5"/>
  <c r="N11" i="5"/>
  <c r="T11" i="5" s="1"/>
  <c r="R9" i="5"/>
  <c r="O10" i="5"/>
  <c r="O4" i="5"/>
  <c r="O13" i="5"/>
  <c r="O12" i="5"/>
  <c r="O6" i="5"/>
  <c r="O5" i="5"/>
  <c r="O7" i="5"/>
  <c r="O9" i="5"/>
  <c r="O11" i="5"/>
  <c r="O3" i="5"/>
  <c r="R5" i="5"/>
  <c r="C4" i="8"/>
  <c r="T12" i="5"/>
  <c r="T3" i="5"/>
  <c r="T6" i="5"/>
  <c r="C3" i="8"/>
  <c r="B3" i="8"/>
  <c r="T9" i="5"/>
  <c r="R7" i="5"/>
  <c r="C5" i="8"/>
  <c r="B5" i="8"/>
  <c r="N2" i="5"/>
  <c r="R8" i="5" l="1"/>
  <c r="R11" i="5"/>
  <c r="B4" i="8"/>
  <c r="T10" i="5"/>
  <c r="T8" i="5"/>
  <c r="G4" i="8" s="1"/>
  <c r="R10" i="5"/>
  <c r="O2" i="5"/>
  <c r="B2" i="8"/>
  <c r="Q5" i="5"/>
  <c r="F3" i="8"/>
  <c r="T5" i="5"/>
  <c r="H3" i="8" s="1"/>
  <c r="Q8" i="5"/>
  <c r="F4" i="8"/>
  <c r="R3" i="5"/>
  <c r="T4" i="5"/>
  <c r="Q11" i="5"/>
  <c r="F5" i="8"/>
  <c r="R4" i="5"/>
  <c r="Q2" i="5"/>
  <c r="F2" i="8"/>
  <c r="R13" i="5"/>
  <c r="T13" i="5"/>
  <c r="G5" i="8" s="1"/>
  <c r="G3" i="8"/>
  <c r="D3" i="8"/>
  <c r="H4" i="8"/>
  <c r="E3" i="8"/>
  <c r="C2" i="8"/>
  <c r="R2" i="5"/>
  <c r="T2" i="5"/>
  <c r="D5" i="8"/>
  <c r="E5" i="8"/>
  <c r="D4" i="8" l="1"/>
  <c r="E4" i="8"/>
  <c r="H5" i="8"/>
  <c r="G2" i="8"/>
  <c r="H2" i="8"/>
  <c r="E2" i="8"/>
  <c r="D2" i="8"/>
</calcChain>
</file>

<file path=xl/sharedStrings.xml><?xml version="1.0" encoding="utf-8"?>
<sst xmlns="http://schemas.openxmlformats.org/spreadsheetml/2006/main" count="319" uniqueCount="132">
  <si>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</si>
  <si>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</si>
  <si>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</si>
  <si>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</si>
  <si>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</si>
  <si>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</si>
  <si>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</si>
  <si>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</si>
  <si>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</si>
  <si>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</si>
  <si>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</si>
  <si>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</si>
  <si>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</si>
  <si>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</si>
  <si>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</si>
  <si>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</si>
  <si>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</si>
  <si>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</si>
  <si>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</si>
  <si>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</si>
  <si>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</si>
  <si>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</si>
  <si>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</si>
  <si>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</si>
  <si>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</si>
  <si>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</si>
  <si>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</si>
  <si>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</si>
  <si>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</si>
  <si>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</si>
  <si>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</si>
  <si>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</si>
  <si>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</si>
  <si>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</si>
  <si>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</si>
  <si>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</si>
  <si>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</si>
  <si>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</si>
  <si>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</si>
  <si>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</si>
  <si>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</si>
  <si>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</si>
  <si>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</si>
  <si>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</si>
  <si>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</si>
  <si>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</si>
  <si>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</si>
  <si>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</si>
  <si>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</si>
  <si>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</si>
  <si>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</si>
  <si>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</si>
  <si>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</si>
  <si>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</si>
  <si>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</si>
  <si>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</si>
  <si>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</si>
  <si>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</si>
  <si>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</si>
  <si>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</si>
  <si>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</si>
  <si>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</si>
  <si>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</si>
  <si>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</si>
  <si>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</si>
  <si>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</si>
  <si>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</si>
  <si>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</si>
  <si>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</si>
  <si>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</si>
  <si>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</si>
  <si>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</si>
  <si>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</si>
  <si>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</si>
  <si>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</si>
  <si>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</si>
  <si>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</si>
  <si>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</si>
  <si>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</si>
  <si>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</si>
  <si>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</si>
  <si>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</si>
  <si>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</si>
  <si>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</si>
  <si>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</si>
  <si>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</si>
  <si>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</si>
  <si>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</si>
  <si>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</si>
  <si>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</si>
  <si>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</si>
  <si>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</si>
  <si>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</si>
  <si>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</si>
  <si>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</si>
  <si>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</si>
  <si>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</si>
  <si>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</si>
  <si>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</si>
  <si>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</si>
  <si>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</si>
  <si>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</si>
  <si>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</si>
  <si>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</si>
  <si>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Multiple</t>
  </si>
  <si>
    <t>RaGlassAGW_1A</t>
  </si>
  <si>
    <t>RaGlassAGW_1B</t>
  </si>
  <si>
    <t>RaGlassAGW_1C</t>
  </si>
  <si>
    <t>RaMontAGW_1A</t>
  </si>
  <si>
    <t>RaMontAGW_1B</t>
  </si>
  <si>
    <t>RaMontAGW_1C</t>
  </si>
  <si>
    <t>RaFHYAGW_1A</t>
  </si>
  <si>
    <t>RaFHYAGW_1B</t>
  </si>
  <si>
    <t>RaFHYAGW_1C</t>
  </si>
  <si>
    <t>RaGOEAGW_1A</t>
  </si>
  <si>
    <t>RaGOEAGW_1B</t>
  </si>
  <si>
    <t>RaGOWAGW_1C</t>
  </si>
  <si>
    <t>Initial Stock</t>
  </si>
  <si>
    <t>Final Stock</t>
  </si>
  <si>
    <t>Initial measurement of Ra in AGW stock</t>
  </si>
  <si>
    <t>AGW Initial Stock</t>
  </si>
  <si>
    <t>AGW Final Stock</t>
  </si>
  <si>
    <t>Final measurement of Ra in AGW</t>
  </si>
  <si>
    <t>RaGlassAGW_1A (5mL)</t>
  </si>
  <si>
    <t>FHY Slurry</t>
  </si>
  <si>
    <t>g/L FHY</t>
  </si>
  <si>
    <t>Slurry Amount (mL)</t>
  </si>
  <si>
    <t>Count</t>
  </si>
  <si>
    <t>RaGlassAGW_1</t>
  </si>
  <si>
    <t>RaMontAGW_1</t>
  </si>
  <si>
    <t>RaFHYAGW_1</t>
  </si>
  <si>
    <t>RaGOEAGW_1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</si>
</sst>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06320"/>
        <c:axId val="225907496"/>
      </c:scatterChart>
      <c:valAx>
        <c:axId val="22590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907496"/>
        <c:crosses val="autoZero"/>
        <c:crossBetween val="midCat"/>
      </c:valAx>
      <c:valAx>
        <c:axId val="225907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90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06712"/>
        <c:axId val="230436712"/>
      </c:scatterChart>
      <c:valAx>
        <c:axId val="22590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436712"/>
        <c:crosses val="autoZero"/>
        <c:crossBetween val="midCat"/>
      </c:valAx>
      <c:valAx>
        <c:axId val="230436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906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0" sqref="B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42892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117</v>
      </c>
      <c r="B8">
        <f>'Count-&gt;Actual Activity'!F2/10</f>
        <v>0.64004194118429558</v>
      </c>
      <c r="C8">
        <f>'Count-&gt;Actual Activity'!G2</f>
        <v>0.15745067498955981</v>
      </c>
      <c r="D8" t="s">
        <v>20</v>
      </c>
      <c r="E8" t="s">
        <v>119</v>
      </c>
    </row>
    <row r="9" spans="1:5" x14ac:dyDescent="0.25">
      <c r="A9" t="s">
        <v>118</v>
      </c>
      <c r="B9">
        <f>'Count-&gt;Actual Activity'!F10/10</f>
        <v>0.63186999960120249</v>
      </c>
      <c r="C9">
        <f>'Count-&gt;Actual Activity'!G10</f>
        <v>0.15745067498955981</v>
      </c>
      <c r="D9" t="s">
        <v>20</v>
      </c>
      <c r="E9" t="s">
        <v>122</v>
      </c>
    </row>
    <row r="10" spans="1:5" x14ac:dyDescent="0.25">
      <c r="A10" t="s">
        <v>124</v>
      </c>
      <c r="B10">
        <v>32.102209408675648</v>
      </c>
      <c r="C10">
        <v>0.2103500515048406</v>
      </c>
      <c r="D10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C107" sqref="C107"/>
    </sheetView>
  </sheetViews>
  <sheetFormatPr defaultRowHeight="15" x14ac:dyDescent="0.25"/>
  <cols>
    <col min="1" max="1" width="14.85546875" bestFit="1" customWidth="1"/>
    <col min="2" max="2" width="21.140625" bestFit="1" customWidth="1"/>
    <col min="3" max="3" width="7" bestFit="1" customWidth="1"/>
    <col min="4" max="4" width="7.28515625" bestFit="1" customWidth="1"/>
    <col min="5" max="5" width="8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42921.402777777781</v>
      </c>
      <c r="B2" t="s">
        <v>120</v>
      </c>
      <c r="C2">
        <v>2461.6999999999998</v>
      </c>
      <c r="D2">
        <v>1.27</v>
      </c>
      <c r="E2">
        <v>0</v>
      </c>
      <c r="F2">
        <v>43.16</v>
      </c>
    </row>
    <row r="3" spans="1:6" x14ac:dyDescent="0.25">
      <c r="A3" s="16">
        <v>42921.402777777781</v>
      </c>
      <c r="B3" t="s">
        <v>105</v>
      </c>
      <c r="C3">
        <v>2318.1999999999998</v>
      </c>
      <c r="D3">
        <v>1.31</v>
      </c>
      <c r="E3">
        <v>0</v>
      </c>
      <c r="F3">
        <v>53.78</v>
      </c>
    </row>
    <row r="4" spans="1:6" x14ac:dyDescent="0.25">
      <c r="A4" s="16">
        <v>42921.402777777781</v>
      </c>
      <c r="B4" t="s">
        <v>123</v>
      </c>
      <c r="C4">
        <v>1178</v>
      </c>
      <c r="D4">
        <v>1.84</v>
      </c>
      <c r="E4">
        <v>0.02</v>
      </c>
      <c r="F4">
        <v>64.41</v>
      </c>
    </row>
    <row r="5" spans="1:6" x14ac:dyDescent="0.25">
      <c r="A5" s="16">
        <v>42921.402777777781</v>
      </c>
      <c r="B5" t="s">
        <v>106</v>
      </c>
      <c r="C5">
        <v>2347.3000000000002</v>
      </c>
      <c r="D5">
        <v>1.31</v>
      </c>
      <c r="E5">
        <v>0</v>
      </c>
      <c r="F5">
        <v>75.05</v>
      </c>
    </row>
    <row r="6" spans="1:6" x14ac:dyDescent="0.25">
      <c r="A6" s="16">
        <v>42921.402777777781</v>
      </c>
      <c r="B6" t="s">
        <v>107</v>
      </c>
      <c r="C6">
        <v>2369.3000000000002</v>
      </c>
      <c r="D6">
        <v>1.3</v>
      </c>
      <c r="E6">
        <v>0</v>
      </c>
      <c r="F6">
        <v>85.66</v>
      </c>
    </row>
    <row r="7" spans="1:6" x14ac:dyDescent="0.25">
      <c r="A7" s="16">
        <v>42921.402777777781</v>
      </c>
      <c r="B7" t="s">
        <v>108</v>
      </c>
      <c r="C7">
        <v>1754.5</v>
      </c>
      <c r="D7">
        <v>1.51</v>
      </c>
      <c r="E7">
        <v>0.01</v>
      </c>
      <c r="F7">
        <v>96.29</v>
      </c>
    </row>
    <row r="8" spans="1:6" x14ac:dyDescent="0.25">
      <c r="A8" s="16">
        <v>42921.402777777781</v>
      </c>
      <c r="B8" t="s">
        <v>109</v>
      </c>
      <c r="C8">
        <v>1732.8</v>
      </c>
      <c r="D8">
        <v>1.52</v>
      </c>
      <c r="E8">
        <v>0.01</v>
      </c>
      <c r="F8">
        <v>106.91</v>
      </c>
    </row>
    <row r="9" spans="1:6" x14ac:dyDescent="0.25">
      <c r="A9" s="16">
        <v>42921.402777777781</v>
      </c>
      <c r="B9" t="s">
        <v>110</v>
      </c>
      <c r="C9">
        <v>1720.2</v>
      </c>
      <c r="D9">
        <v>1.52</v>
      </c>
      <c r="E9">
        <v>0.01</v>
      </c>
      <c r="F9">
        <v>117.54</v>
      </c>
    </row>
    <row r="10" spans="1:6" x14ac:dyDescent="0.25">
      <c r="A10" s="16">
        <v>42921.402777777781</v>
      </c>
      <c r="B10" t="s">
        <v>121</v>
      </c>
      <c r="C10">
        <v>2444.6</v>
      </c>
      <c r="D10">
        <v>1.28</v>
      </c>
      <c r="E10">
        <v>0.01</v>
      </c>
      <c r="F10">
        <v>128.18</v>
      </c>
    </row>
    <row r="11" spans="1:6" x14ac:dyDescent="0.25">
      <c r="A11" s="16">
        <v>42921.402777777781</v>
      </c>
      <c r="B11" t="s">
        <v>111</v>
      </c>
      <c r="C11">
        <v>1934.3</v>
      </c>
      <c r="D11">
        <v>1.44</v>
      </c>
      <c r="E11">
        <v>0.01</v>
      </c>
      <c r="F11">
        <v>138.91999999999999</v>
      </c>
    </row>
    <row r="12" spans="1:6" x14ac:dyDescent="0.25">
      <c r="A12" s="16">
        <v>42921.402777777781</v>
      </c>
      <c r="B12" t="s">
        <v>112</v>
      </c>
      <c r="C12">
        <v>1990.6</v>
      </c>
      <c r="D12">
        <v>1.42</v>
      </c>
      <c r="E12">
        <v>0</v>
      </c>
      <c r="F12">
        <v>149.56</v>
      </c>
    </row>
    <row r="13" spans="1:6" x14ac:dyDescent="0.25">
      <c r="A13" s="16">
        <v>42921.402777777781</v>
      </c>
      <c r="B13" t="s">
        <v>113</v>
      </c>
      <c r="C13">
        <v>1961.6</v>
      </c>
      <c r="D13">
        <v>1.43</v>
      </c>
      <c r="E13">
        <v>0.01</v>
      </c>
      <c r="F13">
        <v>160.19</v>
      </c>
    </row>
    <row r="14" spans="1:6" x14ac:dyDescent="0.25">
      <c r="A14" s="16">
        <v>42921.402777777781</v>
      </c>
      <c r="B14" t="s">
        <v>114</v>
      </c>
      <c r="C14">
        <v>2143.1</v>
      </c>
      <c r="D14">
        <v>1.37</v>
      </c>
      <c r="E14">
        <v>0.01</v>
      </c>
      <c r="F14">
        <v>170.83</v>
      </c>
    </row>
    <row r="15" spans="1:6" x14ac:dyDescent="0.25">
      <c r="A15" s="16">
        <v>42921.402777777781</v>
      </c>
      <c r="B15" t="s">
        <v>115</v>
      </c>
      <c r="C15">
        <v>2157.3000000000002</v>
      </c>
      <c r="D15">
        <v>1.36</v>
      </c>
      <c r="E15">
        <v>0</v>
      </c>
      <c r="F15">
        <v>181.46</v>
      </c>
    </row>
    <row r="16" spans="1:6" x14ac:dyDescent="0.25">
      <c r="A16" s="16">
        <v>42921.402777777781</v>
      </c>
      <c r="B16" t="s">
        <v>116</v>
      </c>
      <c r="C16">
        <v>2194.5</v>
      </c>
      <c r="D16">
        <v>1.35</v>
      </c>
      <c r="E16">
        <v>0.01</v>
      </c>
      <c r="F16">
        <v>192.11</v>
      </c>
    </row>
    <row r="17" spans="1:6" x14ac:dyDescent="0.25">
      <c r="A17" s="16">
        <v>42922.615277777775</v>
      </c>
      <c r="B17" t="s">
        <v>120</v>
      </c>
      <c r="C17">
        <v>2426.4</v>
      </c>
      <c r="D17">
        <v>1.28</v>
      </c>
      <c r="E17">
        <v>0</v>
      </c>
      <c r="F17">
        <v>42.97</v>
      </c>
    </row>
    <row r="18" spans="1:6" x14ac:dyDescent="0.25">
      <c r="A18" s="16">
        <v>42922.615277777775</v>
      </c>
      <c r="B18" t="s">
        <v>105</v>
      </c>
      <c r="C18">
        <v>2279.8000000000002</v>
      </c>
      <c r="D18">
        <v>1.32</v>
      </c>
      <c r="E18">
        <v>0.01</v>
      </c>
      <c r="F18">
        <v>53.6</v>
      </c>
    </row>
    <row r="19" spans="1:6" x14ac:dyDescent="0.25">
      <c r="A19" s="16">
        <v>42922.615277777775</v>
      </c>
      <c r="B19" t="s">
        <v>123</v>
      </c>
      <c r="C19">
        <v>1218.4000000000001</v>
      </c>
      <c r="D19">
        <v>1.81</v>
      </c>
      <c r="E19">
        <v>0.02</v>
      </c>
      <c r="F19">
        <v>64.23</v>
      </c>
    </row>
    <row r="20" spans="1:6" x14ac:dyDescent="0.25">
      <c r="A20" s="16">
        <v>42922.615277777775</v>
      </c>
      <c r="B20" t="s">
        <v>106</v>
      </c>
      <c r="C20">
        <v>2274.5</v>
      </c>
      <c r="D20">
        <v>1.33</v>
      </c>
      <c r="E20">
        <v>0.01</v>
      </c>
      <c r="F20">
        <v>74.86</v>
      </c>
    </row>
    <row r="21" spans="1:6" x14ac:dyDescent="0.25">
      <c r="A21" s="16">
        <v>42922.615277777775</v>
      </c>
      <c r="B21" t="s">
        <v>107</v>
      </c>
      <c r="C21">
        <v>2299.1</v>
      </c>
      <c r="D21">
        <v>1.32</v>
      </c>
      <c r="E21">
        <v>0.01</v>
      </c>
      <c r="F21">
        <v>85.48</v>
      </c>
    </row>
    <row r="22" spans="1:6" x14ac:dyDescent="0.25">
      <c r="A22" s="16">
        <v>42922.615277777775</v>
      </c>
      <c r="B22" t="s">
        <v>108</v>
      </c>
      <c r="C22">
        <v>1684.7</v>
      </c>
      <c r="D22">
        <v>1.54</v>
      </c>
      <c r="E22">
        <v>0.01</v>
      </c>
      <c r="F22">
        <v>96.11</v>
      </c>
    </row>
    <row r="23" spans="1:6" x14ac:dyDescent="0.25">
      <c r="A23" s="16">
        <v>42922.615277777775</v>
      </c>
      <c r="B23" t="s">
        <v>109</v>
      </c>
      <c r="C23">
        <v>1722.9</v>
      </c>
      <c r="D23">
        <v>1.52</v>
      </c>
      <c r="E23">
        <v>0.01</v>
      </c>
      <c r="F23">
        <v>106.75</v>
      </c>
    </row>
    <row r="24" spans="1:6" x14ac:dyDescent="0.25">
      <c r="A24" s="16">
        <v>42922.615277777775</v>
      </c>
      <c r="B24" t="s">
        <v>110</v>
      </c>
      <c r="C24">
        <v>1684.7</v>
      </c>
      <c r="D24">
        <v>1.54</v>
      </c>
      <c r="E24">
        <v>0.01</v>
      </c>
      <c r="F24">
        <v>117.36</v>
      </c>
    </row>
    <row r="25" spans="1:6" x14ac:dyDescent="0.25">
      <c r="A25" s="16">
        <v>42922.615277777775</v>
      </c>
      <c r="B25" t="s">
        <v>121</v>
      </c>
      <c r="C25">
        <v>2389</v>
      </c>
      <c r="D25">
        <v>1.29</v>
      </c>
      <c r="E25">
        <v>0.01</v>
      </c>
      <c r="F25">
        <v>128</v>
      </c>
    </row>
    <row r="26" spans="1:6" x14ac:dyDescent="0.25">
      <c r="A26" s="16">
        <v>42922.615277777775</v>
      </c>
      <c r="B26" t="s">
        <v>111</v>
      </c>
      <c r="C26">
        <v>1913.4</v>
      </c>
      <c r="D26">
        <v>1.45</v>
      </c>
      <c r="E26">
        <v>0.02</v>
      </c>
      <c r="F26">
        <v>138.76</v>
      </c>
    </row>
    <row r="27" spans="1:6" x14ac:dyDescent="0.25">
      <c r="A27" s="16">
        <v>42922.615277777775</v>
      </c>
      <c r="B27" t="s">
        <v>112</v>
      </c>
      <c r="C27">
        <v>1953.6</v>
      </c>
      <c r="D27">
        <v>1.43</v>
      </c>
      <c r="E27">
        <v>0.01</v>
      </c>
      <c r="F27">
        <v>149.38</v>
      </c>
    </row>
    <row r="28" spans="1:6" x14ac:dyDescent="0.25">
      <c r="A28" s="16">
        <v>42922.615277777775</v>
      </c>
      <c r="B28" t="s">
        <v>113</v>
      </c>
      <c r="C28">
        <v>1946.8</v>
      </c>
      <c r="D28">
        <v>1.43</v>
      </c>
      <c r="E28">
        <v>0.01</v>
      </c>
      <c r="F28">
        <v>160.01</v>
      </c>
    </row>
    <row r="29" spans="1:6" x14ac:dyDescent="0.25">
      <c r="A29" s="16">
        <v>42922.615277777775</v>
      </c>
      <c r="B29" t="s">
        <v>114</v>
      </c>
      <c r="C29">
        <v>2124.6</v>
      </c>
      <c r="D29">
        <v>1.37</v>
      </c>
      <c r="E29">
        <v>0</v>
      </c>
      <c r="F29">
        <v>170.65</v>
      </c>
    </row>
    <row r="30" spans="1:6" x14ac:dyDescent="0.25">
      <c r="A30" s="16">
        <v>42922.615277777775</v>
      </c>
      <c r="B30" t="s">
        <v>115</v>
      </c>
      <c r="C30">
        <v>2161.3000000000002</v>
      </c>
      <c r="D30">
        <v>1.36</v>
      </c>
      <c r="E30">
        <v>0</v>
      </c>
      <c r="F30">
        <v>181.28</v>
      </c>
    </row>
    <row r="31" spans="1:6" x14ac:dyDescent="0.25">
      <c r="A31" s="16">
        <v>42922.615277777775</v>
      </c>
      <c r="B31" t="s">
        <v>116</v>
      </c>
      <c r="C31">
        <v>2161.5</v>
      </c>
      <c r="D31">
        <v>1.36</v>
      </c>
      <c r="E31">
        <v>0.01</v>
      </c>
      <c r="F31">
        <v>191.92</v>
      </c>
    </row>
    <row r="32" spans="1:6" x14ac:dyDescent="0.25">
      <c r="A32" s="16">
        <v>42926.624305555553</v>
      </c>
      <c r="B32" t="s">
        <v>120</v>
      </c>
      <c r="C32">
        <v>2430.6999999999998</v>
      </c>
      <c r="D32">
        <v>1.28</v>
      </c>
      <c r="E32">
        <v>0</v>
      </c>
      <c r="F32">
        <v>43</v>
      </c>
    </row>
    <row r="33" spans="1:6" x14ac:dyDescent="0.25">
      <c r="A33" s="16">
        <v>42926.624305555553</v>
      </c>
      <c r="B33" t="s">
        <v>105</v>
      </c>
      <c r="C33">
        <v>2308</v>
      </c>
      <c r="D33">
        <v>1.32</v>
      </c>
      <c r="E33">
        <v>0</v>
      </c>
      <c r="F33">
        <v>53.61</v>
      </c>
    </row>
    <row r="34" spans="1:6" x14ac:dyDescent="0.25">
      <c r="A34" s="16">
        <v>42926.624305555553</v>
      </c>
      <c r="B34" t="s">
        <v>123</v>
      </c>
      <c r="C34">
        <v>1201.7</v>
      </c>
      <c r="D34">
        <v>1.82</v>
      </c>
      <c r="E34">
        <v>0.01</v>
      </c>
      <c r="F34">
        <v>64.239999999999995</v>
      </c>
    </row>
    <row r="35" spans="1:6" x14ac:dyDescent="0.25">
      <c r="A35" s="16">
        <v>42926.624305555553</v>
      </c>
      <c r="B35" t="s">
        <v>106</v>
      </c>
      <c r="C35">
        <v>2231.4</v>
      </c>
      <c r="D35">
        <v>1.34</v>
      </c>
      <c r="E35">
        <v>0</v>
      </c>
      <c r="F35">
        <v>74.86</v>
      </c>
    </row>
    <row r="36" spans="1:6" x14ac:dyDescent="0.25">
      <c r="A36" s="16">
        <v>42926.624305555553</v>
      </c>
      <c r="B36" t="s">
        <v>107</v>
      </c>
      <c r="C36">
        <v>2300.8000000000002</v>
      </c>
      <c r="D36">
        <v>1.32</v>
      </c>
      <c r="E36">
        <v>0</v>
      </c>
      <c r="F36">
        <v>85.49</v>
      </c>
    </row>
    <row r="37" spans="1:6" x14ac:dyDescent="0.25">
      <c r="A37" s="16">
        <v>42926.624305555553</v>
      </c>
      <c r="B37" t="s">
        <v>108</v>
      </c>
      <c r="C37">
        <v>1692.8</v>
      </c>
      <c r="D37">
        <v>1.54</v>
      </c>
      <c r="E37">
        <v>0</v>
      </c>
      <c r="F37">
        <v>96.11</v>
      </c>
    </row>
    <row r="38" spans="1:6" x14ac:dyDescent="0.25">
      <c r="A38" s="16">
        <v>42926.624305555553</v>
      </c>
      <c r="B38" t="s">
        <v>109</v>
      </c>
      <c r="C38">
        <v>1725.1</v>
      </c>
      <c r="D38">
        <v>1.52</v>
      </c>
      <c r="E38">
        <v>0.01</v>
      </c>
      <c r="F38">
        <v>106.74</v>
      </c>
    </row>
    <row r="39" spans="1:6" x14ac:dyDescent="0.25">
      <c r="A39" s="16">
        <v>42926.624305555553</v>
      </c>
      <c r="B39" t="s">
        <v>110</v>
      </c>
      <c r="C39">
        <v>1693.9</v>
      </c>
      <c r="D39">
        <v>1.54</v>
      </c>
      <c r="E39">
        <v>0.01</v>
      </c>
      <c r="F39">
        <v>117.36</v>
      </c>
    </row>
    <row r="40" spans="1:6" x14ac:dyDescent="0.25">
      <c r="A40" s="16">
        <v>42926.624305555553</v>
      </c>
      <c r="B40" t="s">
        <v>121</v>
      </c>
      <c r="C40">
        <v>2363.9</v>
      </c>
      <c r="D40">
        <v>1.3</v>
      </c>
      <c r="E40">
        <v>0</v>
      </c>
      <c r="F40">
        <v>128</v>
      </c>
    </row>
    <row r="41" spans="1:6" x14ac:dyDescent="0.25">
      <c r="A41" s="16">
        <v>42926.624305555553</v>
      </c>
      <c r="B41" t="s">
        <v>111</v>
      </c>
      <c r="C41">
        <v>1890.2</v>
      </c>
      <c r="D41">
        <v>1.45</v>
      </c>
      <c r="E41">
        <v>0.01</v>
      </c>
      <c r="F41">
        <v>138.72999999999999</v>
      </c>
    </row>
    <row r="42" spans="1:6" x14ac:dyDescent="0.25">
      <c r="A42" s="16">
        <v>42926.624305555553</v>
      </c>
      <c r="B42" t="s">
        <v>112</v>
      </c>
      <c r="C42">
        <v>1942.3</v>
      </c>
      <c r="D42">
        <v>1.44</v>
      </c>
      <c r="E42">
        <v>0</v>
      </c>
      <c r="F42">
        <v>149.36000000000001</v>
      </c>
    </row>
    <row r="43" spans="1:6" x14ac:dyDescent="0.25">
      <c r="A43" s="16">
        <v>42926.624305555553</v>
      </c>
      <c r="B43" t="s">
        <v>113</v>
      </c>
      <c r="C43">
        <v>1916.8</v>
      </c>
      <c r="D43">
        <v>1.44</v>
      </c>
      <c r="E43">
        <v>0</v>
      </c>
      <c r="F43">
        <v>159.97</v>
      </c>
    </row>
    <row r="44" spans="1:6" x14ac:dyDescent="0.25">
      <c r="A44" s="16">
        <v>42926.624305555553</v>
      </c>
      <c r="B44" t="s">
        <v>114</v>
      </c>
      <c r="C44">
        <v>2093</v>
      </c>
      <c r="D44">
        <v>1.38</v>
      </c>
      <c r="E44">
        <v>0</v>
      </c>
      <c r="F44">
        <v>170.61</v>
      </c>
    </row>
    <row r="45" spans="1:6" x14ac:dyDescent="0.25">
      <c r="A45" s="16">
        <v>42926.624305555553</v>
      </c>
      <c r="B45" t="s">
        <v>115</v>
      </c>
      <c r="C45">
        <v>2118.1</v>
      </c>
      <c r="D45">
        <v>1.37</v>
      </c>
      <c r="E45">
        <v>0</v>
      </c>
      <c r="F45">
        <v>181.24</v>
      </c>
    </row>
    <row r="46" spans="1:6" x14ac:dyDescent="0.25">
      <c r="A46" s="16">
        <v>42926.624305555553</v>
      </c>
      <c r="B46" t="s">
        <v>116</v>
      </c>
      <c r="C46">
        <v>2120.1999999999998</v>
      </c>
      <c r="D46">
        <v>1.37</v>
      </c>
      <c r="E46">
        <v>0.01</v>
      </c>
      <c r="F46">
        <v>191.88</v>
      </c>
    </row>
    <row r="47" spans="1:6" x14ac:dyDescent="0.25">
      <c r="A47" s="16">
        <v>42923.320833333331</v>
      </c>
      <c r="B47" t="s">
        <v>120</v>
      </c>
      <c r="C47">
        <v>2449.4</v>
      </c>
      <c r="D47">
        <v>1.28</v>
      </c>
      <c r="E47">
        <v>0</v>
      </c>
      <c r="F47">
        <v>42.93</v>
      </c>
    </row>
    <row r="48" spans="1:6" x14ac:dyDescent="0.25">
      <c r="A48" s="16">
        <v>42923.320833333331</v>
      </c>
      <c r="B48" t="s">
        <v>105</v>
      </c>
      <c r="C48">
        <v>2326.6999999999998</v>
      </c>
      <c r="D48">
        <v>1.31</v>
      </c>
      <c r="E48">
        <v>0</v>
      </c>
      <c r="F48">
        <v>53.56</v>
      </c>
    </row>
    <row r="49" spans="1:6" x14ac:dyDescent="0.25">
      <c r="A49" s="16">
        <v>42923.320833333331</v>
      </c>
      <c r="B49" t="s">
        <v>123</v>
      </c>
      <c r="C49">
        <v>1202.2</v>
      </c>
      <c r="D49">
        <v>1.82</v>
      </c>
      <c r="E49">
        <v>0.01</v>
      </c>
      <c r="F49">
        <v>64.180000000000007</v>
      </c>
    </row>
    <row r="50" spans="1:6" x14ac:dyDescent="0.25">
      <c r="A50" s="16">
        <v>42923.320833333331</v>
      </c>
      <c r="B50" t="s">
        <v>106</v>
      </c>
      <c r="C50">
        <v>2256</v>
      </c>
      <c r="D50">
        <v>1.33</v>
      </c>
      <c r="E50">
        <v>0</v>
      </c>
      <c r="F50">
        <v>74.81</v>
      </c>
    </row>
    <row r="51" spans="1:6" x14ac:dyDescent="0.25">
      <c r="A51" s="16">
        <v>42923.320833333331</v>
      </c>
      <c r="B51" t="s">
        <v>107</v>
      </c>
      <c r="C51">
        <v>2330.3000000000002</v>
      </c>
      <c r="D51">
        <v>1.31</v>
      </c>
      <c r="E51">
        <v>0</v>
      </c>
      <c r="F51">
        <v>85.43</v>
      </c>
    </row>
    <row r="52" spans="1:6" x14ac:dyDescent="0.25">
      <c r="A52" s="16">
        <v>42923.320833333331</v>
      </c>
      <c r="B52" t="s">
        <v>108</v>
      </c>
      <c r="C52">
        <v>1715.7</v>
      </c>
      <c r="D52">
        <v>1.53</v>
      </c>
      <c r="E52">
        <v>0.01</v>
      </c>
      <c r="F52">
        <v>96.06</v>
      </c>
    </row>
    <row r="53" spans="1:6" x14ac:dyDescent="0.25">
      <c r="A53" s="16">
        <v>42923.320833333331</v>
      </c>
      <c r="B53" t="s">
        <v>109</v>
      </c>
      <c r="C53">
        <v>1705</v>
      </c>
      <c r="D53">
        <v>1.53</v>
      </c>
      <c r="E53">
        <v>0.01</v>
      </c>
      <c r="F53">
        <v>106.68</v>
      </c>
    </row>
    <row r="54" spans="1:6" x14ac:dyDescent="0.25">
      <c r="A54" s="16">
        <v>42923.320833333331</v>
      </c>
      <c r="B54" t="s">
        <v>110</v>
      </c>
      <c r="C54">
        <v>1700.7</v>
      </c>
      <c r="D54">
        <v>1.53</v>
      </c>
      <c r="E54">
        <v>0.01</v>
      </c>
      <c r="F54">
        <v>117.31</v>
      </c>
    </row>
    <row r="55" spans="1:6" x14ac:dyDescent="0.25">
      <c r="A55" s="16">
        <v>42923.320833333331</v>
      </c>
      <c r="B55" t="s">
        <v>121</v>
      </c>
      <c r="C55">
        <v>2407.1</v>
      </c>
      <c r="D55">
        <v>1.29</v>
      </c>
      <c r="E55">
        <v>0</v>
      </c>
      <c r="F55">
        <v>127.95</v>
      </c>
    </row>
    <row r="56" spans="1:6" x14ac:dyDescent="0.25">
      <c r="A56" s="16">
        <v>42923.320833333331</v>
      </c>
      <c r="B56" t="s">
        <v>111</v>
      </c>
      <c r="C56">
        <v>1907.9</v>
      </c>
      <c r="D56">
        <v>1.45</v>
      </c>
      <c r="E56">
        <v>0.02</v>
      </c>
      <c r="F56">
        <v>138.69</v>
      </c>
    </row>
    <row r="57" spans="1:6" x14ac:dyDescent="0.25">
      <c r="A57" s="16">
        <v>42923.320833333331</v>
      </c>
      <c r="B57" t="s">
        <v>112</v>
      </c>
      <c r="C57">
        <v>1962.1</v>
      </c>
      <c r="D57">
        <v>1.43</v>
      </c>
      <c r="E57">
        <v>0</v>
      </c>
      <c r="F57">
        <v>149.32</v>
      </c>
    </row>
    <row r="58" spans="1:6" x14ac:dyDescent="0.25">
      <c r="A58" s="16">
        <v>42923.320833333331</v>
      </c>
      <c r="B58" t="s">
        <v>113</v>
      </c>
      <c r="C58">
        <v>1957.3</v>
      </c>
      <c r="D58">
        <v>1.43</v>
      </c>
      <c r="E58">
        <v>0.01</v>
      </c>
      <c r="F58">
        <v>159.94</v>
      </c>
    </row>
    <row r="59" spans="1:6" x14ac:dyDescent="0.25">
      <c r="A59" s="16">
        <v>42923.320833333331</v>
      </c>
      <c r="B59" t="s">
        <v>114</v>
      </c>
      <c r="C59">
        <v>2130.9</v>
      </c>
      <c r="D59">
        <v>1.37</v>
      </c>
      <c r="E59">
        <v>0</v>
      </c>
      <c r="F59">
        <v>170.58</v>
      </c>
    </row>
    <row r="60" spans="1:6" x14ac:dyDescent="0.25">
      <c r="A60" s="16">
        <v>42923.320833333331</v>
      </c>
      <c r="B60" t="s">
        <v>115</v>
      </c>
      <c r="C60">
        <v>2153.8000000000002</v>
      </c>
      <c r="D60">
        <v>1.38</v>
      </c>
      <c r="E60">
        <v>0</v>
      </c>
      <c r="F60">
        <v>181.21</v>
      </c>
    </row>
    <row r="61" spans="1:6" x14ac:dyDescent="0.25">
      <c r="A61" s="16">
        <v>42923.320833333331</v>
      </c>
      <c r="B61" t="s">
        <v>116</v>
      </c>
      <c r="C61">
        <v>2171.5</v>
      </c>
      <c r="D61">
        <v>1.36</v>
      </c>
      <c r="E61">
        <v>0.01</v>
      </c>
      <c r="F61">
        <v>191.85</v>
      </c>
    </row>
    <row r="62" spans="1:6" x14ac:dyDescent="0.25">
      <c r="A62" s="16">
        <v>42927.490277777775</v>
      </c>
      <c r="B62" t="s">
        <v>120</v>
      </c>
      <c r="C62">
        <v>2420.1999999999998</v>
      </c>
      <c r="D62">
        <v>1.29</v>
      </c>
      <c r="E62">
        <v>0</v>
      </c>
      <c r="F62">
        <v>42.9</v>
      </c>
    </row>
    <row r="63" spans="1:6" x14ac:dyDescent="0.25">
      <c r="A63" s="16">
        <v>42927.490277777775</v>
      </c>
      <c r="B63" t="s">
        <v>105</v>
      </c>
      <c r="C63">
        <v>2303.6</v>
      </c>
      <c r="D63">
        <v>1.32</v>
      </c>
      <c r="E63">
        <v>0</v>
      </c>
      <c r="F63">
        <v>53.51</v>
      </c>
    </row>
    <row r="64" spans="1:6" x14ac:dyDescent="0.25">
      <c r="A64" s="16">
        <v>42927.490277777775</v>
      </c>
      <c r="B64" t="s">
        <v>123</v>
      </c>
      <c r="C64">
        <v>1219.9000000000001</v>
      </c>
      <c r="D64">
        <v>1.81</v>
      </c>
      <c r="E64">
        <v>0.01</v>
      </c>
      <c r="F64">
        <v>64.150000000000006</v>
      </c>
    </row>
    <row r="65" spans="1:6" x14ac:dyDescent="0.25">
      <c r="A65" s="16">
        <v>42927.490277777775</v>
      </c>
      <c r="B65" t="s">
        <v>106</v>
      </c>
      <c r="C65">
        <v>2257.9</v>
      </c>
      <c r="D65">
        <v>1.33</v>
      </c>
      <c r="E65">
        <v>0</v>
      </c>
      <c r="F65">
        <v>74.760000000000005</v>
      </c>
    </row>
    <row r="66" spans="1:6" x14ac:dyDescent="0.25">
      <c r="A66" s="16">
        <v>42927.490277777775</v>
      </c>
      <c r="B66" t="s">
        <v>107</v>
      </c>
      <c r="C66">
        <v>2303.5</v>
      </c>
      <c r="D66">
        <v>1.32</v>
      </c>
      <c r="E66">
        <v>0</v>
      </c>
      <c r="F66">
        <v>85.39</v>
      </c>
    </row>
    <row r="67" spans="1:6" x14ac:dyDescent="0.25">
      <c r="A67" s="16">
        <v>42927.490277777775</v>
      </c>
      <c r="B67" t="s">
        <v>108</v>
      </c>
      <c r="C67">
        <v>1709.1</v>
      </c>
      <c r="D67">
        <v>1.53</v>
      </c>
      <c r="E67">
        <v>0.01</v>
      </c>
      <c r="F67">
        <v>96.01</v>
      </c>
    </row>
    <row r="68" spans="1:6" x14ac:dyDescent="0.25">
      <c r="A68" s="16">
        <v>42927.490277777775</v>
      </c>
      <c r="B68" t="s">
        <v>109</v>
      </c>
      <c r="C68">
        <v>1716.8</v>
      </c>
      <c r="D68">
        <v>1.53</v>
      </c>
      <c r="E68">
        <v>0.01</v>
      </c>
      <c r="F68">
        <v>106.64</v>
      </c>
    </row>
    <row r="69" spans="1:6" x14ac:dyDescent="0.25">
      <c r="A69" s="16">
        <v>42927.490277777775</v>
      </c>
      <c r="B69" t="s">
        <v>110</v>
      </c>
      <c r="C69">
        <v>1708.2</v>
      </c>
      <c r="D69">
        <v>1.53</v>
      </c>
      <c r="E69">
        <v>0.01</v>
      </c>
      <c r="F69">
        <v>117.26</v>
      </c>
    </row>
    <row r="70" spans="1:6" x14ac:dyDescent="0.25">
      <c r="A70" s="16">
        <v>42927.490277777775</v>
      </c>
      <c r="B70" t="s">
        <v>121</v>
      </c>
      <c r="C70">
        <v>2416.5</v>
      </c>
      <c r="D70">
        <v>1.29</v>
      </c>
      <c r="E70">
        <v>0</v>
      </c>
      <c r="F70">
        <v>127.9</v>
      </c>
    </row>
    <row r="71" spans="1:6" x14ac:dyDescent="0.25">
      <c r="A71" s="16">
        <v>42927.490277777775</v>
      </c>
      <c r="B71" t="s">
        <v>111</v>
      </c>
      <c r="C71">
        <v>1915.8</v>
      </c>
      <c r="D71">
        <v>1.44</v>
      </c>
      <c r="E71">
        <v>0.01</v>
      </c>
      <c r="F71">
        <v>138.63</v>
      </c>
    </row>
    <row r="72" spans="1:6" x14ac:dyDescent="0.25">
      <c r="A72" s="16">
        <v>42927.490277777775</v>
      </c>
      <c r="B72" t="s">
        <v>112</v>
      </c>
      <c r="C72">
        <v>1914.5</v>
      </c>
      <c r="D72">
        <v>1.45</v>
      </c>
      <c r="E72">
        <v>0</v>
      </c>
      <c r="F72">
        <v>149.26</v>
      </c>
    </row>
    <row r="73" spans="1:6" x14ac:dyDescent="0.25">
      <c r="A73" s="16">
        <v>42927.490277777775</v>
      </c>
      <c r="B73" t="s">
        <v>113</v>
      </c>
      <c r="C73">
        <v>1939.7</v>
      </c>
      <c r="D73">
        <v>1.44</v>
      </c>
      <c r="E73">
        <v>0</v>
      </c>
      <c r="F73">
        <v>159.88999999999999</v>
      </c>
    </row>
    <row r="74" spans="1:6" x14ac:dyDescent="0.25">
      <c r="A74" s="16">
        <v>42927.490277777775</v>
      </c>
      <c r="B74" t="s">
        <v>114</v>
      </c>
      <c r="C74">
        <v>2135</v>
      </c>
      <c r="D74">
        <v>1.37</v>
      </c>
      <c r="E74">
        <v>0</v>
      </c>
      <c r="F74">
        <v>170.53</v>
      </c>
    </row>
    <row r="75" spans="1:6" x14ac:dyDescent="0.25">
      <c r="A75" s="16">
        <v>42927.490277777775</v>
      </c>
      <c r="B75" t="s">
        <v>115</v>
      </c>
      <c r="C75">
        <v>2106</v>
      </c>
      <c r="D75">
        <v>1.38</v>
      </c>
      <c r="E75">
        <v>0</v>
      </c>
      <c r="F75">
        <v>181.16</v>
      </c>
    </row>
    <row r="76" spans="1:6" x14ac:dyDescent="0.25">
      <c r="A76" s="16">
        <v>42927.490277777775</v>
      </c>
      <c r="B76" t="s">
        <v>116</v>
      </c>
      <c r="C76">
        <v>2144.8000000000002</v>
      </c>
      <c r="D76">
        <v>1.37</v>
      </c>
      <c r="E76">
        <v>0</v>
      </c>
      <c r="F76">
        <v>191.8</v>
      </c>
    </row>
    <row r="77" spans="1:6" x14ac:dyDescent="0.25">
      <c r="A77" s="16">
        <v>42928.348611111112</v>
      </c>
      <c r="B77" t="s">
        <v>120</v>
      </c>
      <c r="C77">
        <v>2371.6</v>
      </c>
      <c r="D77">
        <v>1.3</v>
      </c>
      <c r="E77">
        <v>0</v>
      </c>
      <c r="F77">
        <v>42.9</v>
      </c>
    </row>
    <row r="78" spans="1:6" x14ac:dyDescent="0.25">
      <c r="A78" s="16">
        <v>42928.348611111112</v>
      </c>
      <c r="B78" t="s">
        <v>105</v>
      </c>
      <c r="C78">
        <v>2252.1</v>
      </c>
      <c r="D78">
        <v>1.33</v>
      </c>
      <c r="E78">
        <v>0</v>
      </c>
      <c r="F78">
        <v>53.51</v>
      </c>
    </row>
    <row r="79" spans="1:6" x14ac:dyDescent="0.25">
      <c r="A79" s="16">
        <v>42928.348611111112</v>
      </c>
      <c r="B79" t="s">
        <v>123</v>
      </c>
      <c r="C79">
        <v>1173.3</v>
      </c>
      <c r="D79">
        <v>1.85</v>
      </c>
      <c r="E79">
        <v>0.01</v>
      </c>
      <c r="F79">
        <v>64.14</v>
      </c>
    </row>
    <row r="80" spans="1:6" x14ac:dyDescent="0.25">
      <c r="A80" s="16">
        <v>42928.348611111112</v>
      </c>
      <c r="B80" t="s">
        <v>106</v>
      </c>
      <c r="C80">
        <v>2265</v>
      </c>
      <c r="D80">
        <v>1.33</v>
      </c>
      <c r="E80">
        <v>0</v>
      </c>
      <c r="F80">
        <v>74.760000000000005</v>
      </c>
    </row>
    <row r="81" spans="1:6" x14ac:dyDescent="0.25">
      <c r="A81" s="16">
        <v>42928.348611111112</v>
      </c>
      <c r="B81" t="s">
        <v>107</v>
      </c>
      <c r="C81">
        <v>2266</v>
      </c>
      <c r="D81">
        <v>1.33</v>
      </c>
      <c r="E81">
        <v>0</v>
      </c>
      <c r="F81">
        <v>85.39</v>
      </c>
    </row>
    <row r="82" spans="1:6" x14ac:dyDescent="0.25">
      <c r="A82" s="16">
        <v>42928.348611111112</v>
      </c>
      <c r="B82" t="s">
        <v>108</v>
      </c>
      <c r="C82">
        <v>1676.7</v>
      </c>
      <c r="D82">
        <v>1.54</v>
      </c>
      <c r="E82">
        <v>0</v>
      </c>
      <c r="F82">
        <v>96.01</v>
      </c>
    </row>
    <row r="83" spans="1:6" x14ac:dyDescent="0.25">
      <c r="A83" s="16">
        <v>42928.348611111112</v>
      </c>
      <c r="B83" t="s">
        <v>109</v>
      </c>
      <c r="C83">
        <v>1706.8</v>
      </c>
      <c r="D83">
        <v>1.53</v>
      </c>
      <c r="E83">
        <v>0.01</v>
      </c>
      <c r="F83">
        <v>106.63</v>
      </c>
    </row>
    <row r="84" spans="1:6" x14ac:dyDescent="0.25">
      <c r="A84" s="16">
        <v>42928.348611111112</v>
      </c>
      <c r="B84" t="s">
        <v>110</v>
      </c>
      <c r="C84">
        <v>1669.4</v>
      </c>
      <c r="D84">
        <v>1.55</v>
      </c>
      <c r="E84">
        <v>0.01</v>
      </c>
      <c r="F84">
        <v>117.26</v>
      </c>
    </row>
    <row r="85" spans="1:6" x14ac:dyDescent="0.25">
      <c r="A85" s="16">
        <v>42928.348611111112</v>
      </c>
      <c r="B85" t="s">
        <v>121</v>
      </c>
      <c r="C85">
        <v>2390.1</v>
      </c>
      <c r="D85">
        <v>1.29</v>
      </c>
      <c r="E85">
        <v>0</v>
      </c>
      <c r="F85">
        <v>127.9</v>
      </c>
    </row>
    <row r="86" spans="1:6" x14ac:dyDescent="0.25">
      <c r="A86" s="16">
        <v>42928.348611111112</v>
      </c>
      <c r="B86" t="s">
        <v>111</v>
      </c>
      <c r="C86">
        <v>1871.6</v>
      </c>
      <c r="D86">
        <v>1.46</v>
      </c>
      <c r="E86">
        <v>0.01</v>
      </c>
      <c r="F86">
        <v>138.63</v>
      </c>
    </row>
    <row r="87" spans="1:6" x14ac:dyDescent="0.25">
      <c r="A87" s="16">
        <v>42928.348611111112</v>
      </c>
      <c r="B87" t="s">
        <v>112</v>
      </c>
      <c r="C87">
        <v>1888.8</v>
      </c>
      <c r="D87">
        <v>1.46</v>
      </c>
      <c r="E87">
        <v>0</v>
      </c>
      <c r="F87">
        <v>149.24</v>
      </c>
    </row>
    <row r="88" spans="1:6" x14ac:dyDescent="0.25">
      <c r="A88" s="16">
        <v>42928.348611111112</v>
      </c>
      <c r="B88" t="s">
        <v>113</v>
      </c>
      <c r="C88">
        <v>1928.8</v>
      </c>
      <c r="D88">
        <v>1.44</v>
      </c>
      <c r="E88">
        <v>0</v>
      </c>
      <c r="F88">
        <v>159.88</v>
      </c>
    </row>
    <row r="89" spans="1:6" x14ac:dyDescent="0.25">
      <c r="A89" s="16">
        <v>42928.348611111112</v>
      </c>
      <c r="B89" t="s">
        <v>114</v>
      </c>
      <c r="C89">
        <v>2091.6999999999998</v>
      </c>
      <c r="D89">
        <v>1.38</v>
      </c>
      <c r="E89">
        <v>0</v>
      </c>
      <c r="F89">
        <v>170.51</v>
      </c>
    </row>
    <row r="90" spans="1:6" x14ac:dyDescent="0.25">
      <c r="A90" s="16">
        <v>42928.348611111112</v>
      </c>
      <c r="B90" t="s">
        <v>115</v>
      </c>
      <c r="C90">
        <v>2119.3000000000002</v>
      </c>
      <c r="D90">
        <v>1.37</v>
      </c>
      <c r="E90">
        <v>0</v>
      </c>
      <c r="F90">
        <v>181.14</v>
      </c>
    </row>
    <row r="91" spans="1:6" x14ac:dyDescent="0.25">
      <c r="A91" s="16">
        <v>42928.348611111112</v>
      </c>
      <c r="B91" t="s">
        <v>116</v>
      </c>
      <c r="C91">
        <v>2127</v>
      </c>
      <c r="D91">
        <v>1.37</v>
      </c>
      <c r="E91">
        <v>0</v>
      </c>
      <c r="F91">
        <v>191.78</v>
      </c>
    </row>
    <row r="92" spans="1:6" x14ac:dyDescent="0.25">
      <c r="A92" s="16">
        <v>42926.624305555553</v>
      </c>
      <c r="B92" t="s">
        <v>120</v>
      </c>
      <c r="C92">
        <v>2430.6999999999998</v>
      </c>
      <c r="D92">
        <v>1.28</v>
      </c>
      <c r="E92">
        <v>0</v>
      </c>
      <c r="F92">
        <v>43</v>
      </c>
    </row>
    <row r="93" spans="1:6" x14ac:dyDescent="0.25">
      <c r="A93" s="16">
        <v>42926.624305555553</v>
      </c>
      <c r="B93" t="s">
        <v>105</v>
      </c>
      <c r="C93">
        <v>2308.6999999999998</v>
      </c>
      <c r="D93">
        <v>1.32</v>
      </c>
      <c r="E93">
        <v>0</v>
      </c>
      <c r="F93">
        <v>53.61</v>
      </c>
    </row>
    <row r="94" spans="1:6" x14ac:dyDescent="0.25">
      <c r="A94" s="16">
        <v>42926.624305555553</v>
      </c>
      <c r="B94" t="s">
        <v>123</v>
      </c>
      <c r="C94">
        <v>1201.7</v>
      </c>
      <c r="D94">
        <v>1.82</v>
      </c>
      <c r="E94">
        <v>0.01</v>
      </c>
      <c r="F94">
        <v>64.239999999999995</v>
      </c>
    </row>
    <row r="95" spans="1:6" x14ac:dyDescent="0.25">
      <c r="A95" s="16">
        <v>42926.624305555553</v>
      </c>
      <c r="B95" t="s">
        <v>106</v>
      </c>
      <c r="C95">
        <v>2231.4</v>
      </c>
      <c r="D95">
        <v>1.34</v>
      </c>
      <c r="E95">
        <v>0</v>
      </c>
      <c r="F95">
        <v>74.86</v>
      </c>
    </row>
    <row r="96" spans="1:6" x14ac:dyDescent="0.25">
      <c r="A96" s="16">
        <v>42926.624305555553</v>
      </c>
      <c r="B96" t="s">
        <v>107</v>
      </c>
      <c r="C96">
        <v>2300.8000000000002</v>
      </c>
      <c r="D96">
        <v>1.32</v>
      </c>
      <c r="E96">
        <v>0</v>
      </c>
      <c r="F96">
        <v>85.49</v>
      </c>
    </row>
    <row r="97" spans="1:6" x14ac:dyDescent="0.25">
      <c r="A97" s="16">
        <v>42926.624305555553</v>
      </c>
      <c r="B97" t="s">
        <v>108</v>
      </c>
      <c r="C97">
        <v>1692.8</v>
      </c>
      <c r="D97">
        <v>1.54</v>
      </c>
      <c r="E97">
        <v>0</v>
      </c>
      <c r="F97">
        <v>96.11</v>
      </c>
    </row>
    <row r="98" spans="1:6" x14ac:dyDescent="0.25">
      <c r="A98" s="16">
        <v>42926.624305555553</v>
      </c>
      <c r="B98" t="s">
        <v>109</v>
      </c>
      <c r="C98">
        <v>1725.1</v>
      </c>
      <c r="D98">
        <v>1.52</v>
      </c>
      <c r="E98">
        <v>0.01</v>
      </c>
      <c r="F98">
        <v>106.74</v>
      </c>
    </row>
    <row r="99" spans="1:6" x14ac:dyDescent="0.25">
      <c r="A99" s="16">
        <v>42926.624305555553</v>
      </c>
      <c r="B99" t="s">
        <v>110</v>
      </c>
      <c r="C99">
        <v>1693.9</v>
      </c>
      <c r="D99">
        <v>1.54</v>
      </c>
      <c r="E99">
        <v>0.01</v>
      </c>
      <c r="F99">
        <v>117.36</v>
      </c>
    </row>
    <row r="100" spans="1:6" x14ac:dyDescent="0.25">
      <c r="A100" s="16">
        <v>42926.624305555553</v>
      </c>
      <c r="B100" t="s">
        <v>121</v>
      </c>
      <c r="C100">
        <v>2363.9</v>
      </c>
      <c r="D100">
        <v>1.3</v>
      </c>
      <c r="E100">
        <v>0</v>
      </c>
      <c r="F100">
        <v>128</v>
      </c>
    </row>
    <row r="101" spans="1:6" x14ac:dyDescent="0.25">
      <c r="A101" s="16">
        <v>42926.624305555553</v>
      </c>
      <c r="B101" t="s">
        <v>111</v>
      </c>
      <c r="C101">
        <v>1890.2</v>
      </c>
      <c r="D101">
        <v>1.45</v>
      </c>
      <c r="E101">
        <v>0.01</v>
      </c>
      <c r="F101">
        <v>138.72999999999999</v>
      </c>
    </row>
    <row r="102" spans="1:6" x14ac:dyDescent="0.25">
      <c r="A102" s="16">
        <v>42926.624305555553</v>
      </c>
      <c r="B102" t="s">
        <v>112</v>
      </c>
      <c r="C102">
        <v>1942.3</v>
      </c>
      <c r="D102">
        <v>1.44</v>
      </c>
      <c r="E102">
        <v>0</v>
      </c>
      <c r="F102">
        <v>149.36000000000001</v>
      </c>
    </row>
    <row r="103" spans="1:6" x14ac:dyDescent="0.25">
      <c r="A103" s="16">
        <v>42926.624305555553</v>
      </c>
      <c r="B103" t="s">
        <v>113</v>
      </c>
      <c r="C103">
        <v>1916.8</v>
      </c>
      <c r="D103">
        <v>1.44</v>
      </c>
      <c r="E103">
        <v>0</v>
      </c>
      <c r="F103">
        <v>159.97</v>
      </c>
    </row>
    <row r="104" spans="1:6" x14ac:dyDescent="0.25">
      <c r="A104" s="16">
        <v>42926.624305555553</v>
      </c>
      <c r="B104" t="s">
        <v>114</v>
      </c>
      <c r="C104">
        <v>2093</v>
      </c>
      <c r="D104">
        <v>1.38</v>
      </c>
      <c r="E104">
        <v>0</v>
      </c>
      <c r="F104">
        <v>170.61</v>
      </c>
    </row>
    <row r="105" spans="1:6" x14ac:dyDescent="0.25">
      <c r="A105" s="16">
        <v>42926.624305555553</v>
      </c>
      <c r="B105" t="s">
        <v>115</v>
      </c>
      <c r="C105">
        <v>2118.1</v>
      </c>
      <c r="D105">
        <v>1.37</v>
      </c>
      <c r="E105">
        <v>0</v>
      </c>
      <c r="F105">
        <v>181.24</v>
      </c>
    </row>
    <row r="106" spans="1:6" x14ac:dyDescent="0.25">
      <c r="A106" s="16">
        <v>42926.624305555553</v>
      </c>
      <c r="B106" t="s">
        <v>116</v>
      </c>
      <c r="C106">
        <v>2120.1999999999998</v>
      </c>
      <c r="D106">
        <v>1.37</v>
      </c>
      <c r="E106">
        <v>0.01</v>
      </c>
      <c r="F106">
        <v>191.88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13" sqref="C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" sqref="C2:D16"/>
    </sheetView>
  </sheetViews>
  <sheetFormatPr defaultRowHeight="15" x14ac:dyDescent="0.25"/>
  <cols>
    <col min="1" max="1" width="21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120</v>
      </c>
      <c r="B2" s="14" t="s">
        <v>85</v>
      </c>
      <c r="C2">
        <v>40.454047619047607</v>
      </c>
      <c r="D2">
        <v>0.51896763945578228</v>
      </c>
      <c r="E2" s="1" t="s">
        <v>45</v>
      </c>
      <c r="F2" s="1">
        <f>C2*'Calibration Data'!$B$31+'Calibration Data'!$B$30</f>
        <v>6.4004194118429556</v>
      </c>
      <c r="G2" s="15">
        <f>'Calibration Data'!$B$20</f>
        <v>0.15745067498955981</v>
      </c>
    </row>
    <row r="3" spans="1:7" x14ac:dyDescent="0.25">
      <c r="A3" t="s">
        <v>105</v>
      </c>
      <c r="B3" s="14" t="s">
        <v>85</v>
      </c>
      <c r="C3">
        <v>38.326428571428558</v>
      </c>
      <c r="D3">
        <v>0.50536133673469386</v>
      </c>
      <c r="E3" s="1" t="s">
        <v>45</v>
      </c>
      <c r="F3" s="1">
        <f>C3*'Calibration Data'!$B$31+'Calibration Data'!$B$30</f>
        <v>6.0617159332412784</v>
      </c>
      <c r="G3" s="15">
        <f>'Calibration Data'!$B$20</f>
        <v>0.15745067498955981</v>
      </c>
    </row>
    <row r="4" spans="1:7" x14ac:dyDescent="0.25">
      <c r="A4" t="s">
        <v>123</v>
      </c>
      <c r="B4" s="14" t="s">
        <v>85</v>
      </c>
      <c r="C4">
        <v>19.988571428571429</v>
      </c>
      <c r="D4">
        <v>0.36464865306122451</v>
      </c>
      <c r="E4" s="1" t="s">
        <v>45</v>
      </c>
      <c r="F4" s="1">
        <f>C4*'Calibration Data'!$B$31+'Calibration Data'!$B$30</f>
        <v>3.1424452060230004</v>
      </c>
      <c r="G4" s="15">
        <f>'Calibration Data'!$B$20</f>
        <v>0.15745067498955981</v>
      </c>
    </row>
    <row r="5" spans="1:7" x14ac:dyDescent="0.25">
      <c r="A5" t="s">
        <v>106</v>
      </c>
      <c r="B5" s="14" t="s">
        <v>85</v>
      </c>
      <c r="C5">
        <v>37.770238095238092</v>
      </c>
      <c r="D5">
        <v>0.5023441666666667</v>
      </c>
      <c r="E5" s="1" t="s">
        <v>45</v>
      </c>
      <c r="F5" s="1">
        <f>C5*'Calibration Data'!$B$31+'Calibration Data'!$B$30</f>
        <v>5.9731739316730703</v>
      </c>
      <c r="G5" s="15">
        <f>'Calibration Data'!$B$20</f>
        <v>0.15745067498955981</v>
      </c>
    </row>
    <row r="6" spans="1:7" x14ac:dyDescent="0.25">
      <c r="A6" t="s">
        <v>107</v>
      </c>
      <c r="B6" s="14" t="s">
        <v>85</v>
      </c>
      <c r="C6">
        <v>38.499523809523808</v>
      </c>
      <c r="D6">
        <v>0.50709372789115648</v>
      </c>
      <c r="E6" s="1" t="s">
        <v>45</v>
      </c>
      <c r="F6" s="1">
        <f>C6*'Calibration Data'!$B$31+'Calibration Data'!$B$30</f>
        <v>6.0892715989690576</v>
      </c>
      <c r="G6" s="15">
        <f>'Calibration Data'!$B$20</f>
        <v>0.15745067498955981</v>
      </c>
    </row>
    <row r="7" spans="1:7" x14ac:dyDescent="0.25">
      <c r="A7" t="s">
        <v>108</v>
      </c>
      <c r="B7" s="14" t="s">
        <v>85</v>
      </c>
      <c r="C7">
        <v>28.39595238095238</v>
      </c>
      <c r="D7">
        <v>0.43526938435374152</v>
      </c>
      <c r="E7" s="1" t="s">
        <v>45</v>
      </c>
      <c r="F7" s="1">
        <f>C7*'Calibration Data'!$B$31+'Calibration Data'!$B$30</f>
        <v>4.4808470114061478</v>
      </c>
      <c r="G7" s="15">
        <f>'Calibration Data'!$B$20</f>
        <v>0.15745067498955981</v>
      </c>
    </row>
    <row r="8" spans="1:7" ht="15.75" customHeight="1" x14ac:dyDescent="0.25">
      <c r="A8" t="s">
        <v>109</v>
      </c>
      <c r="B8" s="14" t="s">
        <v>85</v>
      </c>
      <c r="C8">
        <v>28.653571428571428</v>
      </c>
      <c r="D8">
        <v>0.43676229591836752</v>
      </c>
      <c r="E8" s="1" t="s">
        <v>45</v>
      </c>
      <c r="F8" s="1">
        <f>C8*'Calibration Data'!$B$31+'Calibration Data'!$B$30</f>
        <v>4.5218583323379988</v>
      </c>
      <c r="G8" s="15">
        <f>'Calibration Data'!$B$20</f>
        <v>0.15745067498955981</v>
      </c>
    </row>
    <row r="9" spans="1:7" x14ac:dyDescent="0.25">
      <c r="A9" t="s">
        <v>110</v>
      </c>
      <c r="B9" s="14" t="s">
        <v>85</v>
      </c>
      <c r="C9">
        <v>28.26428571428572</v>
      </c>
      <c r="D9">
        <v>0.43405867346938781</v>
      </c>
      <c r="E9" s="1" t="s">
        <v>45</v>
      </c>
      <c r="F9" s="1">
        <f>C9*'Calibration Data'!$B$31+'Calibration Data'!$B$30</f>
        <v>4.4598865118910727</v>
      </c>
      <c r="G9" s="15">
        <f>'Calibration Data'!$B$20</f>
        <v>0.15745067498955981</v>
      </c>
    </row>
    <row r="10" spans="1:7" x14ac:dyDescent="0.25">
      <c r="A10" t="s">
        <v>121</v>
      </c>
      <c r="B10" s="14" t="s">
        <v>85</v>
      </c>
      <c r="C10">
        <v>39.940714285714293</v>
      </c>
      <c r="D10">
        <v>0.51580579591836739</v>
      </c>
      <c r="E10" s="1" t="s">
        <v>45</v>
      </c>
      <c r="F10" s="1">
        <f>C10*'Calibration Data'!$B$31+'Calibration Data'!$B$30</f>
        <v>6.3186999960120254</v>
      </c>
      <c r="G10" s="15">
        <f>'Calibration Data'!$B$20</f>
        <v>0.15745067498955981</v>
      </c>
    </row>
    <row r="11" spans="1:7" x14ac:dyDescent="0.25">
      <c r="A11" t="s">
        <v>111</v>
      </c>
      <c r="B11" s="14" t="s">
        <v>85</v>
      </c>
      <c r="C11">
        <v>31.722380952380949</v>
      </c>
      <c r="D11">
        <v>0.45952134693877539</v>
      </c>
      <c r="E11" s="1" t="s">
        <v>45</v>
      </c>
      <c r="F11" s="1">
        <f>C11*'Calibration Data'!$B$31+'Calibration Data'!$B$30</f>
        <v>5.010393374381084</v>
      </c>
      <c r="G11" s="15">
        <f>'Calibration Data'!$B$20</f>
        <v>0.15745067498955981</v>
      </c>
    </row>
    <row r="12" spans="1:7" x14ac:dyDescent="0.25">
      <c r="A12" t="s">
        <v>112</v>
      </c>
      <c r="B12" s="14" t="s">
        <v>85</v>
      </c>
      <c r="C12">
        <v>32.367142857142859</v>
      </c>
      <c r="D12">
        <v>0.46562446938775509</v>
      </c>
      <c r="E12" s="1" t="s">
        <v>45</v>
      </c>
      <c r="F12" s="1">
        <f>C12*'Calibration Data'!$B$31+'Calibration Data'!$B$30</f>
        <v>5.1130353864729985</v>
      </c>
      <c r="G12" s="15">
        <f>'Calibration Data'!$B$20</f>
        <v>0.15745067498955981</v>
      </c>
    </row>
    <row r="13" spans="1:7" x14ac:dyDescent="0.25">
      <c r="A13" t="s">
        <v>113</v>
      </c>
      <c r="B13" s="14" t="s">
        <v>85</v>
      </c>
      <c r="C13">
        <v>32.304285714285712</v>
      </c>
      <c r="D13">
        <v>0.4637972448979592</v>
      </c>
      <c r="E13" s="1" t="s">
        <v>45</v>
      </c>
      <c r="F13" s="1">
        <f>C13*'Calibration Data'!$B$31+'Calibration Data'!$B$30</f>
        <v>5.1030289273916587</v>
      </c>
      <c r="G13" s="15">
        <f>'Calibration Data'!$B$20</f>
        <v>0.15745067498955981</v>
      </c>
    </row>
    <row r="14" spans="1:7" x14ac:dyDescent="0.25">
      <c r="A14" t="s">
        <v>114</v>
      </c>
      <c r="B14" s="14" t="s">
        <v>85</v>
      </c>
      <c r="C14">
        <v>35.265000000000001</v>
      </c>
      <c r="D14">
        <v>0.48464185714285718</v>
      </c>
      <c r="E14" s="1" t="s">
        <v>45</v>
      </c>
      <c r="F14" s="1">
        <f>C14*'Calibration Data'!$B$31+'Calibration Data'!$B$30</f>
        <v>5.5743558920751699</v>
      </c>
      <c r="G14" s="15">
        <f>'Calibration Data'!$B$20</f>
        <v>0.15745067498955981</v>
      </c>
    </row>
    <row r="15" spans="1:7" x14ac:dyDescent="0.25">
      <c r="A15" t="s">
        <v>115</v>
      </c>
      <c r="B15" s="14" t="s">
        <v>85</v>
      </c>
      <c r="C15">
        <v>35.556904761904768</v>
      </c>
      <c r="D15">
        <v>0.48712959523809529</v>
      </c>
      <c r="E15" s="1" t="s">
        <v>45</v>
      </c>
      <c r="F15" s="1">
        <f>C15*'Calibration Data'!$B$31+'Calibration Data'!$B$30</f>
        <v>5.6208252815968427</v>
      </c>
      <c r="G15" s="15">
        <f>'Calibration Data'!$B$20</f>
        <v>0.15745067498955981</v>
      </c>
    </row>
    <row r="16" spans="1:7" x14ac:dyDescent="0.25">
      <c r="A16" t="s">
        <v>116</v>
      </c>
      <c r="B16" s="14" t="s">
        <v>85</v>
      </c>
      <c r="C16">
        <v>35.808809523809529</v>
      </c>
      <c r="D16">
        <v>0.48853447278911571</v>
      </c>
      <c r="E16" s="1" t="s">
        <v>45</v>
      </c>
      <c r="F16" s="1">
        <f>C16*'Calibration Data'!$B$31+'Calibration Data'!$B$30</f>
        <v>5.660926924430389</v>
      </c>
      <c r="G16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5" x14ac:dyDescent="0.25"/>
  <cols>
    <col min="1" max="1" width="15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3.8554687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105</v>
      </c>
      <c r="B2">
        <f>100</f>
        <v>100</v>
      </c>
      <c r="C2">
        <v>0.08</v>
      </c>
      <c r="D2" s="1">
        <v>7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VLOOKUP(A2,'Count-&gt;Actual Activity'!$A$2:$G$16,6)</f>
        <v>6.0617159332412784</v>
      </c>
      <c r="K2" s="1">
        <f>VLOOKUP(A2,'Count-&gt;Actual Activity'!$A$2:$G$16,7)</f>
        <v>0.15745067498955981</v>
      </c>
      <c r="L2" s="1">
        <v>10</v>
      </c>
      <c r="M2" s="1">
        <v>0.01</v>
      </c>
      <c r="N2">
        <f t="shared" ref="N2:N13" si="0">J2/L2</f>
        <v>0.60617159332412784</v>
      </c>
      <c r="O2">
        <f t="shared" ref="O2:O13" si="1">SQRT((M2/L2)^2+(K2/J2)^2)*N2</f>
        <v>1.5756731721624034E-2</v>
      </c>
      <c r="P2">
        <f>B2*AVERAGE(Parameters!$B$8:$B$9)</f>
        <v>63.595597039274907</v>
      </c>
      <c r="Q2">
        <f>SQRT((C2/B2)^2+(_xlfn.STDEV.S(Parameters!$B$8:$B$9)/AVERAGE(Parameters!$B$8:$B$9))^2)*'Bottle Results'!P2</f>
        <v>0.58007892752935808</v>
      </c>
      <c r="R2" t="e">
        <f t="shared" ref="R2:R13" si="2">(P2-N2*H2)/F2</f>
        <v>#DIV/0!</v>
      </c>
      <c r="T2">
        <f t="shared" ref="T2:T13" si="3">(P2-N2*H2)/P2</f>
        <v>4.6834023824365106E-2</v>
      </c>
    </row>
    <row r="3" spans="1:20" x14ac:dyDescent="0.25">
      <c r="A3" t="s">
        <v>106</v>
      </c>
      <c r="B3">
        <f>100</f>
        <v>100</v>
      </c>
      <c r="C3">
        <v>0.08</v>
      </c>
      <c r="D3" s="1">
        <v>7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VLOOKUP(A3,'Count-&gt;Actual Activity'!$A$2:$G$16,6)</f>
        <v>5.9731739316730703</v>
      </c>
      <c r="K3" s="1">
        <f>VLOOKUP(A3,'Count-&gt;Actual Activity'!$A$2:$G$16,7)</f>
        <v>0.15745067498955981</v>
      </c>
      <c r="L3" s="1">
        <v>10</v>
      </c>
      <c r="M3" s="1">
        <v>0.01</v>
      </c>
      <c r="N3">
        <f t="shared" si="0"/>
        <v>0.59731739316730703</v>
      </c>
      <c r="O3">
        <f t="shared" si="1"/>
        <v>1.5756393578952647E-2</v>
      </c>
      <c r="P3">
        <f>B3*AVERAGE(Parameters!$B$8:$B$9)</f>
        <v>63.595597039274907</v>
      </c>
      <c r="Q3">
        <f>SQRT((C3/B3)^2+(_xlfn.STDEV.S(Parameters!$B$8:$B$9)/AVERAGE(Parameters!$B$8:$B$9))^2)*'Bottle Results'!P3</f>
        <v>0.58007892752935808</v>
      </c>
      <c r="R3" t="e">
        <f t="shared" si="2"/>
        <v>#DIV/0!</v>
      </c>
      <c r="T3">
        <f t="shared" si="3"/>
        <v>6.0756686035323956E-2</v>
      </c>
    </row>
    <row r="4" spans="1:20" x14ac:dyDescent="0.25">
      <c r="A4" t="s">
        <v>107</v>
      </c>
      <c r="B4">
        <f>100</f>
        <v>100</v>
      </c>
      <c r="C4">
        <v>0.08</v>
      </c>
      <c r="D4" s="1">
        <v>6.99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VLOOKUP(A4,'Count-&gt;Actual Activity'!$A$2:$G$16,6)</f>
        <v>6.0892715989690576</v>
      </c>
      <c r="K4" s="1">
        <f>VLOOKUP(A4,'Count-&gt;Actual Activity'!$A$2:$G$16,7)</f>
        <v>0.15745067498955981</v>
      </c>
      <c r="L4" s="1">
        <v>10</v>
      </c>
      <c r="M4" s="1">
        <v>0.01</v>
      </c>
      <c r="N4">
        <f t="shared" si="0"/>
        <v>0.60892715989690571</v>
      </c>
      <c r="O4">
        <f t="shared" si="1"/>
        <v>1.5756837970631671E-2</v>
      </c>
      <c r="P4">
        <f>B4*AVERAGE(Parameters!$B$8:$B$9)</f>
        <v>63.595597039274907</v>
      </c>
      <c r="Q4">
        <f>SQRT((C4/B4)^2+(_xlfn.STDEV.S(Parameters!$B$8:$B$9)/AVERAGE(Parameters!$B$8:$B$9))^2)*'Bottle Results'!P4</f>
        <v>0.58007892752935808</v>
      </c>
      <c r="R4" t="e">
        <f t="shared" si="2"/>
        <v>#DIV/0!</v>
      </c>
      <c r="T4">
        <f t="shared" si="3"/>
        <v>4.2501072014704239E-2</v>
      </c>
    </row>
    <row r="5" spans="1:20" x14ac:dyDescent="0.25">
      <c r="A5" t="s">
        <v>108</v>
      </c>
      <c r="B5">
        <f>100</f>
        <v>100</v>
      </c>
      <c r="C5">
        <v>0.08</v>
      </c>
      <c r="D5" s="1">
        <v>6.96</v>
      </c>
      <c r="E5" s="1"/>
      <c r="F5" s="1">
        <v>3.0200000000000001E-2</v>
      </c>
      <c r="G5" s="1">
        <f>0.0001</f>
        <v>1E-4</v>
      </c>
      <c r="H5" s="1">
        <v>100</v>
      </c>
      <c r="I5" s="1">
        <v>5</v>
      </c>
      <c r="J5" s="1">
        <f>VLOOKUP(A5,'Count-&gt;Actual Activity'!$A$2:$G$16,6)</f>
        <v>4.4808470114061478</v>
      </c>
      <c r="K5" s="1">
        <f>VLOOKUP(A5,'Count-&gt;Actual Activity'!$A$2:$G$16,7)</f>
        <v>0.15745067498955981</v>
      </c>
      <c r="L5" s="1">
        <v>10</v>
      </c>
      <c r="M5" s="1">
        <v>0.01</v>
      </c>
      <c r="N5">
        <f t="shared" si="0"/>
        <v>0.44808470114061477</v>
      </c>
      <c r="O5">
        <f t="shared" si="1"/>
        <v>1.5751442170356216E-2</v>
      </c>
      <c r="P5">
        <f>B5*AVERAGE(Parameters!$B$8:$B$9)</f>
        <v>63.595597039274907</v>
      </c>
      <c r="Q5">
        <f>SQRT((C5/B5)^2+(_xlfn.STDEV.S(Parameters!$B$8:$B$9)/AVERAGE(Parameters!$B$8:$B$9))^2)*'Bottle Results'!P5</f>
        <v>0.58007892752935808</v>
      </c>
      <c r="R5">
        <f t="shared" si="2"/>
        <v>622.09029553686844</v>
      </c>
      <c r="T5">
        <f t="shared" si="3"/>
        <v>0.29541552874503263</v>
      </c>
    </row>
    <row r="6" spans="1:20" x14ac:dyDescent="0.25">
      <c r="A6" t="s">
        <v>109</v>
      </c>
      <c r="B6">
        <f>100</f>
        <v>100</v>
      </c>
      <c r="C6">
        <v>0.08</v>
      </c>
      <c r="D6" s="1">
        <v>7.01</v>
      </c>
      <c r="E6" s="1"/>
      <c r="F6" s="1">
        <v>3.04E-2</v>
      </c>
      <c r="G6" s="1">
        <f>0.0001</f>
        <v>1E-4</v>
      </c>
      <c r="H6" s="1">
        <v>100</v>
      </c>
      <c r="I6" s="1">
        <v>5</v>
      </c>
      <c r="J6" s="1">
        <f>VLOOKUP(A6,'Count-&gt;Actual Activity'!$A$2:$G$16,6)</f>
        <v>4.5218583323379988</v>
      </c>
      <c r="K6" s="1">
        <f>VLOOKUP(A6,'Count-&gt;Actual Activity'!$A$2:$G$16,7)</f>
        <v>0.15745067498955981</v>
      </c>
      <c r="L6" s="1">
        <v>10</v>
      </c>
      <c r="M6" s="1">
        <v>0.01</v>
      </c>
      <c r="N6">
        <f t="shared" si="0"/>
        <v>0.45218583323379991</v>
      </c>
      <c r="O6">
        <f t="shared" si="1"/>
        <v>1.5751559369613453E-2</v>
      </c>
      <c r="P6">
        <f>B6*AVERAGE(Parameters!$B$8:$B$9)</f>
        <v>63.595597039274907</v>
      </c>
      <c r="Q6">
        <f>SQRT((C6/B6)^2+(_xlfn.STDEV.S(Parameters!$B$8:$B$9)/AVERAGE(Parameters!$B$8:$B$9))^2)*'Bottle Results'!P6</f>
        <v>0.58007892752935808</v>
      </c>
      <c r="R6">
        <f t="shared" si="2"/>
        <v>604.50703012812232</v>
      </c>
      <c r="T6">
        <f t="shared" si="3"/>
        <v>0.28896676140245647</v>
      </c>
    </row>
    <row r="7" spans="1:20" x14ac:dyDescent="0.25">
      <c r="A7" t="s">
        <v>110</v>
      </c>
      <c r="B7">
        <f>100</f>
        <v>100</v>
      </c>
      <c r="C7">
        <v>0.08</v>
      </c>
      <c r="D7" s="1">
        <v>7</v>
      </c>
      <c r="E7" s="1"/>
      <c r="F7" s="1">
        <v>3.0700000000000002E-2</v>
      </c>
      <c r="G7" s="1">
        <f>0.0001</f>
        <v>1E-4</v>
      </c>
      <c r="H7" s="1">
        <v>100</v>
      </c>
      <c r="I7" s="1">
        <v>5</v>
      </c>
      <c r="J7" s="1">
        <f>VLOOKUP(A7,'Count-&gt;Actual Activity'!$A$2:$G$16,6)</f>
        <v>4.4598865118910727</v>
      </c>
      <c r="K7" s="1">
        <f>VLOOKUP(A7,'Count-&gt;Actual Activity'!$A$2:$G$16,7)</f>
        <v>0.15745067498955981</v>
      </c>
      <c r="L7" s="1">
        <v>10</v>
      </c>
      <c r="M7" s="1">
        <v>0.01</v>
      </c>
      <c r="N7">
        <f t="shared" si="0"/>
        <v>0.44598865118910724</v>
      </c>
      <c r="O7">
        <f t="shared" si="1"/>
        <v>1.5751382682916107E-2</v>
      </c>
      <c r="P7">
        <f>B7*AVERAGE(Parameters!$B$8:$B$9)</f>
        <v>63.595597039274907</v>
      </c>
      <c r="Q7">
        <f>SQRT((C7/B7)^2+(_xlfn.STDEV.S(Parameters!$B$8:$B$9)/AVERAGE(Parameters!$B$8:$B$9))^2)*'Bottle Results'!P7</f>
        <v>0.58007892752935808</v>
      </c>
      <c r="R7">
        <f t="shared" si="2"/>
        <v>618.7860560379213</v>
      </c>
      <c r="T7">
        <f t="shared" si="3"/>
        <v>0.29871143294137675</v>
      </c>
    </row>
    <row r="8" spans="1:20" ht="15.75" customHeight="1" x14ac:dyDescent="0.25">
      <c r="A8" t="s">
        <v>111</v>
      </c>
      <c r="B8">
        <f>100</f>
        <v>100</v>
      </c>
      <c r="C8">
        <v>0.08</v>
      </c>
      <c r="D8" s="1">
        <v>6.98</v>
      </c>
      <c r="E8" s="1">
        <v>0.222</v>
      </c>
      <c r="F8" s="1">
        <f>E8*Parameters!$B$10/1000</f>
        <v>7.1266904887259935E-3</v>
      </c>
      <c r="G8" s="1">
        <f>SQRT((0.002/E8)^2+(Parameters!$C$10/Parameters!$B$10)^2)*F8</f>
        <v>7.9390702534074816E-5</v>
      </c>
      <c r="H8" s="1">
        <v>100</v>
      </c>
      <c r="I8" s="1">
        <v>5</v>
      </c>
      <c r="J8" s="1">
        <f>VLOOKUP(A8,'Count-&gt;Actual Activity'!$A$2:$G$16,6)</f>
        <v>6.4004194118429556</v>
      </c>
      <c r="K8" s="1">
        <f>VLOOKUP(A8,'Count-&gt;Actual Activity'!$A$2:$G$16,7)</f>
        <v>0.15745067498955981</v>
      </c>
      <c r="L8" s="1">
        <v>10</v>
      </c>
      <c r="M8" s="1">
        <v>0.01</v>
      </c>
      <c r="N8">
        <f t="shared" si="0"/>
        <v>0.64004194118429558</v>
      </c>
      <c r="O8">
        <f t="shared" si="1"/>
        <v>1.5758071082247187E-2</v>
      </c>
      <c r="P8">
        <f>B8*AVERAGE(Parameters!$B$8:$B$9)</f>
        <v>63.595597039274907</v>
      </c>
      <c r="Q8">
        <f>SQRT((C8/B8)^2+(_xlfn.STDEV.S(Parameters!$B$8:$B$9)/AVERAGE(Parameters!$B$8:$B$9))^2)*'Bottle Results'!P8</f>
        <v>0.58007892752935808</v>
      </c>
      <c r="R8">
        <f t="shared" si="2"/>
        <v>-57.333355475591716</v>
      </c>
      <c r="T8">
        <f t="shared" si="3"/>
        <v>-6.4249271675570156E-3</v>
      </c>
    </row>
    <row r="9" spans="1:20" x14ac:dyDescent="0.25">
      <c r="A9" t="s">
        <v>112</v>
      </c>
      <c r="B9">
        <f>100</f>
        <v>100</v>
      </c>
      <c r="C9">
        <v>0.08</v>
      </c>
      <c r="D9" s="1">
        <v>6.99</v>
      </c>
      <c r="E9" s="1">
        <v>0.222</v>
      </c>
      <c r="F9" s="1">
        <f>E9*Parameters!$B$10/1000</f>
        <v>7.1266904887259935E-3</v>
      </c>
      <c r="G9" s="1">
        <f>SQRT((0.002/E9)^2+(Parameters!$C$10/Parameters!$B$10)^2)*F9</f>
        <v>7.9390702534074816E-5</v>
      </c>
      <c r="H9" s="1">
        <v>100</v>
      </c>
      <c r="I9" s="1">
        <v>5</v>
      </c>
      <c r="J9" s="1">
        <f>VLOOKUP(A9,'Count-&gt;Actual Activity'!$A$2:$G$16,6)</f>
        <v>6.4004194118429556</v>
      </c>
      <c r="K9" s="1">
        <f>VLOOKUP(A9,'Count-&gt;Actual Activity'!$A$2:$G$16,7)</f>
        <v>0.15745067498955981</v>
      </c>
      <c r="L9" s="1">
        <v>10</v>
      </c>
      <c r="M9" s="1">
        <v>0.01</v>
      </c>
      <c r="N9">
        <f t="shared" si="0"/>
        <v>0.64004194118429558</v>
      </c>
      <c r="O9">
        <f t="shared" si="1"/>
        <v>1.5758071082247187E-2</v>
      </c>
      <c r="P9">
        <f>B9*AVERAGE(Parameters!$B$8:$B$9)</f>
        <v>63.595597039274907</v>
      </c>
      <c r="Q9">
        <f>SQRT((C9/B9)^2+(_xlfn.STDEV.S(Parameters!$B$8:$B$9)/AVERAGE(Parameters!$B$8:$B$9))^2)*'Bottle Results'!P9</f>
        <v>0.58007892752935808</v>
      </c>
      <c r="R9">
        <f t="shared" si="2"/>
        <v>-57.333355475591716</v>
      </c>
      <c r="T9">
        <f t="shared" si="3"/>
        <v>-6.4249271675570156E-3</v>
      </c>
    </row>
    <row r="10" spans="1:20" x14ac:dyDescent="0.25">
      <c r="A10" t="s">
        <v>113</v>
      </c>
      <c r="B10">
        <f>100</f>
        <v>100</v>
      </c>
      <c r="C10">
        <v>0.08</v>
      </c>
      <c r="D10" s="1">
        <v>7</v>
      </c>
      <c r="E10" s="1">
        <v>0.222</v>
      </c>
      <c r="F10" s="1">
        <f>E10*Parameters!$B$10/1000</f>
        <v>7.1266904887259935E-3</v>
      </c>
      <c r="G10" s="1">
        <f>SQRT((0.002/E10)^2+(Parameters!$C$10/Parameters!$B$10)^2)*F10</f>
        <v>7.9390702534074816E-5</v>
      </c>
      <c r="H10" s="1">
        <v>100</v>
      </c>
      <c r="I10" s="1">
        <v>5</v>
      </c>
      <c r="J10" s="1">
        <f>VLOOKUP(A10,'Count-&gt;Actual Activity'!$A$2:$G$16,6)</f>
        <v>6.4004194118429556</v>
      </c>
      <c r="K10" s="1">
        <f>VLOOKUP(A10,'Count-&gt;Actual Activity'!$A$2:$G$16,7)</f>
        <v>0.15745067498955981</v>
      </c>
      <c r="L10" s="1">
        <v>10</v>
      </c>
      <c r="M10" s="1">
        <v>0.01</v>
      </c>
      <c r="N10">
        <f t="shared" si="0"/>
        <v>0.64004194118429558</v>
      </c>
      <c r="O10">
        <f t="shared" si="1"/>
        <v>1.5758071082247187E-2</v>
      </c>
      <c r="P10">
        <f>B10*AVERAGE(Parameters!$B$8:$B$9)</f>
        <v>63.595597039274907</v>
      </c>
      <c r="Q10">
        <f>SQRT((C10/B10)^2+(_xlfn.STDEV.S(Parameters!$B$8:$B$9)/AVERAGE(Parameters!$B$8:$B$9))^2)*'Bottle Results'!P10</f>
        <v>0.58007892752935808</v>
      </c>
      <c r="R10">
        <f t="shared" si="2"/>
        <v>-57.333355475591716</v>
      </c>
      <c r="T10">
        <f t="shared" si="3"/>
        <v>-6.4249271675570156E-3</v>
      </c>
    </row>
    <row r="11" spans="1:20" x14ac:dyDescent="0.25">
      <c r="A11" t="s">
        <v>114</v>
      </c>
      <c r="B11">
        <f>100</f>
        <v>100</v>
      </c>
      <c r="C11">
        <v>0.08</v>
      </c>
      <c r="D11" s="1">
        <v>6.99</v>
      </c>
      <c r="E11" s="1"/>
      <c r="F11" s="1">
        <v>2.98E-2</v>
      </c>
      <c r="G11" s="1">
        <v>1E-4</v>
      </c>
      <c r="H11" s="1">
        <v>100</v>
      </c>
      <c r="I11" s="1">
        <v>5</v>
      </c>
      <c r="J11" s="1">
        <f>VLOOKUP(A11,'Count-&gt;Actual Activity'!$A$2:$G$16,6)</f>
        <v>6.0892715989690576</v>
      </c>
      <c r="K11" s="1">
        <f>VLOOKUP(A11,'Count-&gt;Actual Activity'!$A$2:$G$16,7)</f>
        <v>0.15745067498955981</v>
      </c>
      <c r="L11" s="1">
        <v>10</v>
      </c>
      <c r="M11" s="1">
        <v>0.01</v>
      </c>
      <c r="N11">
        <f t="shared" si="0"/>
        <v>0.60892715989690571</v>
      </c>
      <c r="O11">
        <f t="shared" si="1"/>
        <v>1.5756837970631671E-2</v>
      </c>
      <c r="P11">
        <f>B11*AVERAGE(Parameters!$B$8:$B$9)</f>
        <v>63.595597039274907</v>
      </c>
      <c r="Q11">
        <f>SQRT((C11/B11)^2+(_xlfn.STDEV.S(Parameters!$B$8:$B$9)/AVERAGE(Parameters!$B$8:$B$9))^2)*'Bottle Results'!P11</f>
        <v>0.58007892752935808</v>
      </c>
      <c r="R11">
        <f t="shared" si="2"/>
        <v>90.700706361890425</v>
      </c>
      <c r="T11">
        <f t="shared" si="3"/>
        <v>4.2501072014704239E-2</v>
      </c>
    </row>
    <row r="12" spans="1:20" x14ac:dyDescent="0.25">
      <c r="A12" t="s">
        <v>115</v>
      </c>
      <c r="B12">
        <f>100</f>
        <v>100</v>
      </c>
      <c r="C12">
        <v>0.08</v>
      </c>
      <c r="D12" s="1">
        <v>6.99</v>
      </c>
      <c r="E12" s="1"/>
      <c r="F12" s="1">
        <v>2.93E-2</v>
      </c>
      <c r="G12" s="1">
        <v>1E-4</v>
      </c>
      <c r="H12" s="1">
        <v>100</v>
      </c>
      <c r="I12" s="1">
        <v>5</v>
      </c>
      <c r="J12" s="1">
        <f>VLOOKUP(A12,'Count-&gt;Actual Activity'!$A$2:$G$16,6)</f>
        <v>6.0892715989690576</v>
      </c>
      <c r="K12" s="1">
        <f>VLOOKUP(A12,'Count-&gt;Actual Activity'!$A$2:$G$16,7)</f>
        <v>0.15745067498955981</v>
      </c>
      <c r="L12" s="1">
        <v>10</v>
      </c>
      <c r="M12" s="1">
        <v>0.01</v>
      </c>
      <c r="N12">
        <f t="shared" si="0"/>
        <v>0.60892715989690571</v>
      </c>
      <c r="O12">
        <f t="shared" si="1"/>
        <v>1.5756837970631671E-2</v>
      </c>
      <c r="P12">
        <f>B12*AVERAGE(Parameters!$B$8:$B$9)</f>
        <v>63.595597039274907</v>
      </c>
      <c r="Q12">
        <f>SQRT((C12/B12)^2+(_xlfn.STDEV.S(Parameters!$B$8:$B$9)/AVERAGE(Parameters!$B$8:$B$9))^2)*'Bottle Results'!P12</f>
        <v>0.58007892752935808</v>
      </c>
      <c r="R12">
        <f t="shared" si="2"/>
        <v>92.248499985813467</v>
      </c>
      <c r="T12">
        <f t="shared" si="3"/>
        <v>4.2501072014704239E-2</v>
      </c>
    </row>
    <row r="13" spans="1:20" x14ac:dyDescent="0.25">
      <c r="A13" t="s">
        <v>116</v>
      </c>
      <c r="B13">
        <f>100</f>
        <v>100</v>
      </c>
      <c r="C13">
        <v>0.08</v>
      </c>
      <c r="D13" s="1">
        <v>6.98</v>
      </c>
      <c r="E13" s="1"/>
      <c r="F13" s="1">
        <v>0.03</v>
      </c>
      <c r="G13" s="1">
        <v>1E-4</v>
      </c>
      <c r="H13" s="1">
        <v>100</v>
      </c>
      <c r="I13" s="1">
        <v>5</v>
      </c>
      <c r="J13" s="1">
        <f>VLOOKUP(A13,'Count-&gt;Actual Activity'!$A$2:$G$16,6)</f>
        <v>6.0892715989690576</v>
      </c>
      <c r="K13" s="1">
        <f>VLOOKUP(A13,'Count-&gt;Actual Activity'!$A$2:$G$16,7)</f>
        <v>0.15745067498955981</v>
      </c>
      <c r="L13" s="1">
        <v>10</v>
      </c>
      <c r="M13" s="1">
        <v>0.01</v>
      </c>
      <c r="N13">
        <f t="shared" si="0"/>
        <v>0.60892715989690571</v>
      </c>
      <c r="O13">
        <f t="shared" si="1"/>
        <v>1.5756837970631671E-2</v>
      </c>
      <c r="P13">
        <f>B13*AVERAGE(Parameters!$B$8:$B$9)</f>
        <v>63.595597039274907</v>
      </c>
      <c r="Q13">
        <f>SQRT((C13/B13)^2+(_xlfn.STDEV.S(Parameters!$B$8:$B$9)/AVERAGE(Parameters!$B$8:$B$9))^2)*'Bottle Results'!P13</f>
        <v>0.58007892752935808</v>
      </c>
      <c r="R13">
        <f t="shared" si="2"/>
        <v>90.096034986144488</v>
      </c>
      <c r="T13">
        <f t="shared" si="3"/>
        <v>4.2501072014704239E-2</v>
      </c>
    </row>
  </sheetData>
  <conditionalFormatting sqref="J2:J13">
    <cfRule type="cellIs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I11" sqref="I11"/>
    </sheetView>
  </sheetViews>
  <sheetFormatPr defaultRowHeight="15" x14ac:dyDescent="0.25"/>
  <cols>
    <col min="1" max="1" width="12.28515625" bestFit="1" customWidth="1"/>
  </cols>
  <sheetData>
    <row r="1" spans="1:12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127</v>
      </c>
      <c r="L1" t="s">
        <v>7</v>
      </c>
    </row>
    <row r="2" spans="1:12" x14ac:dyDescent="0.25">
      <c r="A2" t="s">
        <v>128</v>
      </c>
      <c r="B2">
        <f>AVERAGE('Bottle Results'!N2:N4)</f>
        <v>0.6041387154627802</v>
      </c>
      <c r="C2">
        <f>_xlfn.STDEV.S('Bottle Results'!N2:N4)</f>
        <v>6.0659801498432345E-3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63.595597039274907</v>
      </c>
      <c r="G2">
        <f>AVERAGE('Bottle Results'!T2:T4)</f>
        <v>5.0030593958131107E-2</v>
      </c>
      <c r="H2">
        <f>_xlfn.STDEV.S('Bottle Results'!T2:T4)</f>
        <v>9.5383649690355538E-3</v>
      </c>
      <c r="I2">
        <f>AVERAGE('Bottle Results'!D2:D4)</f>
        <v>6.996666666666667</v>
      </c>
      <c r="J2">
        <f>_xlfn.STDEV.S('Bottle Results'!D2:D4)</f>
        <v>5.7735026918961348E-3</v>
      </c>
      <c r="K2">
        <f>COUNT('Bottle Results'!J2:J4)</f>
        <v>3</v>
      </c>
    </row>
    <row r="3" spans="1:12" x14ac:dyDescent="0.25">
      <c r="A3" t="s">
        <v>129</v>
      </c>
      <c r="B3">
        <f>AVERAGE('Bottle Results'!N5:N7)</f>
        <v>0.44875306185450725</v>
      </c>
      <c r="C3">
        <f>_xlfn.STDEV.S('Bottle Results'!N5:N7)</f>
        <v>3.1521890578884203E-3</v>
      </c>
      <c r="D3">
        <f>AVERAGE('Bottle Results'!R5:R7)</f>
        <v>615.12779390097069</v>
      </c>
      <c r="E3">
        <f>_xlfn.STDEV.S('Bottle Results'!R5:R7)</f>
        <v>9.345050401447109</v>
      </c>
      <c r="F3">
        <f>AVERAGE('Bottle Results'!P5:P7)</f>
        <v>63.595597039274907</v>
      </c>
      <c r="G3">
        <f>AVERAGE('Bottle Results'!T5:T7)</f>
        <v>0.29436457436295527</v>
      </c>
      <c r="H3">
        <f>_xlfn.STDEV.S('Bottle Results'!T5:T7)</f>
        <v>4.9566152448285118E-3</v>
      </c>
      <c r="I3">
        <f>AVERAGE('Bottle Results'!D5:D7)</f>
        <v>6.9899999999999993</v>
      </c>
      <c r="J3">
        <f>_xlfn.STDEV.S('Bottle Results'!D5:D7)</f>
        <v>2.6457513110645845E-2</v>
      </c>
      <c r="K3">
        <f>COUNT('Bottle Results'!J5:J7)</f>
        <v>3</v>
      </c>
    </row>
    <row r="4" spans="1:12" x14ac:dyDescent="0.25">
      <c r="A4" t="s">
        <v>130</v>
      </c>
      <c r="B4">
        <f>AVERAGE('Bottle Results'!N8:N10)</f>
        <v>0.64004194118429558</v>
      </c>
      <c r="C4">
        <f>_xlfn.STDEV.S('Bottle Results'!N8:N10)</f>
        <v>0</v>
      </c>
      <c r="D4">
        <f>AVERAGE('Bottle Results'!R8:R10)</f>
        <v>-57.333355475591723</v>
      </c>
      <c r="E4">
        <f>_xlfn.STDEV.S('Bottle Results'!R8:R10)</f>
        <v>8.7023357152673167E-15</v>
      </c>
      <c r="F4">
        <f>AVERAGE('Bottle Results'!P8:P10)</f>
        <v>63.595597039274907</v>
      </c>
      <c r="G4">
        <f>AVERAGE('Bottle Results'!T8:T10)</f>
        <v>-6.4249271675570164E-3</v>
      </c>
      <c r="H4">
        <f>_xlfn.STDEV.S('Bottle Results'!T8:T10)</f>
        <v>1.0622968402425924E-18</v>
      </c>
      <c r="I4">
        <f>AVERAGE('Bottle Results'!D8:D10)</f>
        <v>6.9899999999999993</v>
      </c>
      <c r="J4">
        <f>_xlfn.STDEV.S('Bottle Results'!D8:D10)</f>
        <v>9.9999999999997868E-3</v>
      </c>
      <c r="K4">
        <f>COUNT('Bottle Results'!J8:J10)</f>
        <v>3</v>
      </c>
    </row>
    <row r="5" spans="1:12" x14ac:dyDescent="0.25">
      <c r="A5" t="s">
        <v>131</v>
      </c>
      <c r="B5">
        <f>AVERAGE('Bottle Results'!N11:N13)</f>
        <v>0.60892715989690571</v>
      </c>
      <c r="C5">
        <f>_xlfn.STDEV.S('Bottle Results'!N11:N13)</f>
        <v>0</v>
      </c>
      <c r="D5">
        <f>AVERAGE('Bottle Results'!R11:R13)</f>
        <v>91.015080444616117</v>
      </c>
      <c r="E5">
        <f>_xlfn.STDEV.S('Bottle Results'!R11:R13)</f>
        <v>1.1101349880159681</v>
      </c>
      <c r="F5">
        <f>AVERAGE('Bottle Results'!P11:P13)</f>
        <v>63.595597039274907</v>
      </c>
      <c r="G5">
        <f>AVERAGE('Bottle Results'!T11:T13)</f>
        <v>4.2501072014704239E-2</v>
      </c>
      <c r="H5">
        <f>_xlfn.STDEV.S('Bottle Results'!T11:T13)</f>
        <v>0</v>
      </c>
      <c r="I5">
        <f>AVERAGE('Bottle Results'!D11:D13)</f>
        <v>6.9866666666666672</v>
      </c>
      <c r="J5">
        <f>_xlfn.STDEV.S('Bottle Results'!D3:D11)</f>
        <v>1.4529663145135506E-2</v>
      </c>
      <c r="K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2017-07-18T17:52:59Z</dcterms:modified>
</cp:coreProperties>
</file>