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SW_7_18_2017\"/>
    </mc:Choice>
  </mc:AlternateContent>
  <bookViews>
    <workbookView xWindow="0" yWindow="0" windowWidth="7470" windowHeight="1228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8" l="1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G4" i="8"/>
  <c r="F4" i="8"/>
  <c r="E4" i="8"/>
  <c r="D4" i="8"/>
  <c r="C4" i="8"/>
  <c r="B4" i="8"/>
  <c r="K3" i="8"/>
  <c r="J3" i="8"/>
  <c r="I3" i="8"/>
  <c r="H3" i="8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Q3" i="5"/>
  <c r="Q4" i="5"/>
  <c r="Q5" i="5"/>
  <c r="Q6" i="5"/>
  <c r="Q7" i="5"/>
  <c r="Q8" i="5"/>
  <c r="Q9" i="5"/>
  <c r="Q10" i="5"/>
  <c r="Q11" i="5"/>
  <c r="Q12" i="5"/>
  <c r="Q13" i="5"/>
  <c r="Q14" i="5"/>
  <c r="Q2" i="5"/>
  <c r="P3" i="5"/>
  <c r="P4" i="5"/>
  <c r="P5" i="5"/>
  <c r="R5" i="5" s="1"/>
  <c r="P6" i="5"/>
  <c r="P7" i="5"/>
  <c r="R7" i="5" s="1"/>
  <c r="P8" i="5"/>
  <c r="P9" i="5"/>
  <c r="P10" i="5"/>
  <c r="P11" i="5"/>
  <c r="R11" i="5" s="1"/>
  <c r="P12" i="5"/>
  <c r="R12" i="5" s="1"/>
  <c r="P13" i="5"/>
  <c r="R13" i="5" s="1"/>
  <c r="P14" i="5"/>
  <c r="P2" i="5"/>
  <c r="R10" i="5"/>
  <c r="R9" i="5"/>
  <c r="R8" i="5"/>
  <c r="R6" i="5"/>
  <c r="G10" i="5"/>
  <c r="G9" i="5"/>
  <c r="G8" i="5"/>
  <c r="G7" i="5"/>
  <c r="G6" i="5"/>
  <c r="G5" i="5"/>
  <c r="F13" i="5" l="1"/>
  <c r="G13" i="5" s="1"/>
  <c r="F12" i="5"/>
  <c r="G12" i="5" s="1"/>
  <c r="F11" i="5"/>
  <c r="G11" i="5" s="1"/>
  <c r="B14" i="5"/>
  <c r="B3" i="5"/>
  <c r="B4" i="5"/>
  <c r="B5" i="5"/>
  <c r="B6" i="5"/>
  <c r="B7" i="5"/>
  <c r="B8" i="5"/>
  <c r="B9" i="5"/>
  <c r="B10" i="5"/>
  <c r="B11" i="5"/>
  <c r="B12" i="5"/>
  <c r="B13" i="5"/>
  <c r="B2" i="5"/>
  <c r="B9" i="1" l="1"/>
  <c r="B8" i="1"/>
  <c r="C9" i="1"/>
  <c r="C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C6" i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K9" i="10" l="1"/>
  <c r="G6" i="10"/>
  <c r="I6" i="10" s="1"/>
  <c r="I9" i="10"/>
  <c r="K6" i="10"/>
  <c r="G4" i="10"/>
  <c r="K4" i="10" s="1"/>
  <c r="I8" i="10"/>
  <c r="G5" i="10"/>
  <c r="K5" i="10" s="1"/>
  <c r="G7" i="10"/>
  <c r="K7" i="10" s="1"/>
  <c r="K8" i="10"/>
  <c r="H5" i="10"/>
  <c r="G3" i="10"/>
  <c r="K3" i="10" s="1"/>
  <c r="H4" i="10"/>
  <c r="I4" i="10" s="1"/>
  <c r="H3" i="10"/>
  <c r="I7" i="10" l="1"/>
  <c r="K11" i="10"/>
  <c r="I5" i="10"/>
  <c r="I3" i="10"/>
  <c r="I11" i="10" l="1"/>
  <c r="K12" i="5"/>
  <c r="K11" i="5"/>
  <c r="J10" i="5"/>
  <c r="N10" i="5" s="1"/>
  <c r="K10" i="5"/>
  <c r="K3" i="5"/>
  <c r="J3" i="5"/>
  <c r="N3" i="5" s="1"/>
  <c r="R3" i="5" s="1"/>
  <c r="K9" i="5"/>
  <c r="J9" i="5"/>
  <c r="N9" i="5" s="1"/>
  <c r="J8" i="5"/>
  <c r="N8" i="5" s="1"/>
  <c r="K8" i="5"/>
  <c r="K7" i="5"/>
  <c r="J7" i="5"/>
  <c r="N7" i="5" s="1"/>
  <c r="T7" i="5" s="1"/>
  <c r="K6" i="5"/>
  <c r="J6" i="5"/>
  <c r="N6" i="5" s="1"/>
  <c r="K13" i="5"/>
  <c r="J13" i="5"/>
  <c r="N13" i="5" s="1"/>
  <c r="T13" i="5" s="1"/>
  <c r="K5" i="5"/>
  <c r="J5" i="5"/>
  <c r="N5" i="5" s="1"/>
  <c r="T5" i="5" s="1"/>
  <c r="J4" i="5"/>
  <c r="N4" i="5" s="1"/>
  <c r="R4" i="5" s="1"/>
  <c r="K4" i="5"/>
  <c r="J12" i="5"/>
  <c r="N12" i="5" s="1"/>
  <c r="J11" i="5"/>
  <c r="N11" i="5" s="1"/>
  <c r="T11" i="5" s="1"/>
  <c r="K2" i="5"/>
  <c r="T10" i="5" l="1"/>
  <c r="O10" i="5"/>
  <c r="O4" i="5"/>
  <c r="O8" i="5"/>
  <c r="O13" i="5"/>
  <c r="O12" i="5"/>
  <c r="O6" i="5"/>
  <c r="O5" i="5"/>
  <c r="O7" i="5"/>
  <c r="O9" i="5"/>
  <c r="O11" i="5"/>
  <c r="O3" i="5"/>
  <c r="T4" i="5"/>
  <c r="T12" i="5"/>
  <c r="T3" i="5"/>
  <c r="T6" i="5"/>
  <c r="T8" i="5"/>
  <c r="T9" i="5"/>
  <c r="J2" i="5"/>
  <c r="N2" i="5" s="1"/>
  <c r="O2" i="5" s="1"/>
  <c r="R2" i="5" l="1"/>
  <c r="T2" i="5"/>
</calcChain>
</file>

<file path=xl/sharedStrings.xml><?xml version="1.0" encoding="utf-8"?>
<sst xmlns="http://schemas.openxmlformats.org/spreadsheetml/2006/main" count="228" uniqueCount="131">
  <si>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</si>
  <si>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</si>
  <si>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</si>
  <si>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</si>
  <si>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</si>
  <si>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</si>
  <si>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</si>
  <si>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</si>
  <si>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</si>
  <si>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</si>
  <si>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</si>
  <si>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</si>
  <si>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</si>
  <si>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</si>
  <si>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</si>
  <si>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</si>
  <si>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</si>
  <si>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</si>
  <si>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</si>
  <si>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</si>
  <si>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</si>
  <si>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</si>
  <si>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</si>
  <si>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</si>
  <si>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</si>
  <si>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</si>
  <si>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</si>
  <si>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</si>
  <si>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</si>
  <si>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</si>
  <si>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</si>
  <si>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</si>
  <si>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</si>
  <si>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</si>
  <si>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</si>
  <si>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</si>
  <si>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</si>
  <si>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</si>
  <si>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</si>
  <si>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</si>
  <si>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</si>
  <si>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</si>
  <si>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</si>
  <si>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</si>
  <si>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</si>
  <si>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</si>
  <si>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</si>
  <si>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</si>
  <si>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</si>
  <si>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</si>
  <si>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</si>
  <si>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</si>
  <si>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</si>
  <si>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</si>
  <si>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</si>
  <si>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</si>
  <si>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</si>
  <si>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</si>
  <si>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</si>
  <si>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</si>
  <si>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</si>
  <si>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</si>
  <si>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</si>
  <si>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</si>
  <si>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</si>
  <si>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</si>
  <si>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</si>
  <si>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</si>
  <si>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</si>
  <si>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</si>
  <si>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</si>
  <si>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</si>
  <si>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</si>
  <si>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</si>
  <si>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</si>
  <si>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</si>
  <si>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</si>
  <si>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</si>
  <si>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</si>
  <si>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</si>
  <si>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</si>
  <si>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</si>
  <si>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</si>
  <si>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</si>
  <si>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</si>
  <si>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</si>
  <si>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</si>
  <si>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</si>
  <si>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</si>
  <si>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</si>
  <si>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</si>
  <si>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</si>
  <si>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</si>
  <si>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</si>
  <si>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</si>
  <si>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</si>
  <si>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</si>
  <si>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</si>
  <si>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</si>
  <si>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</si>
  <si>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</si>
  <si>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</si>
  <si>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</si>
  <si>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</si>
  <si>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</si>
  <si>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Initial Stock</t>
  </si>
  <si>
    <t>Final Stock</t>
  </si>
  <si>
    <t>FHY Slurry</t>
  </si>
  <si>
    <t>InitialStock</t>
  </si>
  <si>
    <t>RaGlassASW_1A</t>
  </si>
  <si>
    <t>RaGlassASW_1B</t>
  </si>
  <si>
    <t>RaGlassASW_1C</t>
  </si>
  <si>
    <t>RaGOEASW_1A</t>
  </si>
  <si>
    <t>RaGOEASW_1B</t>
  </si>
  <si>
    <t>RaGOEASW_1C</t>
  </si>
  <si>
    <t>RaMontASW_1A</t>
  </si>
  <si>
    <t>RaMontASW_1B</t>
  </si>
  <si>
    <t>RaMontASW_1C</t>
  </si>
  <si>
    <t>RaFHYASW_1A</t>
  </si>
  <si>
    <t>RaFHYASW_1B</t>
  </si>
  <si>
    <t>RaFHYASW_1C</t>
  </si>
  <si>
    <t>RaGOE2ASW_1A</t>
  </si>
  <si>
    <t>Slurry Volume (mL)</t>
  </si>
  <si>
    <t>g/L Mineral</t>
  </si>
  <si>
    <t>RaGlassASW_1</t>
  </si>
  <si>
    <t>RaGOEASW_1</t>
  </si>
  <si>
    <t>RaMontASW_1</t>
  </si>
  <si>
    <t>RaFHYASW_1</t>
  </si>
  <si>
    <t>RaGOE2ASW_1</t>
  </si>
  <si>
    <t>Ncount</t>
  </si>
  <si>
    <t>Single sample to test new GOE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</si>
</sst>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3944"/>
        <c:axId val="200763160"/>
      </c:scatterChart>
      <c:valAx>
        <c:axId val="20076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3160"/>
        <c:crosses val="autoZero"/>
        <c:crossBetween val="midCat"/>
      </c:valAx>
      <c:valAx>
        <c:axId val="20076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76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2376"/>
        <c:axId val="200759240"/>
      </c:scatterChart>
      <c:valAx>
        <c:axId val="20076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59240"/>
        <c:crosses val="autoZero"/>
        <c:crossBetween val="midCat"/>
      </c:valAx>
      <c:valAx>
        <c:axId val="20075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6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42901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105</v>
      </c>
      <c r="B8">
        <f>'Count-&gt;Actual Activity'!F2/5</f>
        <v>0.72930411644908755</v>
      </c>
      <c r="C8">
        <f>'Count-&gt;Actual Activity'!G2</f>
        <v>0.15745067498955981</v>
      </c>
      <c r="D8" t="s">
        <v>20</v>
      </c>
    </row>
    <row r="9" spans="1:5" x14ac:dyDescent="0.25">
      <c r="A9" t="s">
        <v>106</v>
      </c>
      <c r="B9">
        <f>'Count-&gt;Actual Activity'!F3/5</f>
        <v>0.69767764133753096</v>
      </c>
      <c r="C9">
        <f>'Count-&gt;Actual Activity'!G3</f>
        <v>0.15745067498955981</v>
      </c>
      <c r="D9" t="s">
        <v>20</v>
      </c>
    </row>
    <row r="10" spans="1:5" x14ac:dyDescent="0.25">
      <c r="A10" t="s">
        <v>107</v>
      </c>
      <c r="B10">
        <v>32.102209408675648</v>
      </c>
      <c r="C10">
        <v>0.2103500515048406</v>
      </c>
      <c r="D1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A15"/>
    </sheetView>
  </sheetViews>
  <sheetFormatPr defaultRowHeight="15" x14ac:dyDescent="0.25"/>
  <cols>
    <col min="1" max="1" width="14.85546875" bestFit="1" customWidth="1"/>
    <col min="2" max="2" width="15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42933.388888888891</v>
      </c>
      <c r="B2" t="s">
        <v>108</v>
      </c>
      <c r="C2">
        <v>1389.3</v>
      </c>
      <c r="D2">
        <v>1.7</v>
      </c>
      <c r="E2">
        <v>0.01</v>
      </c>
      <c r="F2">
        <v>170.15</v>
      </c>
    </row>
    <row r="3" spans="1:6" x14ac:dyDescent="0.25">
      <c r="A3" s="16">
        <v>42933.388888888891</v>
      </c>
      <c r="B3" t="s">
        <v>106</v>
      </c>
      <c r="C3">
        <v>1329.7</v>
      </c>
      <c r="D3">
        <v>1.73</v>
      </c>
      <c r="E3">
        <v>0.01</v>
      </c>
      <c r="F3">
        <v>180.8</v>
      </c>
    </row>
    <row r="4" spans="1:6" x14ac:dyDescent="0.25">
      <c r="A4" s="16">
        <v>42933.388888888891</v>
      </c>
      <c r="B4" t="s">
        <v>109</v>
      </c>
      <c r="C4">
        <v>1259.7</v>
      </c>
      <c r="D4">
        <v>1.78</v>
      </c>
      <c r="E4">
        <v>0.01</v>
      </c>
      <c r="F4">
        <v>191.43</v>
      </c>
    </row>
    <row r="5" spans="1:6" x14ac:dyDescent="0.25">
      <c r="A5" s="16">
        <v>42933.388888888891</v>
      </c>
      <c r="B5" t="s">
        <v>110</v>
      </c>
      <c r="C5">
        <v>1342</v>
      </c>
      <c r="D5">
        <v>1.73</v>
      </c>
      <c r="E5">
        <v>0.01</v>
      </c>
      <c r="F5">
        <v>202.07</v>
      </c>
    </row>
    <row r="6" spans="1:6" x14ac:dyDescent="0.25">
      <c r="A6" s="16">
        <v>42933.388888888891</v>
      </c>
      <c r="B6" t="s">
        <v>111</v>
      </c>
      <c r="C6">
        <v>1336.7</v>
      </c>
      <c r="D6">
        <v>1.73</v>
      </c>
      <c r="E6">
        <v>0.01</v>
      </c>
      <c r="F6">
        <v>212.72</v>
      </c>
    </row>
    <row r="7" spans="1:6" x14ac:dyDescent="0.25">
      <c r="A7" s="16">
        <v>42933.388888888891</v>
      </c>
      <c r="B7" t="s">
        <v>112</v>
      </c>
      <c r="C7">
        <v>1259.7</v>
      </c>
      <c r="D7">
        <v>1.78</v>
      </c>
      <c r="E7">
        <v>0.01</v>
      </c>
      <c r="F7">
        <v>191.43</v>
      </c>
    </row>
    <row r="8" spans="1:6" x14ac:dyDescent="0.25">
      <c r="A8" s="16">
        <v>42933.388888888891</v>
      </c>
      <c r="B8" t="s">
        <v>113</v>
      </c>
      <c r="C8">
        <v>1276.9000000000001</v>
      </c>
      <c r="D8">
        <v>1.77</v>
      </c>
      <c r="E8">
        <v>0.01</v>
      </c>
      <c r="F8">
        <v>233.98</v>
      </c>
    </row>
    <row r="9" spans="1:6" x14ac:dyDescent="0.25">
      <c r="A9" s="16">
        <v>42933.388888888891</v>
      </c>
      <c r="B9" t="s">
        <v>114</v>
      </c>
      <c r="C9">
        <v>1235</v>
      </c>
      <c r="D9">
        <v>1.8</v>
      </c>
      <c r="E9">
        <v>0.01</v>
      </c>
      <c r="F9">
        <v>244.61</v>
      </c>
    </row>
    <row r="10" spans="1:6" x14ac:dyDescent="0.25">
      <c r="A10" s="16">
        <v>42933.388888888891</v>
      </c>
      <c r="B10" t="s">
        <v>115</v>
      </c>
      <c r="C10">
        <v>1266</v>
      </c>
      <c r="D10">
        <v>1.78</v>
      </c>
      <c r="E10">
        <v>0.01</v>
      </c>
      <c r="F10">
        <v>255.24</v>
      </c>
    </row>
    <row r="11" spans="1:6" x14ac:dyDescent="0.25">
      <c r="A11" s="16">
        <v>42933.388888888891</v>
      </c>
      <c r="B11" t="s">
        <v>116</v>
      </c>
      <c r="C11">
        <v>1287.2</v>
      </c>
      <c r="D11">
        <v>1.76</v>
      </c>
      <c r="E11">
        <v>0.01</v>
      </c>
      <c r="F11">
        <v>265.98</v>
      </c>
    </row>
    <row r="12" spans="1:6" x14ac:dyDescent="0.25">
      <c r="A12" s="16">
        <v>42933.388888888891</v>
      </c>
      <c r="B12" t="s">
        <v>117</v>
      </c>
      <c r="C12">
        <v>1304</v>
      </c>
      <c r="D12">
        <v>1.75</v>
      </c>
      <c r="E12">
        <v>0.01</v>
      </c>
      <c r="F12">
        <v>276.62</v>
      </c>
    </row>
    <row r="13" spans="1:6" x14ac:dyDescent="0.25">
      <c r="A13" s="16">
        <v>42933.388888888891</v>
      </c>
      <c r="B13" t="s">
        <v>118</v>
      </c>
      <c r="C13">
        <v>1211.2</v>
      </c>
      <c r="D13">
        <v>1.82</v>
      </c>
      <c r="E13">
        <v>0.01</v>
      </c>
      <c r="F13">
        <v>287.24</v>
      </c>
    </row>
    <row r="14" spans="1:6" x14ac:dyDescent="0.25">
      <c r="A14" s="16">
        <v>42933.388888888891</v>
      </c>
      <c r="B14" t="s">
        <v>119</v>
      </c>
      <c r="C14">
        <v>1205.8</v>
      </c>
      <c r="D14">
        <v>1.82</v>
      </c>
      <c r="E14">
        <v>0.01</v>
      </c>
      <c r="F14">
        <v>297.88</v>
      </c>
    </row>
    <row r="15" spans="1:6" x14ac:dyDescent="0.25">
      <c r="A15" s="16">
        <v>42933.388888888891</v>
      </c>
      <c r="B15" t="s">
        <v>120</v>
      </c>
      <c r="C15">
        <v>1209</v>
      </c>
      <c r="D15">
        <v>1.82</v>
      </c>
      <c r="E15">
        <v>0.01</v>
      </c>
      <c r="F15">
        <v>308.51</v>
      </c>
    </row>
    <row r="16" spans="1:6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F13" sqref="F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6" sqref="A16"/>
    </sheetView>
  </sheetViews>
  <sheetFormatPr defaultRowHeight="15" x14ac:dyDescent="0.25"/>
  <cols>
    <col min="1" max="1" width="15.42578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108</v>
      </c>
      <c r="B2" t="s">
        <v>85</v>
      </c>
      <c r="C2" s="14">
        <v>23.155000000000001</v>
      </c>
      <c r="D2">
        <v>0.39363500000000001</v>
      </c>
      <c r="E2" s="1" t="s">
        <v>45</v>
      </c>
      <c r="F2" s="1">
        <f>C2*'Calibration Data'!$B$31+'Calibration Data'!$B$30</f>
        <v>3.6465205822454378</v>
      </c>
      <c r="G2" s="15">
        <f>'Calibration Data'!$B$20</f>
        <v>0.15745067498955981</v>
      </c>
    </row>
    <row r="3" spans="1:7" x14ac:dyDescent="0.25">
      <c r="A3" t="s">
        <v>106</v>
      </c>
      <c r="B3" t="s">
        <v>85</v>
      </c>
      <c r="C3" s="14">
        <v>22.161666669999999</v>
      </c>
      <c r="D3">
        <v>0.38339683000000002</v>
      </c>
      <c r="E3" s="1" t="s">
        <v>45</v>
      </c>
      <c r="F3" s="1">
        <f>C3*'Calibration Data'!$B$31+'Calibration Data'!$B$30</f>
        <v>3.4883882066876546</v>
      </c>
      <c r="G3" s="15">
        <f>'Calibration Data'!$B$20</f>
        <v>0.15745067498955981</v>
      </c>
    </row>
    <row r="4" spans="1:7" x14ac:dyDescent="0.25">
      <c r="A4" t="s">
        <v>109</v>
      </c>
      <c r="B4" t="s">
        <v>85</v>
      </c>
      <c r="C4" s="14">
        <v>20.995000000000001</v>
      </c>
      <c r="D4">
        <v>0.37371100000000002</v>
      </c>
      <c r="E4" s="1" t="s">
        <v>45</v>
      </c>
      <c r="F4" s="1">
        <f>C4*'Calibration Data'!$B$31+'Calibration Data'!$B$30</f>
        <v>3.3026622610867076</v>
      </c>
      <c r="G4" s="15">
        <f>'Calibration Data'!$B$20</f>
        <v>0.15745067498955981</v>
      </c>
    </row>
    <row r="5" spans="1:7" x14ac:dyDescent="0.25">
      <c r="A5" t="s">
        <v>110</v>
      </c>
      <c r="B5" t="s">
        <v>85</v>
      </c>
      <c r="C5" s="14">
        <v>22.366666670000001</v>
      </c>
      <c r="D5">
        <v>0.38694332999999997</v>
      </c>
      <c r="E5" s="1" t="s">
        <v>45</v>
      </c>
      <c r="F5" s="1">
        <f>C5*'Calibration Data'!$B$31+'Calibration Data'!$B$30</f>
        <v>3.5210229084642934</v>
      </c>
      <c r="G5" s="15">
        <f>'Calibration Data'!$B$20</f>
        <v>0.15745067498955981</v>
      </c>
    </row>
    <row r="6" spans="1:7" x14ac:dyDescent="0.25">
      <c r="A6" t="s">
        <v>111</v>
      </c>
      <c r="B6" t="s">
        <v>85</v>
      </c>
      <c r="C6" s="14">
        <v>22.278333329999999</v>
      </c>
      <c r="D6">
        <v>0.38541516999999997</v>
      </c>
      <c r="E6" s="1" t="s">
        <v>45</v>
      </c>
      <c r="F6" s="1">
        <f>C6*'Calibration Data'!$B$31+'Calibration Data'!$B$30</f>
        <v>3.5069608001333936</v>
      </c>
      <c r="G6" s="15">
        <f>'Calibration Data'!$B$20</f>
        <v>0.15745067498955981</v>
      </c>
    </row>
    <row r="7" spans="1:7" x14ac:dyDescent="0.25">
      <c r="A7" t="s">
        <v>112</v>
      </c>
      <c r="B7" t="s">
        <v>85</v>
      </c>
      <c r="C7" s="14">
        <v>20.995000000000001</v>
      </c>
      <c r="D7">
        <v>0.37371100000000002</v>
      </c>
      <c r="E7" s="1" t="s">
        <v>45</v>
      </c>
      <c r="F7" s="1">
        <f>C7*'Calibration Data'!$B$31+'Calibration Data'!$B$30</f>
        <v>3.3026622610867076</v>
      </c>
      <c r="G7" s="15">
        <f>'Calibration Data'!$B$20</f>
        <v>0.15745067498955981</v>
      </c>
    </row>
    <row r="8" spans="1:7" ht="15.75" customHeight="1" x14ac:dyDescent="0.25">
      <c r="A8" t="s">
        <v>113</v>
      </c>
      <c r="B8" t="s">
        <v>85</v>
      </c>
      <c r="C8" s="14">
        <v>21.28166667</v>
      </c>
      <c r="D8">
        <v>0.37668550000000001</v>
      </c>
      <c r="E8" s="1" t="s">
        <v>45</v>
      </c>
      <c r="F8" s="1">
        <f>C8*'Calibration Data'!$B$31+'Calibration Data'!$B$30</f>
        <v>3.3482977795489126</v>
      </c>
      <c r="G8" s="15">
        <f>'Calibration Data'!$B$20</f>
        <v>0.15745067498955981</v>
      </c>
    </row>
    <row r="9" spans="1:7" x14ac:dyDescent="0.25">
      <c r="A9" t="s">
        <v>114</v>
      </c>
      <c r="B9" t="s">
        <v>85</v>
      </c>
      <c r="C9" s="14">
        <v>20.583333329999999</v>
      </c>
      <c r="D9">
        <v>0.3705</v>
      </c>
      <c r="E9" s="1" t="s">
        <v>45</v>
      </c>
      <c r="F9" s="1">
        <f>C9*'Calibration Data'!$B$31+'Calibration Data'!$B$30</f>
        <v>3.2371275342241121</v>
      </c>
      <c r="G9" s="15">
        <f>'Calibration Data'!$B$20</f>
        <v>0.15745067498955981</v>
      </c>
    </row>
    <row r="10" spans="1:7" x14ac:dyDescent="0.25">
      <c r="A10" t="s">
        <v>115</v>
      </c>
      <c r="B10" t="s">
        <v>85</v>
      </c>
      <c r="C10" s="14">
        <v>21.1</v>
      </c>
      <c r="D10">
        <v>0.37558000000000002</v>
      </c>
      <c r="E10" s="1" t="s">
        <v>45</v>
      </c>
      <c r="F10" s="1">
        <f>C10*'Calibration Data'!$B$31+'Calibration Data'!$B$30</f>
        <v>3.3193775961430347</v>
      </c>
      <c r="G10" s="15">
        <f>'Calibration Data'!$B$20</f>
        <v>0.15745067498955981</v>
      </c>
    </row>
    <row r="11" spans="1:7" x14ac:dyDescent="0.25">
      <c r="A11" t="s">
        <v>116</v>
      </c>
      <c r="B11" t="s">
        <v>85</v>
      </c>
      <c r="C11" s="14">
        <v>21.45333333</v>
      </c>
      <c r="D11">
        <v>0.37757867000000001</v>
      </c>
      <c r="E11" s="1" t="s">
        <v>45</v>
      </c>
      <c r="F11" s="1">
        <f>C11*'Calibration Data'!$B$31+'Calibration Data'!$B$30</f>
        <v>3.3756260246908232</v>
      </c>
      <c r="G11" s="15">
        <f>'Calibration Data'!$B$20</f>
        <v>0.15745067498955981</v>
      </c>
    </row>
    <row r="12" spans="1:7" x14ac:dyDescent="0.25">
      <c r="A12" t="s">
        <v>117</v>
      </c>
      <c r="B12" t="s">
        <v>85</v>
      </c>
      <c r="C12" s="14">
        <v>21.733333330000001</v>
      </c>
      <c r="D12">
        <v>0.38033333000000002</v>
      </c>
      <c r="E12" s="1" t="s">
        <v>45</v>
      </c>
      <c r="F12" s="1">
        <f>C12*'Calibration Data'!$B$31+'Calibration Data'!$B$30</f>
        <v>3.4202002515076959</v>
      </c>
      <c r="G12" s="15">
        <f>'Calibration Data'!$B$20</f>
        <v>0.15745067498955981</v>
      </c>
    </row>
    <row r="13" spans="1:7" x14ac:dyDescent="0.25">
      <c r="A13" t="s">
        <v>118</v>
      </c>
      <c r="B13" t="s">
        <v>85</v>
      </c>
      <c r="C13" s="14">
        <v>20.186666670000001</v>
      </c>
      <c r="D13">
        <v>0.36739733000000002</v>
      </c>
      <c r="E13" s="1" t="s">
        <v>45</v>
      </c>
      <c r="F13" s="1">
        <f>C13*'Calibration Data'!$B$31+'Calibration Data'!$B$30</f>
        <v>3.1739807139615013</v>
      </c>
      <c r="G13" s="15">
        <f>'Calibration Data'!$B$20</f>
        <v>0.15745067498955981</v>
      </c>
    </row>
    <row r="14" spans="1:7" x14ac:dyDescent="0.25">
      <c r="A14" t="s">
        <v>119</v>
      </c>
      <c r="B14" t="s">
        <v>85</v>
      </c>
      <c r="C14" s="14">
        <v>20.096666670000001</v>
      </c>
      <c r="D14">
        <v>0.36575932999999999</v>
      </c>
      <c r="E14" s="1" t="s">
        <v>45</v>
      </c>
      <c r="F14" s="1">
        <f>C14*'Calibration Data'!$B$31+'Calibration Data'!$B$30</f>
        <v>3.159653283913221</v>
      </c>
      <c r="G14" s="15">
        <f>'Calibration Data'!$B$20</f>
        <v>0.15745067498955981</v>
      </c>
    </row>
    <row r="15" spans="1:7" x14ac:dyDescent="0.25">
      <c r="A15" t="s">
        <v>120</v>
      </c>
      <c r="B15" t="s">
        <v>85</v>
      </c>
      <c r="C15" s="14">
        <v>20.149999999999999</v>
      </c>
      <c r="D15">
        <v>0.36673</v>
      </c>
      <c r="E15" s="1" t="s">
        <v>45</v>
      </c>
      <c r="F15" s="1">
        <f>C15*'Calibration Data'!$B$31+'Calibration Data'!$B$30</f>
        <v>3.1681436123000744</v>
      </c>
      <c r="G15" s="15">
        <f>'Calibration Data'!$B$20</f>
        <v>0.15745067498955981</v>
      </c>
    </row>
    <row r="16" spans="1:7" x14ac:dyDescent="0.25">
      <c r="A16" t="s">
        <v>121</v>
      </c>
      <c r="B16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:J14"/>
    </sheetView>
  </sheetViews>
  <sheetFormatPr defaultRowHeight="15" x14ac:dyDescent="0.25"/>
  <cols>
    <col min="1" max="1" width="15.42578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16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122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109</v>
      </c>
      <c r="B2">
        <f>100</f>
        <v>100</v>
      </c>
      <c r="C2">
        <v>0.08</v>
      </c>
      <c r="D2" s="1">
        <v>7</v>
      </c>
      <c r="E2" s="1">
        <v>0</v>
      </c>
      <c r="F2" s="1">
        <v>0</v>
      </c>
      <c r="G2" s="1">
        <v>0</v>
      </c>
      <c r="H2" s="1">
        <v>100</v>
      </c>
      <c r="I2" s="1">
        <v>5</v>
      </c>
      <c r="J2" s="1">
        <f>'Count-&gt;Actual Activity'!F2</f>
        <v>3.6465205822454378</v>
      </c>
      <c r="K2" s="1">
        <f>'Count-&gt;Actual Activity'!G2</f>
        <v>0.15745067498955981</v>
      </c>
      <c r="L2" s="1">
        <v>5</v>
      </c>
      <c r="M2" s="1">
        <v>0.02</v>
      </c>
      <c r="N2">
        <f>J2/L2</f>
        <v>0.72930411644908755</v>
      </c>
      <c r="O2">
        <f>SQRT((M2/L2)^2+(K2/J2)^2)*N2</f>
        <v>3.1624970420461002E-2</v>
      </c>
      <c r="P2">
        <f>B2*AVERAGE(Parameters!$B$8:$B$9)</f>
        <v>71.349087889330917</v>
      </c>
      <c r="Q2">
        <f>P2*SQRT((C2/B2)^2+(_xlfn.STDEV.S(Parameters!$B$8:$B$9)/AVERAGE(Parameters!$B$8:$B$9))^2)</f>
        <v>2.2370578184322438</v>
      </c>
      <c r="R2" t="e">
        <f>(P2-N2*H2)/F2</f>
        <v>#DIV/0!</v>
      </c>
      <c r="T2">
        <f>(P2-N2*H2)/P2</f>
        <v>-2.2163195106721222E-2</v>
      </c>
    </row>
    <row r="3" spans="1:20" x14ac:dyDescent="0.25">
      <c r="A3" t="s">
        <v>110</v>
      </c>
      <c r="B3">
        <f>100</f>
        <v>100</v>
      </c>
      <c r="C3">
        <v>0.08</v>
      </c>
      <c r="D3" s="1">
        <v>7</v>
      </c>
      <c r="E3" s="1">
        <v>0</v>
      </c>
      <c r="F3" s="1">
        <v>0</v>
      </c>
      <c r="G3" s="1">
        <v>0</v>
      </c>
      <c r="H3" s="1">
        <v>100</v>
      </c>
      <c r="I3" s="1">
        <v>5</v>
      </c>
      <c r="J3" s="1">
        <f>'Count-&gt;Actual Activity'!F3</f>
        <v>3.4883882066876546</v>
      </c>
      <c r="K3" s="1">
        <f>'Count-&gt;Actual Activity'!G3</f>
        <v>0.15745067498955981</v>
      </c>
      <c r="L3" s="1">
        <v>5</v>
      </c>
      <c r="M3" s="1">
        <v>0.02</v>
      </c>
      <c r="N3">
        <f>J3/L3</f>
        <v>0.69767764133753096</v>
      </c>
      <c r="O3">
        <f>SQRT((M3/L3)^2+(K3/J3)^2)*N3</f>
        <v>3.1613551961876672E-2</v>
      </c>
      <c r="P3">
        <f>B3*AVERAGE(Parameters!$B$8:$B$9)</f>
        <v>71.349087889330917</v>
      </c>
      <c r="Q3">
        <f>P3*SQRT((C3/B3)^2+(_xlfn.STDEV.S(Parameters!$B$8:$B$9)/AVERAGE(Parameters!$B$8:$B$9))^2)</f>
        <v>2.2370578184322438</v>
      </c>
      <c r="R3" t="e">
        <f>(P3-N3*H3)/F3</f>
        <v>#DIV/0!</v>
      </c>
      <c r="T3">
        <f>(P3-N3*H3)/P3</f>
        <v>2.2163195106721024E-2</v>
      </c>
    </row>
    <row r="4" spans="1:20" x14ac:dyDescent="0.25">
      <c r="A4" t="s">
        <v>111</v>
      </c>
      <c r="B4">
        <f>100</f>
        <v>100</v>
      </c>
      <c r="C4">
        <v>0.08</v>
      </c>
      <c r="D4" s="1">
        <v>6.98</v>
      </c>
      <c r="E4" s="1">
        <v>0</v>
      </c>
      <c r="F4" s="1">
        <v>0</v>
      </c>
      <c r="G4" s="1">
        <v>0</v>
      </c>
      <c r="H4" s="1">
        <v>100</v>
      </c>
      <c r="I4" s="1">
        <v>5</v>
      </c>
      <c r="J4" s="1">
        <f>'Count-&gt;Actual Activity'!F4</f>
        <v>3.3026622610867076</v>
      </c>
      <c r="K4" s="1">
        <f>'Count-&gt;Actual Activity'!G4</f>
        <v>0.15745067498955981</v>
      </c>
      <c r="L4" s="1">
        <v>5</v>
      </c>
      <c r="M4" s="1">
        <v>0.02</v>
      </c>
      <c r="N4">
        <f>J4/L4</f>
        <v>0.66053245221734147</v>
      </c>
      <c r="O4">
        <f>SQRT((M4/L4)^2+(K4/J4)^2)*N4</f>
        <v>3.1600782460465056E-2</v>
      </c>
      <c r="P4">
        <f>B4*AVERAGE(Parameters!$B$8:$B$9)</f>
        <v>71.349087889330917</v>
      </c>
      <c r="Q4">
        <f>P4*SQRT((C4/B4)^2+(_xlfn.STDEV.S(Parameters!$B$8:$B$9)/AVERAGE(Parameters!$B$8:$B$9))^2)</f>
        <v>2.2370578184322438</v>
      </c>
      <c r="R4" t="e">
        <f>(P4-N4*H4)/F4</f>
        <v>#DIV/0!</v>
      </c>
      <c r="T4">
        <f>(P4-N4*H4)/P4</f>
        <v>7.4224391989581112E-2</v>
      </c>
    </row>
    <row r="5" spans="1:20" x14ac:dyDescent="0.25">
      <c r="A5" t="s">
        <v>112</v>
      </c>
      <c r="B5">
        <f>100</f>
        <v>100</v>
      </c>
      <c r="C5">
        <v>0.08</v>
      </c>
      <c r="D5" s="1">
        <v>6.97</v>
      </c>
      <c r="E5" s="1">
        <v>0</v>
      </c>
      <c r="F5" s="1">
        <v>2.98E-2</v>
      </c>
      <c r="G5" s="1">
        <f>0.0001</f>
        <v>1E-4</v>
      </c>
      <c r="H5" s="1">
        <v>100</v>
      </c>
      <c r="I5" s="1">
        <v>5</v>
      </c>
      <c r="J5" s="1">
        <f>'Count-&gt;Actual Activity'!F5</f>
        <v>3.5210229084642934</v>
      </c>
      <c r="K5" s="1">
        <f>'Count-&gt;Actual Activity'!G5</f>
        <v>0.15745067498955981</v>
      </c>
      <c r="L5" s="1">
        <v>5</v>
      </c>
      <c r="M5" s="1">
        <v>0.02</v>
      </c>
      <c r="N5">
        <f>J5/L5</f>
        <v>0.70420458169285871</v>
      </c>
      <c r="O5">
        <f>SQRT((M5/L5)^2+(K5/J5)^2)*N5</f>
        <v>3.161586734019415E-2</v>
      </c>
      <c r="P5">
        <f>B5*AVERAGE(Parameters!$B$8:$B$9)</f>
        <v>71.349087889330917</v>
      </c>
      <c r="Q5">
        <f>P5*SQRT((C5/B5)^2+(_xlfn.STDEV.S(Parameters!$B$8:$B$9)/AVERAGE(Parameters!$B$8:$B$9))^2)</f>
        <v>2.2370578184322438</v>
      </c>
      <c r="R5">
        <f>(P5-N5*H5)/F5</f>
        <v>31.162071142451406</v>
      </c>
      <c r="T5">
        <f>(P5-N5*H5)/P5</f>
        <v>1.30152991091553E-2</v>
      </c>
    </row>
    <row r="6" spans="1:20" x14ac:dyDescent="0.25">
      <c r="A6" t="s">
        <v>113</v>
      </c>
      <c r="B6">
        <f>100</f>
        <v>100</v>
      </c>
      <c r="C6">
        <v>0.08</v>
      </c>
      <c r="D6" s="1">
        <v>6.98</v>
      </c>
      <c r="E6" s="1">
        <v>0</v>
      </c>
      <c r="F6" s="1">
        <v>2.92E-2</v>
      </c>
      <c r="G6" s="1">
        <f>0.0001</f>
        <v>1E-4</v>
      </c>
      <c r="H6" s="1">
        <v>100</v>
      </c>
      <c r="I6" s="1">
        <v>5</v>
      </c>
      <c r="J6" s="1">
        <f>'Count-&gt;Actual Activity'!F6</f>
        <v>3.5069608001333936</v>
      </c>
      <c r="K6" s="1">
        <f>'Count-&gt;Actual Activity'!G6</f>
        <v>0.15745067498955981</v>
      </c>
      <c r="L6" s="1">
        <v>5</v>
      </c>
      <c r="M6" s="1">
        <v>0.02</v>
      </c>
      <c r="N6">
        <f>J6/L6</f>
        <v>0.7013921600266787</v>
      </c>
      <c r="O6">
        <f>SQRT((M6/L6)^2+(K6/J6)^2)*N6</f>
        <v>3.1614867034056457E-2</v>
      </c>
      <c r="P6">
        <f>B6*AVERAGE(Parameters!$B$8:$B$9)</f>
        <v>71.349087889330917</v>
      </c>
      <c r="Q6">
        <f>P6*SQRT((C6/B6)^2+(_xlfn.STDEV.S(Parameters!$B$8:$B$9)/AVERAGE(Parameters!$B$8:$B$9))^2)</f>
        <v>2.2370578184322438</v>
      </c>
      <c r="R6">
        <f>(P6-N6*H6)/F6</f>
        <v>41.433968721337401</v>
      </c>
      <c r="T6">
        <f>(P6-N6*H6)/P6</f>
        <v>1.6957075730802278E-2</v>
      </c>
    </row>
    <row r="7" spans="1:20" x14ac:dyDescent="0.25">
      <c r="A7" t="s">
        <v>114</v>
      </c>
      <c r="B7">
        <f>100</f>
        <v>100</v>
      </c>
      <c r="C7">
        <v>0.08</v>
      </c>
      <c r="D7" s="1">
        <v>6.98</v>
      </c>
      <c r="E7" s="1">
        <v>0</v>
      </c>
      <c r="F7" s="1">
        <v>0.03</v>
      </c>
      <c r="G7" s="1">
        <f>0.0001</f>
        <v>1E-4</v>
      </c>
      <c r="H7" s="1">
        <v>100</v>
      </c>
      <c r="I7" s="1">
        <v>5</v>
      </c>
      <c r="J7" s="1">
        <f>'Count-&gt;Actual Activity'!F7</f>
        <v>3.3026622610867076</v>
      </c>
      <c r="K7" s="1">
        <f>'Count-&gt;Actual Activity'!G7</f>
        <v>0.15745067498955981</v>
      </c>
      <c r="L7" s="1">
        <v>5</v>
      </c>
      <c r="M7" s="1">
        <v>0.02</v>
      </c>
      <c r="N7">
        <f>J7/L7</f>
        <v>0.66053245221734147</v>
      </c>
      <c r="O7">
        <f>SQRT((M7/L7)^2+(K7/J7)^2)*N7</f>
        <v>3.1600782460465056E-2</v>
      </c>
      <c r="P7">
        <f>B7*AVERAGE(Parameters!$B$8:$B$9)</f>
        <v>71.349087889330917</v>
      </c>
      <c r="Q7">
        <f>P7*SQRT((C7/B7)^2+(_xlfn.STDEV.S(Parameters!$B$8:$B$9)/AVERAGE(Parameters!$B$8:$B$9))^2)</f>
        <v>2.2370578184322438</v>
      </c>
      <c r="R7">
        <f>(P7-N7*H7)/F7</f>
        <v>176.52808891989244</v>
      </c>
      <c r="T7">
        <f>(P7-N7*H7)/P7</f>
        <v>7.4224391989581112E-2</v>
      </c>
    </row>
    <row r="8" spans="1:20" ht="15.75" customHeight="1" x14ac:dyDescent="0.25">
      <c r="A8" t="s">
        <v>115</v>
      </c>
      <c r="B8">
        <f>100</f>
        <v>100</v>
      </c>
      <c r="C8">
        <v>0.08</v>
      </c>
      <c r="D8" s="1">
        <v>6.99</v>
      </c>
      <c r="E8" s="1">
        <v>0</v>
      </c>
      <c r="F8" s="1">
        <v>2.9499999999999998E-2</v>
      </c>
      <c r="G8" s="1">
        <f>0.0001</f>
        <v>1E-4</v>
      </c>
      <c r="H8" s="1">
        <v>100</v>
      </c>
      <c r="I8" s="1">
        <v>5</v>
      </c>
      <c r="J8" s="1">
        <f>'Count-&gt;Actual Activity'!F8</f>
        <v>3.3482977795489126</v>
      </c>
      <c r="K8" s="1">
        <f>'Count-&gt;Actual Activity'!G8</f>
        <v>0.15745067498955981</v>
      </c>
      <c r="L8" s="1">
        <v>5</v>
      </c>
      <c r="M8" s="1">
        <v>0.02</v>
      </c>
      <c r="N8">
        <f>J8/L8</f>
        <v>0.66965955590978254</v>
      </c>
      <c r="O8">
        <f>SQRT((M8/L8)^2+(K8/J8)^2)*N8</f>
        <v>3.1603855855256976E-2</v>
      </c>
      <c r="P8">
        <f>B8*AVERAGE(Parameters!$B$8:$B$9)</f>
        <v>71.349087889330917</v>
      </c>
      <c r="Q8">
        <f>P8*SQRT((C8/B8)^2+(_xlfn.STDEV.S(Parameters!$B$8:$B$9)/AVERAGE(Parameters!$B$8:$B$9))^2)</f>
        <v>2.2370578184322438</v>
      </c>
      <c r="R8">
        <f>(P8-N8*H8)/F8</f>
        <v>148.58075587636148</v>
      </c>
      <c r="T8">
        <f>(P8-N8*H8)/P8</f>
        <v>6.143221207188114E-2</v>
      </c>
    </row>
    <row r="9" spans="1:20" x14ac:dyDescent="0.25">
      <c r="A9" t="s">
        <v>116</v>
      </c>
      <c r="B9">
        <f>100</f>
        <v>100</v>
      </c>
      <c r="C9">
        <v>0.08</v>
      </c>
      <c r="D9" s="1">
        <v>6.99</v>
      </c>
      <c r="E9" s="1">
        <v>0</v>
      </c>
      <c r="F9" s="1">
        <v>2.9700000000000001E-2</v>
      </c>
      <c r="G9" s="1">
        <f>0.0001</f>
        <v>1E-4</v>
      </c>
      <c r="H9" s="1">
        <v>100</v>
      </c>
      <c r="I9" s="1">
        <v>5</v>
      </c>
      <c r="J9" s="1">
        <f>'Count-&gt;Actual Activity'!F9</f>
        <v>3.2371275342241121</v>
      </c>
      <c r="K9" s="1">
        <f>'Count-&gt;Actual Activity'!G9</f>
        <v>0.15745067498955981</v>
      </c>
      <c r="L9" s="1">
        <v>5</v>
      </c>
      <c r="M9" s="1">
        <v>0.02</v>
      </c>
      <c r="N9">
        <f>J9/L9</f>
        <v>0.64742550684482247</v>
      </c>
      <c r="O9">
        <f>SQRT((M9/L9)^2+(K9/J9)^2)*N9</f>
        <v>3.159644218543177E-2</v>
      </c>
      <c r="P9">
        <f>B9*AVERAGE(Parameters!$B$8:$B$9)</f>
        <v>71.349087889330917</v>
      </c>
      <c r="Q9">
        <f>P9*SQRT((C9/B9)^2+(_xlfn.STDEV.S(Parameters!$B$8:$B$9)/AVERAGE(Parameters!$B$8:$B$9))^2)</f>
        <v>2.2370578184322438</v>
      </c>
      <c r="R9">
        <f>(P9-N9*H9)/F9</f>
        <v>222.44233012958463</v>
      </c>
      <c r="T9">
        <f>(P9-N9*H9)/P9</f>
        <v>9.2594557271650321E-2</v>
      </c>
    </row>
    <row r="10" spans="1:20" x14ac:dyDescent="0.25">
      <c r="A10" t="s">
        <v>117</v>
      </c>
      <c r="B10">
        <f>100</f>
        <v>100</v>
      </c>
      <c r="C10">
        <v>0.08</v>
      </c>
      <c r="D10" s="1">
        <v>6.99</v>
      </c>
      <c r="E10" s="1">
        <v>0</v>
      </c>
      <c r="F10" s="1">
        <v>3.0300000000000001E-2</v>
      </c>
      <c r="G10" s="1">
        <f>0.0001</f>
        <v>1E-4</v>
      </c>
      <c r="H10" s="1">
        <v>100</v>
      </c>
      <c r="I10" s="1">
        <v>5</v>
      </c>
      <c r="J10" s="1">
        <f>'Count-&gt;Actual Activity'!F10</f>
        <v>3.3193775961430347</v>
      </c>
      <c r="K10" s="1">
        <f>'Count-&gt;Actual Activity'!G10</f>
        <v>0.15745067498955981</v>
      </c>
      <c r="L10" s="1">
        <v>5</v>
      </c>
      <c r="M10" s="1">
        <v>0.02</v>
      </c>
      <c r="N10">
        <f>J10/L10</f>
        <v>0.66387551922860699</v>
      </c>
      <c r="O10">
        <f>SQRT((M10/L10)^2+(K10/J10)^2)*N10</f>
        <v>3.1601903320325767E-2</v>
      </c>
      <c r="P10">
        <f>B10*AVERAGE(Parameters!$B$8:$B$9)</f>
        <v>71.349087889330917</v>
      </c>
      <c r="Q10">
        <f>P10*SQRT((C10/B10)^2+(_xlfn.STDEV.S(Parameters!$B$8:$B$9)/AVERAGE(Parameters!$B$8:$B$9))^2)</f>
        <v>2.2370578184322438</v>
      </c>
      <c r="R10">
        <f>(P10-N10*H10)/F10</f>
        <v>163.74706159967729</v>
      </c>
      <c r="T10">
        <f>(P10-N10*H10)/P10</f>
        <v>6.953888428351078E-2</v>
      </c>
    </row>
    <row r="11" spans="1:20" x14ac:dyDescent="0.25">
      <c r="A11" t="s">
        <v>118</v>
      </c>
      <c r="B11">
        <f>100</f>
        <v>100</v>
      </c>
      <c r="C11">
        <v>0.08</v>
      </c>
      <c r="D11" s="1">
        <v>6.96</v>
      </c>
      <c r="E11" s="1">
        <v>0.222</v>
      </c>
      <c r="F11" s="1">
        <f>Parameters!$B$10*'Bottle Results'!E11/1000</f>
        <v>7.1266904887259935E-3</v>
      </c>
      <c r="G11" s="1">
        <f>F11*SQRT((0.002/E11)^2+(Parameters!$C$10/Parameters!$B$10)^2)</f>
        <v>7.9390702534074816E-5</v>
      </c>
      <c r="H11" s="1">
        <v>100</v>
      </c>
      <c r="I11" s="1">
        <v>5</v>
      </c>
      <c r="J11" s="1">
        <f>'Count-&gt;Actual Activity'!F11</f>
        <v>3.3756260246908232</v>
      </c>
      <c r="K11" s="1">
        <f>'Count-&gt;Actual Activity'!G11</f>
        <v>0.15745067498955981</v>
      </c>
      <c r="L11" s="1">
        <v>5</v>
      </c>
      <c r="M11" s="1">
        <v>0.02</v>
      </c>
      <c r="N11">
        <f>J11/L11</f>
        <v>0.67512520493816464</v>
      </c>
      <c r="O11">
        <f>SQRT((M11/L11)^2+(K11/J11)^2)*N11</f>
        <v>3.1605716363724529E-2</v>
      </c>
      <c r="P11">
        <f>B11*AVERAGE(Parameters!$B$8:$B$9)</f>
        <v>71.349087889330917</v>
      </c>
      <c r="Q11">
        <f>P11*SQRT((C11/B11)^2+(_xlfn.STDEV.S(Parameters!$B$8:$B$9)/AVERAGE(Parameters!$B$8:$B$9))^2)</f>
        <v>2.2370578184322438</v>
      </c>
      <c r="R11">
        <f>(P11-N11*H11)/F11</f>
        <v>538.33787247863154</v>
      </c>
      <c r="T11">
        <f>(P11-N11*H11)/P11</f>
        <v>5.3771779135639741E-2</v>
      </c>
    </row>
    <row r="12" spans="1:20" x14ac:dyDescent="0.25">
      <c r="A12" t="s">
        <v>119</v>
      </c>
      <c r="B12">
        <f>100</f>
        <v>100</v>
      </c>
      <c r="C12">
        <v>0.08</v>
      </c>
      <c r="D12" s="1">
        <v>6.98</v>
      </c>
      <c r="E12" s="1">
        <v>0.222</v>
      </c>
      <c r="F12" s="1">
        <f>Parameters!$B$10*'Bottle Results'!E12/1000</f>
        <v>7.1266904887259935E-3</v>
      </c>
      <c r="G12" s="1">
        <f>F12*SQRT((0.002/E12)^2+(Parameters!$C$10/Parameters!$B$10)^2)</f>
        <v>7.9390702534074816E-5</v>
      </c>
      <c r="H12" s="1">
        <v>100</v>
      </c>
      <c r="I12" s="1">
        <v>5</v>
      </c>
      <c r="J12" s="1">
        <f>'Count-&gt;Actual Activity'!F12</f>
        <v>3.4202002515076959</v>
      </c>
      <c r="K12" s="1">
        <f>'Count-&gt;Actual Activity'!G12</f>
        <v>0.15745067498955981</v>
      </c>
      <c r="L12" s="1">
        <v>5</v>
      </c>
      <c r="M12" s="1">
        <v>0.02</v>
      </c>
      <c r="N12">
        <f>J12/L12</f>
        <v>0.68404005030153914</v>
      </c>
      <c r="O12">
        <f>SQRT((M12/L12)^2+(K12/J12)^2)*N12</f>
        <v>3.1608783191280618E-2</v>
      </c>
      <c r="P12">
        <f>B12*AVERAGE(Parameters!$B$8:$B$9)</f>
        <v>71.349087889330917</v>
      </c>
      <c r="Q12">
        <f>P12*SQRT((C12/B12)^2+(_xlfn.STDEV.S(Parameters!$B$8:$B$9)/AVERAGE(Parameters!$B$8:$B$9))^2)</f>
        <v>2.2370578184322438</v>
      </c>
      <c r="R12">
        <f>(P12-N12*H12)/F12</f>
        <v>413.24691507733564</v>
      </c>
      <c r="T12">
        <f>(P12-N12*H12)/P12</f>
        <v>4.1277091919452481E-2</v>
      </c>
    </row>
    <row r="13" spans="1:20" x14ac:dyDescent="0.25">
      <c r="A13" t="s">
        <v>120</v>
      </c>
      <c r="B13">
        <f>100</f>
        <v>100</v>
      </c>
      <c r="C13">
        <v>0.08</v>
      </c>
      <c r="D13" s="1">
        <v>6.98</v>
      </c>
      <c r="E13" s="1">
        <v>0.222</v>
      </c>
      <c r="F13" s="1">
        <f>Parameters!$B$10*'Bottle Results'!E13/1000</f>
        <v>7.1266904887259935E-3</v>
      </c>
      <c r="G13" s="1">
        <f>F13*SQRT((0.002/E13)^2+(Parameters!$C$10/Parameters!$B$10)^2)</f>
        <v>7.9390702534074816E-5</v>
      </c>
      <c r="H13" s="1">
        <v>100</v>
      </c>
      <c r="I13" s="1">
        <v>5</v>
      </c>
      <c r="J13" s="1">
        <f>'Count-&gt;Actual Activity'!F13</f>
        <v>3.1739807139615013</v>
      </c>
      <c r="K13" s="1">
        <f>'Count-&gt;Actual Activity'!G13</f>
        <v>0.15745067498955981</v>
      </c>
      <c r="L13" s="1">
        <v>5</v>
      </c>
      <c r="M13" s="1">
        <v>0.02</v>
      </c>
      <c r="N13">
        <f>J13/L13</f>
        <v>0.63479614279230023</v>
      </c>
      <c r="O13">
        <f>SQRT((M13/L13)^2+(K13/J13)^2)*N13</f>
        <v>3.1592341801031203E-2</v>
      </c>
      <c r="P13">
        <f>B13*AVERAGE(Parameters!$B$8:$B$9)</f>
        <v>71.349087889330917</v>
      </c>
      <c r="Q13">
        <f>P13*SQRT((C13/B13)^2+(_xlfn.STDEV.S(Parameters!$B$8:$B$9)/AVERAGE(Parameters!$B$8:$B$9))^2)</f>
        <v>2.2370578184322438</v>
      </c>
      <c r="R13">
        <f>(P13-N13*H13)/F13</f>
        <v>1104.2255339347125</v>
      </c>
      <c r="T13">
        <f>(P13-N13*H13)/P13</f>
        <v>0.11029536386375652</v>
      </c>
    </row>
    <row r="14" spans="1:20" x14ac:dyDescent="0.25">
      <c r="A14" t="s">
        <v>121</v>
      </c>
      <c r="B14">
        <f>100</f>
        <v>100</v>
      </c>
      <c r="C14">
        <v>0.08</v>
      </c>
      <c r="D14" s="1">
        <v>7.03</v>
      </c>
      <c r="E14" s="1"/>
      <c r="F14">
        <v>3.0599999999999999E-2</v>
      </c>
      <c r="G14">
        <v>1E-4</v>
      </c>
      <c r="H14" s="1">
        <v>100</v>
      </c>
      <c r="I14" s="1">
        <v>5</v>
      </c>
      <c r="L14" s="1">
        <v>5</v>
      </c>
      <c r="M14" s="1">
        <v>0.02</v>
      </c>
      <c r="P14">
        <f>B14*AVERAGE(Parameters!$B$8:$B$9)</f>
        <v>71.349087889330917</v>
      </c>
      <c r="Q14">
        <f>P14*SQRT((C14/B14)^2+(_xlfn.STDEV.S(Parameters!$B$8:$B$9)/AVERAGE(Parameters!$B$8:$B$9))^2)</f>
        <v>2.2370578184322438</v>
      </c>
    </row>
  </sheetData>
  <conditionalFormatting sqref="J2:J14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M10" sqref="M10"/>
    </sheetView>
  </sheetViews>
  <sheetFormatPr defaultRowHeight="15" x14ac:dyDescent="0.25"/>
  <cols>
    <col min="1" max="1" width="14.140625" bestFit="1" customWidth="1"/>
    <col min="10" max="10" width="12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129</v>
      </c>
      <c r="L1" t="s">
        <v>7</v>
      </c>
    </row>
    <row r="2" spans="1:12" x14ac:dyDescent="0.25">
      <c r="A2" t="s">
        <v>124</v>
      </c>
      <c r="B2">
        <f>AVERAGE('Bottle Results'!N2:N4)</f>
        <v>0.69583807000131992</v>
      </c>
      <c r="C2">
        <f>_xlfn.STDEV.S('Bottle Results'!N2:N4)</f>
        <v>3.4422717314685693E-2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71.349087889330917</v>
      </c>
      <c r="G2">
        <f>AVERAGE('Bottle Results'!T2:T4)</f>
        <v>2.4741463996526974E-2</v>
      </c>
      <c r="H2">
        <f>_xlfn.STDEV.S('Bottle Results'!T2:T4)</f>
        <v>4.8245490353119258E-2</v>
      </c>
      <c r="I2">
        <f>AVERAGE('Bottle Results'!D2:D4)</f>
        <v>6.9933333333333332</v>
      </c>
      <c r="J2">
        <f>_xlfn.STDEV.S('Bottle Results'!D2:D4)</f>
        <v>1.154700538379227E-2</v>
      </c>
      <c r="K2">
        <f>COUNT('Bottle Results'!J2:J4)</f>
        <v>3</v>
      </c>
    </row>
    <row r="3" spans="1:12" x14ac:dyDescent="0.25">
      <c r="A3" t="s">
        <v>125</v>
      </c>
      <c r="B3">
        <f>AVERAGE('Bottle Results'!N5:N7)</f>
        <v>0.68870973131229307</v>
      </c>
      <c r="C3">
        <f>_xlfn.STDEV.S('Bottle Results'!N5:N7)</f>
        <v>2.4442723289420768E-2</v>
      </c>
      <c r="D3">
        <f>AVERAGE('Bottle Results'!R5:R7)</f>
        <v>83.041376261227086</v>
      </c>
      <c r="E3">
        <f>_xlfn.STDEV.S('Bottle Results'!R5:R7)</f>
        <v>81.124608182478624</v>
      </c>
      <c r="F3">
        <f>AVERAGE('Bottle Results'!P5:P7)</f>
        <v>71.349087889330917</v>
      </c>
      <c r="G3">
        <f>AVERAGE('Bottle Results'!T5:T7)</f>
        <v>3.4732255609846226E-2</v>
      </c>
      <c r="H3">
        <f>_xlfn.STDEV.S('Bottle Results'!T5:T7)</f>
        <v>3.4257933790735627E-2</v>
      </c>
      <c r="I3">
        <f>AVERAGE('Bottle Results'!D5:D7)</f>
        <v>6.9766666666666666</v>
      </c>
      <c r="J3">
        <f>_xlfn.STDEV.S('Bottle Results'!D5:D7)</f>
        <v>5.7735026918966474E-3</v>
      </c>
      <c r="K3">
        <f>COUNT('Bottle Results'!J5:J7)</f>
        <v>3</v>
      </c>
    </row>
    <row r="4" spans="1:12" x14ac:dyDescent="0.25">
      <c r="A4" t="s">
        <v>126</v>
      </c>
      <c r="B4">
        <f>AVERAGE('Bottle Results'!N8:N10)</f>
        <v>0.660320193994404</v>
      </c>
      <c r="C4">
        <f>_xlfn.STDEV.S('Bottle Results'!N8:N10)</f>
        <v>1.1535531526396319E-2</v>
      </c>
      <c r="D4">
        <f>AVERAGE('Bottle Results'!R8:R10)</f>
        <v>178.25671586854114</v>
      </c>
      <c r="E4">
        <f>_xlfn.STDEV.S('Bottle Results'!R8:R10)</f>
        <v>39.010006255351627</v>
      </c>
      <c r="F4">
        <f>AVERAGE('Bottle Results'!P8:P10)</f>
        <v>71.349087889330917</v>
      </c>
      <c r="G4">
        <f>AVERAGE('Bottle Results'!T8:T10)</f>
        <v>7.4521884542347414E-2</v>
      </c>
      <c r="H4">
        <f>_xlfn.STDEV.S('Bottle Results'!T8:T10)</f>
        <v>1.6167735100256618E-2</v>
      </c>
      <c r="I4">
        <f>AVERAGE('Bottle Results'!D8:D10)</f>
        <v>6.9899999999999993</v>
      </c>
      <c r="J4">
        <f>_xlfn.STDEV.S('Bottle Results'!D8:D10)</f>
        <v>1.0877919644084146E-15</v>
      </c>
      <c r="K4">
        <f>COUNT('Bottle Results'!J8:J10)</f>
        <v>3</v>
      </c>
    </row>
    <row r="5" spans="1:12" x14ac:dyDescent="0.25">
      <c r="A5" t="s">
        <v>127</v>
      </c>
      <c r="B5">
        <f>AVERAGE('Bottle Results'!N11:N13)</f>
        <v>0.66465379934400126</v>
      </c>
      <c r="C5">
        <f>_xlfn.STDEV.S('Bottle Results'!N11:N13)</f>
        <v>2.6238871127255547E-2</v>
      </c>
      <c r="D5">
        <f>AVERAGE('Bottle Results'!R11:R13)</f>
        <v>685.27010716355983</v>
      </c>
      <c r="E5">
        <f>_xlfn.STDEV.S('Bottle Results'!R11:R13)</f>
        <v>368.17750355180908</v>
      </c>
      <c r="F5">
        <f>AVERAGE('Bottle Results'!P11:P13)</f>
        <v>71.349087889330917</v>
      </c>
      <c r="G5">
        <f>AVERAGE('Bottle Results'!T11:T13)</f>
        <v>6.8448078306282911E-2</v>
      </c>
      <c r="H5">
        <f>_xlfn.STDEV.S('Bottle Results'!T11:T13)</f>
        <v>3.6775342058968569E-2</v>
      </c>
      <c r="I5">
        <f>AVERAGE('Bottle Results'!D11:D13)</f>
        <v>6.9733333333333336</v>
      </c>
      <c r="J5">
        <f>_xlfn.STDEV.S('Bottle Results'!D11:D13)</f>
        <v>1.1547005383792781E-2</v>
      </c>
      <c r="K5">
        <f>COUNT('Bottle Results'!J11:J13)</f>
        <v>3</v>
      </c>
    </row>
    <row r="6" spans="1:12" x14ac:dyDescent="0.25">
      <c r="A6" t="s">
        <v>128</v>
      </c>
      <c r="B6">
        <f>'Bottle Results'!N14</f>
        <v>0</v>
      </c>
      <c r="C6">
        <f>'Bottle Results'!O14</f>
        <v>0</v>
      </c>
      <c r="D6">
        <f>'Bottle Results'!R14</f>
        <v>0</v>
      </c>
      <c r="E6">
        <f>'Bottle Results'!S14</f>
        <v>0</v>
      </c>
      <c r="F6">
        <f>'Bottle Results'!P14</f>
        <v>71.349087889330917</v>
      </c>
      <c r="G6">
        <f>'Bottle Results'!T14</f>
        <v>0</v>
      </c>
      <c r="H6">
        <f>'Bottle Results'!U14</f>
        <v>0</v>
      </c>
      <c r="I6">
        <f>'Bottle Results'!D14</f>
        <v>7.03</v>
      </c>
      <c r="J6">
        <v>0.01</v>
      </c>
      <c r="K6">
        <f>COUNT('Bottle Results'!J14)</f>
        <v>0</v>
      </c>
      <c r="L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2017-07-18T17:52:51Z</dcterms:modified>
</cp:coreProperties>
</file>