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firstSheet="2" activeTab="4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17" i="5" l="1"/>
  <c r="S18" i="5"/>
  <c r="S19" i="5"/>
  <c r="Q17" i="5"/>
  <c r="L7" i="8"/>
  <c r="L6" i="8"/>
  <c r="L5" i="8"/>
  <c r="L4" i="8"/>
  <c r="L3" i="8"/>
  <c r="L2" i="8"/>
  <c r="B3" i="8"/>
  <c r="K2" i="8"/>
  <c r="K7" i="8"/>
  <c r="K6" i="8"/>
  <c r="K5" i="8"/>
  <c r="J5" i="8"/>
  <c r="K4" i="8"/>
  <c r="K3" i="8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" i="5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T17" i="5"/>
  <c r="T18" i="5"/>
  <c r="T19" i="5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3" i="8"/>
  <c r="F2" i="8"/>
  <c r="F5" i="8"/>
  <c r="F7" i="8"/>
  <c r="G18" i="2"/>
  <c r="J18" i="5" s="1"/>
  <c r="R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Q6" i="5" s="1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I12" i="5"/>
  <c r="Q12" i="5" s="1"/>
  <c r="U12" i="5" s="1"/>
  <c r="I11" i="5"/>
  <c r="Q11" i="5" s="1"/>
  <c r="W11" i="5" s="1"/>
  <c r="F2" i="2"/>
  <c r="G2" i="2" s="1"/>
  <c r="J2" i="5" s="1"/>
  <c r="R17" i="5" l="1"/>
  <c r="R13" i="5"/>
  <c r="R12" i="5"/>
  <c r="R15" i="5"/>
  <c r="R6" i="5"/>
  <c r="R19" i="5"/>
  <c r="R5" i="5"/>
  <c r="R7" i="5"/>
  <c r="R9" i="5"/>
  <c r="R11" i="5"/>
  <c r="H5" i="8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G3" i="8" l="1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<sst xmlns="http://schemas.openxmlformats.org/spreadsheetml/2006/main" count="333" uniqueCount="145">
  <si>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</si>
  <si>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</si>
  <si>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</si>
  <si>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</si>
  <si>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</si>
  <si>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</si>
  <si>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</si>
  <si>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</si>
  <si>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</si>
  <si>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</si>
  <si>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</si>
  <si>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</si>
  <si>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</si>
  <si>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</si>
  <si>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</si>
  <si>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</si>
  <si>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</si>
  <si>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</si>
  <si>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</si>
  <si>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</si>
  <si>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</si>
  <si>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</si>
  <si>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</si>
  <si>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</si>
  <si>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</si>
  <si>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</si>
  <si>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</si>
  <si>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</si>
  <si>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</si>
  <si>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</si>
  <si>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</si>
  <si>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</si>
  <si>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</si>
  <si>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</si>
  <si>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</si>
  <si>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</si>
  <si>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</si>
  <si>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</si>
  <si>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</si>
  <si>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</si>
  <si>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</si>
  <si>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</si>
  <si>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</si>
  <si>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</si>
  <si>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</si>
  <si>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</si>
  <si>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</si>
  <si>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</si>
  <si>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</si>
  <si>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</si>
  <si>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</si>
  <si>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</si>
  <si>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</si>
  <si>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</si>
  <si>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</si>
  <si>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</si>
  <si>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</si>
  <si>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</si>
  <si>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</si>
  <si>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</si>
  <si>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</si>
  <si>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</si>
  <si>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</si>
  <si>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</si>
  <si>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</si>
  <si>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</si>
  <si>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</si>
  <si>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</si>
  <si>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</si>
  <si>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</si>
  <si>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</si>
  <si>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</si>
  <si>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</si>
  <si>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</si>
  <si>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</si>
  <si>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</si>
  <si>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</si>
  <si>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</si>
  <si>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</si>
  <si>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</si>
  <si>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</si>
  <si>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</si>
  <si>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</si>
  <si>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</si>
  <si>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</si>
  <si>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</si>
  <si>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</si>
  <si>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</si>
  <si>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</si>
  <si>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</si>
  <si>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</si>
  <si>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</si>
  <si>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</si>
  <si>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</si>
  <si>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</si>
  <si>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</si>
  <si>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</si>
  <si>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</si>
  <si>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</si>
  <si>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</si>
  <si>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</si>
  <si>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</si>
  <si>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</si>
  <si>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</si>
  <si>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</si>
  <si>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</si>
  <si>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</si>
  <si>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</si>
  <si>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</si>
  <si>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</si>
  <si>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</si>
  <si>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</si>
  <si>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</si>
  <si>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</si>
  <si>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</si>
  <si>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</si>
  <si>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</si>
  <si>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</si>
  <si>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</si>
  <si>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</si>
  <si>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</si>
  <si>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</si>
  <si>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</si>
  <si>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</si>
  <si>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</si>
  <si>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</si>
  <si>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</si>
  <si>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</si>
  <si>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</si>
  <si>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</si>
  <si>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</si>
  <si>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</si>
  <si>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</si>
  <si>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</si>
  <si>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</si>
  <si>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</t>
  </si>
  <si>
    <t>Experiment Length (min)</t>
  </si>
  <si>
    <t>T1</t>
  </si>
  <si>
    <t>T2</t>
  </si>
  <si>
    <t>T3</t>
  </si>
  <si>
    <t>T4</t>
  </si>
  <si>
    <t>T5</t>
  </si>
  <si>
    <t>Desorb</t>
  </si>
  <si>
    <t>Mass (g)</t>
  </si>
  <si>
    <t>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</si>
</sst>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1.3552375099985434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01341712"/>
        <c:axId val="501339360"/>
      </c:scatterChart>
      <c:valAx>
        <c:axId val="50134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39360"/>
        <c:crosses val="autoZero"/>
        <c:crossBetween val="midCat"/>
      </c:valAx>
      <c:valAx>
        <c:axId val="50133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134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219075</xdr:colOff>
      <xdr:row>9</xdr:row>
      <xdr:rowOff>9525</xdr:rowOff>
    </xdr:from>
    <xdr:to>
      <xdr:col>10</xdr:col>
      <xdr:colOff>504825</xdr:colOff>
      <xdr:row>23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C17" sqref="C17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9"/>
  <sheetViews>
    <sheetView tabSelected="1" workbookViewId="0">
      <pane xSplit="1" ySplit="1" topLeftCell="J2" activePane="bottomRight" state="frozen"/>
      <selection pane="topRight" activeCell="B1" sqref="B1"/>
      <selection pane="bottomLeft" activeCell="A2" sqref="A2"/>
      <selection pane="bottomRight" activeCell="M13" sqref="M13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5" width="14.85546875" bestFit="1" customWidth="1"/>
  </cols>
  <sheetData>
    <row r="1" spans="1:26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136</v>
      </c>
    </row>
    <row r="2" spans="1:26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235.06007175857502</v>
      </c>
      <c r="T2">
        <f>SQRT((C2/B2)^2+(Parameters!$C$6/Parameters!$B$6)^2)*'Bottle Results'!S2</f>
        <v>1.3517662494665541</v>
      </c>
      <c r="U2">
        <f t="shared" ref="U2:U19" si="0">(S2-Q2*G2)/E2</f>
        <v>6258.2234797017009</v>
      </c>
      <c r="W2">
        <f t="shared" ref="W2:W19" si="1">(S2-Q2*G2)/S2</f>
        <v>0.78806840146560386</v>
      </c>
      <c r="X2" s="24">
        <v>42504.5625</v>
      </c>
      <c r="Y2" s="24">
        <v>42504.68472222222</v>
      </c>
      <c r="Z2" s="26">
        <f>Y2-X2</f>
        <v>0.12222222222044365</v>
      </c>
    </row>
    <row r="3" spans="1:26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235.06007175857502</v>
      </c>
      <c r="T3">
        <f>SQRT((C3/B3)^2+(Parameters!$C$6/Parameters!$B$6)^2)*'Bottle Results'!S3</f>
        <v>1.3517662494665541</v>
      </c>
      <c r="U3">
        <f t="shared" si="0"/>
        <v>6224.4258153695973</v>
      </c>
      <c r="W3">
        <f t="shared" si="1"/>
        <v>0.7891084517685526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6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235.06007175857502</v>
      </c>
      <c r="T4">
        <f>SQRT((C4/B4)^2+(Parameters!$C$6/Parameters!$B$6)^2)*'Bottle Results'!S4</f>
        <v>1.3517662494665541</v>
      </c>
      <c r="U4">
        <f t="shared" si="0"/>
        <v>6304.327446910047</v>
      </c>
      <c r="W4">
        <f t="shared" si="1"/>
        <v>0.79387405539550082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6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235.06007175857502</v>
      </c>
      <c r="T5">
        <f>SQRT((C5/B5)^2+(Parameters!$C$6/Parameters!$B$6)^2)*'Bottle Results'!S5</f>
        <v>1.3517662494665541</v>
      </c>
      <c r="U5">
        <f t="shared" si="0"/>
        <v>6196.4198237616984</v>
      </c>
      <c r="W5">
        <f t="shared" si="1"/>
        <v>0.80401066506454588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6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235.06007175857502</v>
      </c>
      <c r="T6">
        <f>SQRT((C6/B6)^2+(Parameters!$C$6/Parameters!$B$6)^2)*'Bottle Results'!S6</f>
        <v>1.3517662494665541</v>
      </c>
      <c r="U6">
        <f t="shared" si="0"/>
        <v>-2491.2026156710772</v>
      </c>
      <c r="W6">
        <f t="shared" si="1"/>
        <v>-0.32642311383906952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6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235.06007175857502</v>
      </c>
      <c r="T7">
        <f>SQRT((C7/B7)^2+(Parameters!$C$6/Parameters!$B$6)^2)*'Bottle Results'!S7</f>
        <v>1.3517662494665541</v>
      </c>
      <c r="U7">
        <f t="shared" si="0"/>
        <v>6211.5732738033166</v>
      </c>
      <c r="W7">
        <f t="shared" si="1"/>
        <v>0.79276415096772601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6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235.06007175857502</v>
      </c>
      <c r="T8">
        <f>SQRT((C8/B8)^2+(Parameters!$C$6/Parameters!$B$6)^2)*'Bottle Results'!S8</f>
        <v>1.3517662494665541</v>
      </c>
      <c r="U8">
        <f t="shared" si="0"/>
        <v>6228.3255314935386</v>
      </c>
      <c r="W8">
        <f t="shared" si="1"/>
        <v>0.8055008863941453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6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235.06007175857502</v>
      </c>
      <c r="T9">
        <f>SQRT((C9/B9)^2+(Parameters!$C$6/Parameters!$B$6)^2)*'Bottle Results'!S9</f>
        <v>1.3517662494665541</v>
      </c>
      <c r="U9">
        <f t="shared" si="0"/>
        <v>6269.4980908943089</v>
      </c>
      <c r="W9">
        <f t="shared" si="1"/>
        <v>0.78148659059320646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6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235.06007175857502</v>
      </c>
      <c r="T10">
        <f>SQRT((C10/B10)^2+(Parameters!$C$6/Parameters!$B$6)^2)*'Bottle Results'!S10</f>
        <v>1.3517662494665541</v>
      </c>
      <c r="U10">
        <f t="shared" si="0"/>
        <v>6218.3746683607296</v>
      </c>
      <c r="W10">
        <f t="shared" si="1"/>
        <v>0.79098675156940212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6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235.06007175857502</v>
      </c>
      <c r="T11">
        <f>SQRT((C11/B11)^2+(Parameters!$C$6/Parameters!$B$6)^2)*'Bottle Results'!S11</f>
        <v>1.3517662494665541</v>
      </c>
      <c r="U11">
        <f t="shared" si="0"/>
        <v>5815.4131955268904</v>
      </c>
      <c r="W11">
        <f t="shared" si="1"/>
        <v>0.71993734505298457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6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235.06007175857502</v>
      </c>
      <c r="T12">
        <f>SQRT((C12/B12)^2+(Parameters!$C$6/Parameters!$B$6)^2)*'Bottle Results'!S12</f>
        <v>1.3517662494665541</v>
      </c>
      <c r="U12">
        <f t="shared" si="0"/>
        <v>6120.602324941864</v>
      </c>
      <c r="W12">
        <f t="shared" si="1"/>
        <v>0.79677688236044986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6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235.06007175857502</v>
      </c>
      <c r="T13">
        <f>SQRT((C13/B13)^2+(Parameters!$C$6/Parameters!$B$6)^2)*'Bottle Results'!S13</f>
        <v>1.3517662494665541</v>
      </c>
      <c r="U13">
        <f t="shared" si="0"/>
        <v>6334.80290528359</v>
      </c>
      <c r="W13">
        <f t="shared" si="1"/>
        <v>0.79232174151050117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6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235.06007175857502</v>
      </c>
      <c r="T14">
        <f>SQRT((C14/B14)^2+(Parameters!$C$6/Parameters!$B$6)^2)*'Bottle Results'!S14</f>
        <v>1.3517662494665541</v>
      </c>
      <c r="U14">
        <f t="shared" si="0"/>
        <v>5755.6347403330547</v>
      </c>
      <c r="W14">
        <f t="shared" si="1"/>
        <v>0.7149854637598364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6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235.06007175857502</v>
      </c>
      <c r="T15">
        <f>SQRT((C15/B15)^2+(Parameters!$C$6/Parameters!$B$6)^2)*'Bottle Results'!S15</f>
        <v>1.3517662494665541</v>
      </c>
      <c r="U15">
        <f t="shared" si="0"/>
        <v>5917.1094541511038</v>
      </c>
      <c r="W15">
        <f t="shared" si="1"/>
        <v>0.75518263181189293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6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235.06007175857502</v>
      </c>
      <c r="T16">
        <f>SQRT((C16/B16)^2+(Parameters!$C$6/Parameters!$B$6)^2)*'Bottle Results'!S16</f>
        <v>1.3517662494665541</v>
      </c>
      <c r="U16">
        <f t="shared" si="0"/>
        <v>5734.9323898158063</v>
      </c>
      <c r="W16">
        <f t="shared" si="1"/>
        <v>0.71485351707961109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168.06453441772518</v>
      </c>
      <c r="T17" t="e">
        <f>SQRT((C17/B17)^2+(Parameters!$C$6/Parameters!$B$6)^2)*'Bottle Results'!S17</f>
        <v>#DIV/0!</v>
      </c>
      <c r="U17">
        <f t="shared" si="0"/>
        <v>-1392.7924234763191</v>
      </c>
      <c r="W17">
        <f t="shared" si="1"/>
        <v>-0.24198763234856077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177.5132836245331</v>
      </c>
      <c r="T18" t="e">
        <f>SQRT((C18/B18)^2+(Parameters!$C$6/Parameters!$B$6)^2)*'Bottle Results'!S18</f>
        <v>#DIV/0!</v>
      </c>
      <c r="U18">
        <f t="shared" si="0"/>
        <v>-1867.5269572006728</v>
      </c>
      <c r="W18">
        <f t="shared" si="1"/>
        <v>-0.31561473920184513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168.03351902160313</v>
      </c>
      <c r="T19" t="e">
        <f>SQRT((C19/B19)^2+(Parameters!$C$6/Parameters!$B$6)^2)*'Bottle Results'!S19</f>
        <v>#DIV/0!</v>
      </c>
      <c r="U19">
        <f t="shared" si="0"/>
        <v>-1923.6631127382493</v>
      </c>
      <c r="W19">
        <f t="shared" si="1"/>
        <v>-0.33542908302708574</v>
      </c>
      <c r="X19" s="24">
        <v>42515.486111111109</v>
      </c>
      <c r="Y19" s="24">
        <v>42516.472916666666</v>
      </c>
      <c r="Z19" s="26">
        <f t="shared" si="4"/>
        <v>0.98680555555620231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workbookViewId="0">
      <selection activeCell="F37" sqref="F37"/>
    </sheetView>
  </sheetViews>
  <sheetFormatPr defaultRowHeight="15" x14ac:dyDescent="0.25"/>
  <cols>
    <col min="11" max="11" width="18" bestFit="1" customWidth="1"/>
  </cols>
  <sheetData>
    <row r="1" spans="1:13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143</v>
      </c>
      <c r="M1" t="s">
        <v>144</v>
      </c>
    </row>
    <row r="2" spans="1:13" x14ac:dyDescent="0.25">
      <c r="A2" t="s">
        <v>137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6262.3255806604475</v>
      </c>
      <c r="E2">
        <f>_xlfn.STDEV.S('Bottle Results'!U2:U4)</f>
        <v>40.108454282273996</v>
      </c>
      <c r="F2">
        <f>AVERAGE('Bottle Results'!S2:S4)</f>
        <v>235.06007175857499</v>
      </c>
      <c r="G2">
        <f>AVERAGE('Bottle Results'!W2:W4)</f>
        <v>0.79035030287655239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</row>
    <row r="3" spans="1:13" x14ac:dyDescent="0.25">
      <c r="A3" t="s">
        <v>138</v>
      </c>
      <c r="B3">
        <f>AVERAGE('Bottle Results'!Q5:Q7)</f>
        <v>1.3552375099985434</v>
      </c>
      <c r="C3">
        <f>_xlfn.STDEV.S('Bottle Results'!Q5:Q7)</f>
        <v>1.526560033704331</v>
      </c>
      <c r="D3">
        <f>AVERAGE('Bottle Results'!U5:U7)</f>
        <v>3305.5968272979794</v>
      </c>
      <c r="E3">
        <f>_xlfn.STDEV.S('Bottle Results'!U5:U7)</f>
        <v>5020.1812958564369</v>
      </c>
      <c r="F3">
        <f>AVERAGE('Bottle Results'!S5:S7)</f>
        <v>235.06007175857499</v>
      </c>
      <c r="G3">
        <f>AVERAGE('Bottle Results'!W5:W7)</f>
        <v>0.42345056739773418</v>
      </c>
      <c r="H3">
        <f>_xlfn.STDEV.S('Bottle Results'!W5:W7)</f>
        <v>0.64943400309697286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</row>
    <row r="4" spans="1:13" x14ac:dyDescent="0.25">
      <c r="A4" t="s">
        <v>139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6238.7327635828597</v>
      </c>
      <c r="E4">
        <f>_xlfn.STDEV.S('Bottle Results'!U8:U10)</f>
        <v>27.104131469343496</v>
      </c>
      <c r="F4">
        <f>AVERAGE('Bottle Results'!S8:S10)</f>
        <v>235.06007175857499</v>
      </c>
      <c r="G4">
        <f>AVERAGE('Bottle Results'!W8:W10)</f>
        <v>0.7926580761855847</v>
      </c>
      <c r="H4">
        <f>_xlfn.STDEV.S('Bottle Results'!W8:W10)</f>
        <v>1.20940727293679E-2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</row>
    <row r="5" spans="1:13" x14ac:dyDescent="0.25">
      <c r="A5" t="s">
        <v>140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6090.2728085841154</v>
      </c>
      <c r="E5">
        <f>_xlfn.STDEV.S('Bottle Results'!U11:U13)</f>
        <v>261.01978339229078</v>
      </c>
      <c r="F5">
        <f>AVERAGE('Bottle Results'!S11:S13)</f>
        <v>235.06007175857499</v>
      </c>
      <c r="G5">
        <f>AVERAGE('Bottle Results'!W11:W13)</f>
        <v>0.76967865630797849</v>
      </c>
      <c r="H5">
        <f>_xlfn.STDEV.S('Bottle Results'!W11:W13)</f>
        <v>4.3134795745695398E-2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3" x14ac:dyDescent="0.25">
      <c r="A6" t="s">
        <v>141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5802.5588614333219</v>
      </c>
      <c r="E6">
        <f>_xlfn.STDEV.S('Bottle Results'!U14:U16)</f>
        <v>99.742295683582341</v>
      </c>
      <c r="F6">
        <f>AVERAGE('Bottle Results'!S14:S16)</f>
        <v>235.06007175857499</v>
      </c>
      <c r="G6">
        <f>AVERAGE('Bottle Results'!W14:W16)</f>
        <v>0.7283405375504467</v>
      </c>
      <c r="H6">
        <f>_xlfn.STDEV.S('Bottle Results'!W14:W16)</f>
        <v>2.3246029139121261E-2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3" x14ac:dyDescent="0.25">
      <c r="A7" t="s">
        <v>142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-1727.9941644717471</v>
      </c>
      <c r="E7">
        <f>_xlfn.STDEV.S('Bottle Results'!U17:U19)</f>
        <v>291.64699958067428</v>
      </c>
      <c r="F7">
        <f>AVERAGE('Bottle Results'!S17:S19)</f>
        <v>171.20377902128712</v>
      </c>
      <c r="G7">
        <f>AVERAGE('Bottle Results'!W17:W19)</f>
        <v>-0.29767715152583057</v>
      </c>
      <c r="H7">
        <f>_xlfn.STDEV.S('Bottle Results'!W17:W19)</f>
        <v>4.9235596522768259E-2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2016-07-13T20:53:53Z</dcterms:modified>
</cp:coreProperties>
</file>