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ABW_7_11_2017\"/>
    </mc:Choice>
  </mc:AlternateContent>
  <bookViews>
    <workbookView xWindow="0" yWindow="0" windowWidth="7470" windowHeight="12285" activeTab="5"/>
  </bookViews>
  <sheets>
    <sheet name="Parameters" sheetId="1" r:id="rId1"/>
    <sheet name="Scintillation Counter Results" sheetId="3" r:id="rId2"/>
    <sheet name="Calibration Data" sheetId="10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8" l="1"/>
  <c r="K5" i="8"/>
  <c r="K4" i="8"/>
  <c r="K3" i="8"/>
  <c r="K2" i="8"/>
  <c r="F13" i="5"/>
  <c r="G13" i="5" s="1"/>
  <c r="F12" i="5"/>
  <c r="G12" i="5" s="1"/>
  <c r="F11" i="5"/>
  <c r="G11" i="5" s="1"/>
  <c r="P3" i="5"/>
  <c r="Q3" i="5"/>
  <c r="P4" i="5"/>
  <c r="Q4" i="5"/>
  <c r="P5" i="5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Q2" i="5"/>
  <c r="P2" i="5"/>
  <c r="C13" i="5"/>
  <c r="C12" i="5"/>
  <c r="C11" i="5"/>
  <c r="C10" i="5"/>
  <c r="C9" i="5"/>
  <c r="C8" i="5"/>
  <c r="C7" i="5"/>
  <c r="C6" i="5"/>
  <c r="C5" i="5"/>
  <c r="C4" i="5"/>
  <c r="C3" i="5"/>
  <c r="C2" i="5"/>
  <c r="B3" i="5"/>
  <c r="B4" i="5"/>
  <c r="B5" i="5"/>
  <c r="B6" i="5"/>
  <c r="B7" i="5"/>
  <c r="B8" i="5"/>
  <c r="B9" i="5"/>
  <c r="B10" i="5"/>
  <c r="B11" i="5"/>
  <c r="B12" i="5"/>
  <c r="B13" i="5"/>
  <c r="B2" i="5"/>
  <c r="C9" i="1"/>
  <c r="B9" i="1"/>
  <c r="C8" i="1"/>
  <c r="B8" i="1"/>
  <c r="C6" i="1"/>
  <c r="B6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D10" i="10"/>
  <c r="C10" i="10"/>
  <c r="E10" i="10" s="1"/>
  <c r="H9" i="10"/>
  <c r="F9" i="10"/>
  <c r="G9" i="10" s="1"/>
  <c r="D9" i="10"/>
  <c r="J9" i="10" s="1"/>
  <c r="C9" i="10"/>
  <c r="E9" i="10" s="1"/>
  <c r="J8" i="10"/>
  <c r="H8" i="10"/>
  <c r="E8" i="10"/>
  <c r="D8" i="10"/>
  <c r="H7" i="10"/>
  <c r="F7" i="10"/>
  <c r="G8" i="10" s="1"/>
  <c r="E7" i="10"/>
  <c r="D7" i="10"/>
  <c r="J7" i="10" s="1"/>
  <c r="H6" i="10"/>
  <c r="E6" i="10"/>
  <c r="D6" i="10"/>
  <c r="J6" i="10" s="1"/>
  <c r="E5" i="10"/>
  <c r="D5" i="10"/>
  <c r="J5" i="10" s="1"/>
  <c r="E4" i="10"/>
  <c r="D4" i="10"/>
  <c r="J4" i="10" s="1"/>
  <c r="E3" i="10"/>
  <c r="D3" i="10"/>
  <c r="J3" i="10" s="1"/>
  <c r="J2" i="10"/>
  <c r="K2" i="10" s="1"/>
  <c r="G2" i="10"/>
  <c r="E2" i="10"/>
  <c r="D2" i="10"/>
  <c r="H2" i="10" s="1"/>
  <c r="I2" i="10" s="1"/>
  <c r="I8" i="10" l="1"/>
  <c r="K9" i="10"/>
  <c r="G7" i="10"/>
  <c r="K7" i="10" s="1"/>
  <c r="I7" i="10"/>
  <c r="G5" i="10"/>
  <c r="K5" i="10" s="1"/>
  <c r="I9" i="10"/>
  <c r="G4" i="10"/>
  <c r="K4" i="10" s="1"/>
  <c r="G6" i="10"/>
  <c r="I6" i="10" s="1"/>
  <c r="K8" i="10"/>
  <c r="H5" i="10"/>
  <c r="G3" i="10"/>
  <c r="K3" i="10" s="1"/>
  <c r="H4" i="10"/>
  <c r="H3" i="10"/>
  <c r="I4" i="10" l="1"/>
  <c r="K6" i="10"/>
  <c r="K11" i="10" s="1"/>
  <c r="I5" i="10"/>
  <c r="I3" i="10"/>
  <c r="J5" i="8"/>
  <c r="J4" i="8"/>
  <c r="J3" i="8"/>
  <c r="I5" i="8"/>
  <c r="I4" i="8"/>
  <c r="I3" i="8"/>
  <c r="J2" i="8"/>
  <c r="I2" i="8"/>
  <c r="I11" i="10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K12" i="5" l="1"/>
  <c r="K11" i="5"/>
  <c r="J10" i="5"/>
  <c r="N10" i="5" s="1"/>
  <c r="F4" i="8"/>
  <c r="F3" i="8"/>
  <c r="F2" i="8"/>
  <c r="F5" i="8"/>
  <c r="K10" i="5"/>
  <c r="K3" i="5"/>
  <c r="J3" i="5"/>
  <c r="N3" i="5" s="1"/>
  <c r="R3" i="5" s="1"/>
  <c r="K9" i="5"/>
  <c r="J9" i="5"/>
  <c r="N9" i="5" s="1"/>
  <c r="R9" i="5" s="1"/>
  <c r="J8" i="5"/>
  <c r="N8" i="5" s="1"/>
  <c r="K8" i="5"/>
  <c r="K7" i="5"/>
  <c r="J7" i="5"/>
  <c r="N7" i="5" s="1"/>
  <c r="T7" i="5" s="1"/>
  <c r="K6" i="5"/>
  <c r="J6" i="5"/>
  <c r="N6" i="5" s="1"/>
  <c r="R6" i="5" s="1"/>
  <c r="K13" i="5"/>
  <c r="J13" i="5"/>
  <c r="N13" i="5" s="1"/>
  <c r="T13" i="5" s="1"/>
  <c r="K5" i="5"/>
  <c r="J5" i="5"/>
  <c r="N5" i="5" s="1"/>
  <c r="T5" i="5" s="1"/>
  <c r="J4" i="5"/>
  <c r="N4" i="5" s="1"/>
  <c r="R4" i="5" s="1"/>
  <c r="K4" i="5"/>
  <c r="J12" i="5"/>
  <c r="N12" i="5" s="1"/>
  <c r="R12" i="5" s="1"/>
  <c r="J11" i="5"/>
  <c r="N11" i="5" s="1"/>
  <c r="T11" i="5" s="1"/>
  <c r="K2" i="5"/>
  <c r="T10" i="5" l="1"/>
  <c r="R10" i="5"/>
  <c r="O10" i="5"/>
  <c r="O4" i="5"/>
  <c r="O8" i="5"/>
  <c r="O13" i="5"/>
  <c r="O12" i="5"/>
  <c r="O6" i="5"/>
  <c r="O5" i="5"/>
  <c r="O7" i="5"/>
  <c r="O9" i="5"/>
  <c r="O11" i="5"/>
  <c r="O3" i="5"/>
  <c r="T4" i="5"/>
  <c r="R5" i="5"/>
  <c r="B4" i="8"/>
  <c r="C4" i="8"/>
  <c r="R13" i="5"/>
  <c r="T12" i="5"/>
  <c r="G5" i="8" s="1"/>
  <c r="T3" i="5"/>
  <c r="T6" i="5"/>
  <c r="H3" i="8" s="1"/>
  <c r="R8" i="5"/>
  <c r="T8" i="5"/>
  <c r="C3" i="8"/>
  <c r="B3" i="8"/>
  <c r="T9" i="5"/>
  <c r="R7" i="5"/>
  <c r="C5" i="8"/>
  <c r="B5" i="8"/>
  <c r="R11" i="5"/>
  <c r="J2" i="5"/>
  <c r="N2" i="5" s="1"/>
  <c r="O2" i="5" s="1"/>
  <c r="H5" i="8" l="1"/>
  <c r="G3" i="8"/>
  <c r="D3" i="8"/>
  <c r="G4" i="8"/>
  <c r="H4" i="8"/>
  <c r="E3" i="8"/>
  <c r="C2" i="8"/>
  <c r="B2" i="8"/>
  <c r="R2" i="5"/>
  <c r="T2" i="5"/>
  <c r="G2" i="8" s="1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<sst xmlns="http://schemas.openxmlformats.org/spreadsheetml/2006/main" count="256" uniqueCount="132">
  <si>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</si>
  <si>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</si>
  <si>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</si>
  <si>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</si>
  <si>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</si>
  <si>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</si>
  <si>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</si>
  <si>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</si>
  <si>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</si>
  <si>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</si>
  <si>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</si>
  <si>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</si>
  <si>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</si>
  <si>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</si>
  <si>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</si>
  <si>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</si>
  <si>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</si>
  <si>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</si>
  <si>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</si>
  <si>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</si>
  <si>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</si>
  <si>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</si>
  <si>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</si>
  <si>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</si>
  <si>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</si>
  <si>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</si>
  <si>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</si>
  <si>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</si>
  <si>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</si>
  <si>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</si>
  <si>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</si>
  <si>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</si>
  <si>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</si>
  <si>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</si>
  <si>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</si>
  <si>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</si>
  <si>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</si>
  <si>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</si>
  <si>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</si>
  <si>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</si>
  <si>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</si>
  <si>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</si>
  <si>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</si>
  <si>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</si>
  <si>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</si>
  <si>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</si>
  <si>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</si>
  <si>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</si>
  <si>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</si>
  <si>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</si>
  <si>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</si>
  <si>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</si>
  <si>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</si>
  <si>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</si>
  <si>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</si>
  <si>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</si>
  <si>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</si>
  <si>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</si>
  <si>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</si>
  <si>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</si>
  <si>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</si>
  <si>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</si>
  <si>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</si>
  <si>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</si>
  <si>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</si>
  <si>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</si>
  <si>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</si>
  <si>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</si>
  <si>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</si>
  <si>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</si>
  <si>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</si>
  <si>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</si>
  <si>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</si>
  <si>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</si>
  <si>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</si>
  <si>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</si>
  <si>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</si>
  <si>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</si>
  <si>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</si>
  <si>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</si>
  <si>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</si>
  <si>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</si>
  <si>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</si>
  <si>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</si>
  <si>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</si>
  <si>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</si>
  <si>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sCw (Bq/mL)</t>
  </si>
  <si>
    <t>sCs (Bq/g)</t>
  </si>
  <si>
    <t>TotAct</t>
  </si>
  <si>
    <t>fSorb</t>
  </si>
  <si>
    <t>sfsorb</t>
  </si>
  <si>
    <t>pH</t>
  </si>
  <si>
    <t>spH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</si>
  <si>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</si>
  <si>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</si>
  <si>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</si>
  <si>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</si>
  <si>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</si>
  <si>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RaStock5</t>
  </si>
  <si>
    <t>RaStock4</t>
  </si>
  <si>
    <t>Average Rel Error</t>
  </si>
  <si>
    <t>Scintillation Counter Calibration</t>
  </si>
  <si>
    <t>CPS-&gt;Bq w/Background (RaStd only)</t>
  </si>
  <si>
    <t>cps-&gt;Bq (background, Stds, and RaStock 5)</t>
  </si>
  <si>
    <t>Multiple</t>
  </si>
  <si>
    <t>Initial Stock</t>
  </si>
  <si>
    <t>Final Stock</t>
  </si>
  <si>
    <t>FHY Slurry</t>
  </si>
  <si>
    <t>g/L FHY</t>
  </si>
  <si>
    <t>Initial measurement of Ra in AGW stock</t>
  </si>
  <si>
    <t>Final measurement of Ra in AGW</t>
  </si>
  <si>
    <t>RaGlassABW_1A</t>
  </si>
  <si>
    <t>RaGlassABW_1B</t>
  </si>
  <si>
    <t>RaGlassABW_1C</t>
  </si>
  <si>
    <t>RaGOEABW_1A</t>
  </si>
  <si>
    <t>RaGOEABW_1C</t>
  </si>
  <si>
    <t>RaGOEABW_1B</t>
  </si>
  <si>
    <t>RaMontABW_1A</t>
  </si>
  <si>
    <t>RaMontABW_1B</t>
  </si>
  <si>
    <t>RaMontABW_1C</t>
  </si>
  <si>
    <t>RaFHYABW_1A</t>
  </si>
  <si>
    <t>RaFHYABW_1B</t>
  </si>
  <si>
    <t>RaFHYABW_1C</t>
  </si>
  <si>
    <t>FinalStock</t>
  </si>
  <si>
    <t>InitialStock_5mL</t>
  </si>
  <si>
    <t>InitialStock</t>
  </si>
  <si>
    <t>Slurry Volume (mL)</t>
  </si>
  <si>
    <t>RaGlassABW_1</t>
  </si>
  <si>
    <t>RaGOEABW_1</t>
  </si>
  <si>
    <t>RaMontABW_1</t>
  </si>
  <si>
    <t>RaFHYABW_1</t>
  </si>
  <si>
    <t>Ncount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</si>
</sst>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3" fillId="0" borderId="4" xfId="0" applyFont="1" applyFill="1" applyBorder="1" applyAlignment="1">
      <alignment horizontal="center" vertical="top"/>
    </xf>
    <xf numFmtId="0" fontId="2" fillId="0" borderId="4" xfId="0" applyFont="1" applyBorder="1"/>
    <xf numFmtId="11" fontId="2" fillId="0" borderId="4" xfId="0" applyNumberFormat="1" applyFont="1" applyBorder="1"/>
    <xf numFmtId="0" fontId="0" fillId="0" borderId="4" xfId="0" applyBorder="1"/>
    <xf numFmtId="0" fontId="2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56000"/>
        <c:axId val="198857176"/>
      </c:scatterChart>
      <c:valAx>
        <c:axId val="19885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857176"/>
        <c:crosses val="autoZero"/>
        <c:crossBetween val="midCat"/>
      </c:valAx>
      <c:valAx>
        <c:axId val="198857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856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8968"/>
        <c:axId val="208200928"/>
      </c:scatterChart>
      <c:valAx>
        <c:axId val="20819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200928"/>
        <c:crosses val="autoZero"/>
        <c:crossBetween val="midCat"/>
      </c:valAx>
      <c:valAx>
        <c:axId val="208200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98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0" sqref="B10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>
        <v>42896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104</v>
      </c>
    </row>
    <row r="5" spans="1:5" x14ac:dyDescent="0.25">
      <c r="A5" t="s">
        <v>22</v>
      </c>
      <c r="B5" t="s">
        <v>98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  <row r="8" spans="1:5" x14ac:dyDescent="0.25">
      <c r="A8" t="s">
        <v>105</v>
      </c>
      <c r="B8">
        <f>AVERAGE('Count-&gt;Actual Activity'!F15/5,'Count-&gt;Actual Activity'!F16/10)</f>
        <v>0.67623007896681209</v>
      </c>
      <c r="C8">
        <f>_xlfn.STDEV.S('Count-&gt;Actual Activity'!F15/5,'Count-&gt;Actual Activity'!F16/10)</f>
        <v>1.5397555168654688E-2</v>
      </c>
      <c r="D8" t="s">
        <v>20</v>
      </c>
      <c r="E8" t="s">
        <v>109</v>
      </c>
    </row>
    <row r="9" spans="1:5" x14ac:dyDescent="0.25">
      <c r="A9" t="s">
        <v>106</v>
      </c>
      <c r="B9">
        <f>'Count-&gt;Actual Activity'!F14/10</f>
        <v>0.65313751547445686</v>
      </c>
      <c r="C9">
        <f>'Count-&gt;Actual Activity'!G14/10</f>
        <v>1.5745067498955982E-2</v>
      </c>
      <c r="D9" t="s">
        <v>20</v>
      </c>
      <c r="E9" t="s">
        <v>110</v>
      </c>
    </row>
    <row r="10" spans="1:5" x14ac:dyDescent="0.25">
      <c r="A10" t="s">
        <v>107</v>
      </c>
      <c r="B10">
        <v>32.102209408675648</v>
      </c>
      <c r="C10">
        <v>0.2103500515048406</v>
      </c>
      <c r="D10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7" workbookViewId="0">
      <selection activeCell="L27" sqref="L27"/>
    </sheetView>
  </sheetViews>
  <sheetFormatPr defaultRowHeight="15" x14ac:dyDescent="0.25"/>
  <cols>
    <col min="1" max="1" width="14.85546875" bestFit="1" customWidth="1"/>
    <col min="2" max="2" width="15.425781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42926.320833333331</v>
      </c>
      <c r="B2" t="s">
        <v>111</v>
      </c>
      <c r="C2">
        <v>1285.9000000000001</v>
      </c>
      <c r="D2">
        <v>1.76</v>
      </c>
      <c r="E2">
        <v>0.02</v>
      </c>
      <c r="F2">
        <v>202.52</v>
      </c>
    </row>
    <row r="3" spans="1:6" x14ac:dyDescent="0.25">
      <c r="A3" s="16">
        <v>42926.320833333331</v>
      </c>
      <c r="B3" t="s">
        <v>112</v>
      </c>
      <c r="C3">
        <v>1207.5999999999999</v>
      </c>
      <c r="D3">
        <v>1.82</v>
      </c>
      <c r="E3">
        <v>0.01</v>
      </c>
      <c r="F3">
        <v>213.15</v>
      </c>
    </row>
    <row r="4" spans="1:6" x14ac:dyDescent="0.25">
      <c r="A4" s="16">
        <v>42926.320833333331</v>
      </c>
      <c r="B4" t="s">
        <v>113</v>
      </c>
      <c r="C4">
        <v>1216.9000000000001</v>
      </c>
      <c r="D4">
        <v>1.81</v>
      </c>
      <c r="E4">
        <v>0.01</v>
      </c>
      <c r="F4">
        <v>223.78</v>
      </c>
    </row>
    <row r="5" spans="1:6" x14ac:dyDescent="0.25">
      <c r="A5" s="16">
        <v>42926.320833333331</v>
      </c>
      <c r="B5" t="s">
        <v>114</v>
      </c>
      <c r="C5">
        <v>1185.4000000000001</v>
      </c>
      <c r="D5">
        <v>1.84</v>
      </c>
      <c r="E5">
        <v>0.01</v>
      </c>
      <c r="F5">
        <v>234.41</v>
      </c>
    </row>
    <row r="6" spans="1:6" x14ac:dyDescent="0.25">
      <c r="A6" s="16">
        <v>42926.320833333331</v>
      </c>
      <c r="B6" t="s">
        <v>116</v>
      </c>
      <c r="C6">
        <v>1204.2</v>
      </c>
      <c r="D6">
        <v>1.82</v>
      </c>
      <c r="E6">
        <v>0.01</v>
      </c>
      <c r="F6">
        <v>245.04</v>
      </c>
    </row>
    <row r="7" spans="1:6" x14ac:dyDescent="0.25">
      <c r="A7" s="16">
        <v>42926.320833333331</v>
      </c>
      <c r="B7" t="s">
        <v>115</v>
      </c>
      <c r="C7">
        <v>1192.7</v>
      </c>
      <c r="D7">
        <v>1.83</v>
      </c>
      <c r="E7">
        <v>0.01</v>
      </c>
      <c r="F7">
        <v>255.68</v>
      </c>
    </row>
    <row r="8" spans="1:6" x14ac:dyDescent="0.25">
      <c r="A8" s="16">
        <v>42926.320833333331</v>
      </c>
      <c r="B8" t="s">
        <v>117</v>
      </c>
      <c r="C8">
        <v>1180.4000000000001</v>
      </c>
      <c r="D8">
        <v>1.84</v>
      </c>
      <c r="E8">
        <v>0.01</v>
      </c>
      <c r="F8">
        <v>266.41000000000003</v>
      </c>
    </row>
    <row r="9" spans="1:6" x14ac:dyDescent="0.25">
      <c r="A9" s="16">
        <v>42926.320833333331</v>
      </c>
      <c r="B9" t="s">
        <v>118</v>
      </c>
      <c r="C9">
        <v>1167.3</v>
      </c>
      <c r="D9">
        <v>1.85</v>
      </c>
      <c r="E9">
        <v>0.02</v>
      </c>
      <c r="F9">
        <v>277.05</v>
      </c>
    </row>
    <row r="10" spans="1:6" x14ac:dyDescent="0.25">
      <c r="A10" s="16">
        <v>42926.320833333331</v>
      </c>
      <c r="B10" t="s">
        <v>119</v>
      </c>
      <c r="C10">
        <v>1178</v>
      </c>
      <c r="D10">
        <v>1.84</v>
      </c>
      <c r="E10">
        <v>0.01</v>
      </c>
      <c r="F10">
        <v>287.7</v>
      </c>
    </row>
    <row r="11" spans="1:6" x14ac:dyDescent="0.25">
      <c r="A11" s="16">
        <v>42926.320833333331</v>
      </c>
      <c r="B11" t="s">
        <v>120</v>
      </c>
      <c r="C11">
        <v>1125.0999999999999</v>
      </c>
      <c r="D11">
        <v>1.89</v>
      </c>
      <c r="E11">
        <v>0.01</v>
      </c>
      <c r="F11">
        <v>298.32</v>
      </c>
    </row>
    <row r="12" spans="1:6" x14ac:dyDescent="0.25">
      <c r="A12" s="16">
        <v>42926.320833333331</v>
      </c>
      <c r="B12" t="s">
        <v>121</v>
      </c>
      <c r="C12">
        <v>1122.5</v>
      </c>
      <c r="D12">
        <v>1.89</v>
      </c>
      <c r="E12">
        <v>0.01</v>
      </c>
      <c r="F12">
        <v>308.95999999999998</v>
      </c>
    </row>
    <row r="13" spans="1:6" x14ac:dyDescent="0.25">
      <c r="A13" s="16">
        <v>42926.320833333331</v>
      </c>
      <c r="B13" t="s">
        <v>122</v>
      </c>
      <c r="C13">
        <v>1119.4000000000001</v>
      </c>
      <c r="D13">
        <v>1.89</v>
      </c>
      <c r="E13">
        <v>0.01</v>
      </c>
      <c r="F13">
        <v>319.60000000000002</v>
      </c>
    </row>
    <row r="14" spans="1:6" x14ac:dyDescent="0.25">
      <c r="A14" s="16">
        <v>42927.474999999999</v>
      </c>
      <c r="B14" t="s">
        <v>111</v>
      </c>
      <c r="C14">
        <v>1268.9000000000001</v>
      </c>
      <c r="D14">
        <v>1.78</v>
      </c>
      <c r="E14">
        <v>0.01</v>
      </c>
      <c r="F14">
        <v>202.43</v>
      </c>
    </row>
    <row r="15" spans="1:6" x14ac:dyDescent="0.25">
      <c r="A15" s="16">
        <v>42927.474999999999</v>
      </c>
      <c r="B15" t="s">
        <v>112</v>
      </c>
      <c r="C15">
        <v>1186.3</v>
      </c>
      <c r="D15">
        <v>1.84</v>
      </c>
      <c r="E15">
        <v>0.01</v>
      </c>
      <c r="F15">
        <v>213.08</v>
      </c>
    </row>
    <row r="16" spans="1:6" x14ac:dyDescent="0.25">
      <c r="A16" s="16">
        <v>42927.474999999999</v>
      </c>
      <c r="B16" t="s">
        <v>113</v>
      </c>
      <c r="C16">
        <v>1218</v>
      </c>
      <c r="D16">
        <v>1.81</v>
      </c>
      <c r="E16">
        <v>0.01</v>
      </c>
      <c r="F16">
        <v>223.71</v>
      </c>
    </row>
    <row r="17" spans="1:6" x14ac:dyDescent="0.25">
      <c r="A17" s="16">
        <v>42927.474999999999</v>
      </c>
      <c r="B17" t="s">
        <v>114</v>
      </c>
      <c r="C17">
        <v>1194.8</v>
      </c>
      <c r="D17">
        <v>1.83</v>
      </c>
      <c r="E17">
        <v>0.01</v>
      </c>
      <c r="F17">
        <v>234.35</v>
      </c>
    </row>
    <row r="18" spans="1:6" x14ac:dyDescent="0.25">
      <c r="A18" s="16">
        <v>42927.474999999999</v>
      </c>
      <c r="B18" t="s">
        <v>116</v>
      </c>
      <c r="C18">
        <v>1208.7</v>
      </c>
      <c r="D18">
        <v>1.82</v>
      </c>
      <c r="E18">
        <v>0.01</v>
      </c>
      <c r="F18">
        <v>244.98</v>
      </c>
    </row>
    <row r="19" spans="1:6" x14ac:dyDescent="0.25">
      <c r="A19" s="16">
        <v>42927.474999999999</v>
      </c>
      <c r="B19" t="s">
        <v>115</v>
      </c>
      <c r="C19">
        <v>1189.7</v>
      </c>
      <c r="D19">
        <v>1.83</v>
      </c>
      <c r="E19">
        <v>0.01</v>
      </c>
      <c r="F19">
        <v>255.61</v>
      </c>
    </row>
    <row r="20" spans="1:6" x14ac:dyDescent="0.25">
      <c r="A20" s="16">
        <v>42927.474999999999</v>
      </c>
      <c r="B20" t="s">
        <v>117</v>
      </c>
      <c r="C20">
        <v>1161</v>
      </c>
      <c r="D20">
        <v>1.86</v>
      </c>
      <c r="E20">
        <v>0.01</v>
      </c>
      <c r="F20">
        <v>266.33999999999997</v>
      </c>
    </row>
    <row r="21" spans="1:6" x14ac:dyDescent="0.25">
      <c r="A21" s="16">
        <v>42927.474999999999</v>
      </c>
      <c r="B21" t="s">
        <v>118</v>
      </c>
      <c r="C21">
        <v>1183.5</v>
      </c>
      <c r="D21">
        <v>1.84</v>
      </c>
      <c r="E21">
        <v>0.02</v>
      </c>
      <c r="F21">
        <v>276.98</v>
      </c>
    </row>
    <row r="22" spans="1:6" x14ac:dyDescent="0.25">
      <c r="A22" s="16">
        <v>42927.474999999999</v>
      </c>
      <c r="B22" t="s">
        <v>119</v>
      </c>
      <c r="C22">
        <v>1194.7</v>
      </c>
      <c r="D22">
        <v>1.83</v>
      </c>
      <c r="E22">
        <v>0.01</v>
      </c>
      <c r="F22">
        <v>287.60000000000002</v>
      </c>
    </row>
    <row r="23" spans="1:6" x14ac:dyDescent="0.25">
      <c r="A23" s="16">
        <v>42927.474999999999</v>
      </c>
      <c r="B23" t="s">
        <v>120</v>
      </c>
      <c r="C23">
        <v>1123.2</v>
      </c>
      <c r="D23">
        <v>1.89</v>
      </c>
      <c r="E23">
        <v>0.01</v>
      </c>
      <c r="F23">
        <v>298.23</v>
      </c>
    </row>
    <row r="24" spans="1:6" x14ac:dyDescent="0.25">
      <c r="A24" s="16">
        <v>42927.474999999999</v>
      </c>
      <c r="B24" t="s">
        <v>121</v>
      </c>
      <c r="C24">
        <v>1150.0999999999999</v>
      </c>
      <c r="D24">
        <v>1.86</v>
      </c>
      <c r="E24">
        <v>0.01</v>
      </c>
      <c r="F24">
        <v>308.86</v>
      </c>
    </row>
    <row r="25" spans="1:6" x14ac:dyDescent="0.25">
      <c r="A25" s="16">
        <v>42927.474999999999</v>
      </c>
      <c r="B25" t="s">
        <v>122</v>
      </c>
      <c r="C25">
        <v>1116.2</v>
      </c>
      <c r="D25">
        <v>1.89</v>
      </c>
      <c r="E25">
        <v>0.02</v>
      </c>
      <c r="F25">
        <v>319.5</v>
      </c>
    </row>
    <row r="26" spans="1:6" x14ac:dyDescent="0.25">
      <c r="A26" s="16">
        <v>42927.474999999999</v>
      </c>
      <c r="B26" t="s">
        <v>123</v>
      </c>
      <c r="C26">
        <v>2481.5</v>
      </c>
      <c r="D26">
        <v>1.27</v>
      </c>
      <c r="E26">
        <v>0.01</v>
      </c>
      <c r="F26">
        <v>330.14</v>
      </c>
    </row>
    <row r="27" spans="1:6" x14ac:dyDescent="0.25">
      <c r="A27" s="16">
        <v>42927.474999999999</v>
      </c>
      <c r="B27" t="s">
        <v>124</v>
      </c>
      <c r="C27">
        <v>1297.5999999999999</v>
      </c>
      <c r="D27">
        <v>1.76</v>
      </c>
      <c r="E27">
        <v>0.02</v>
      </c>
      <c r="F27">
        <v>340.79</v>
      </c>
    </row>
    <row r="28" spans="1:6" x14ac:dyDescent="0.25">
      <c r="A28" s="16">
        <v>42927.474999999999</v>
      </c>
      <c r="B28" t="s">
        <v>125</v>
      </c>
      <c r="C28">
        <v>2524.1999999999998</v>
      </c>
      <c r="D28">
        <v>1.26</v>
      </c>
      <c r="E28">
        <v>0.01</v>
      </c>
      <c r="F28">
        <v>351.42</v>
      </c>
    </row>
    <row r="29" spans="1:6" x14ac:dyDescent="0.25">
      <c r="A29" s="16">
        <v>42928.348611111112</v>
      </c>
      <c r="B29" t="s">
        <v>111</v>
      </c>
      <c r="C29">
        <v>1276.9000000000001</v>
      </c>
      <c r="D29">
        <v>1.77</v>
      </c>
      <c r="E29">
        <v>0.01</v>
      </c>
      <c r="F29">
        <v>202.42</v>
      </c>
    </row>
    <row r="30" spans="1:6" x14ac:dyDescent="0.25">
      <c r="A30" s="16">
        <v>42928.348611111112</v>
      </c>
      <c r="B30" t="s">
        <v>112</v>
      </c>
      <c r="C30">
        <v>1203.4000000000001</v>
      </c>
      <c r="D30">
        <v>1.82</v>
      </c>
      <c r="E30">
        <v>0.01</v>
      </c>
      <c r="F30">
        <v>213.06</v>
      </c>
    </row>
    <row r="31" spans="1:6" x14ac:dyDescent="0.25">
      <c r="A31" s="16">
        <v>42928.348611111112</v>
      </c>
      <c r="B31" t="s">
        <v>113</v>
      </c>
      <c r="C31">
        <v>1200.9000000000001</v>
      </c>
      <c r="D31">
        <v>1.83</v>
      </c>
      <c r="E31">
        <v>0.01</v>
      </c>
      <c r="F31">
        <v>223.69</v>
      </c>
    </row>
    <row r="32" spans="1:6" x14ac:dyDescent="0.25">
      <c r="A32" s="16">
        <v>42928.348611111112</v>
      </c>
      <c r="B32" t="s">
        <v>114</v>
      </c>
      <c r="C32">
        <v>1153.8</v>
      </c>
      <c r="D32">
        <v>1.86</v>
      </c>
      <c r="E32">
        <v>0.01</v>
      </c>
      <c r="F32">
        <v>234.33</v>
      </c>
    </row>
    <row r="33" spans="1:6" x14ac:dyDescent="0.25">
      <c r="A33" s="16">
        <v>42928.348611111112</v>
      </c>
      <c r="B33" t="s">
        <v>116</v>
      </c>
      <c r="C33">
        <v>1228.8</v>
      </c>
      <c r="D33">
        <v>1.8</v>
      </c>
      <c r="E33">
        <v>0.01</v>
      </c>
      <c r="F33">
        <v>244.96</v>
      </c>
    </row>
    <row r="34" spans="1:6" x14ac:dyDescent="0.25">
      <c r="A34" s="16">
        <v>42928.348611111112</v>
      </c>
      <c r="B34" t="s">
        <v>115</v>
      </c>
      <c r="C34">
        <v>1183.8</v>
      </c>
      <c r="D34">
        <v>1.84</v>
      </c>
      <c r="E34">
        <v>0.01</v>
      </c>
      <c r="F34">
        <v>255.6</v>
      </c>
    </row>
    <row r="35" spans="1:6" x14ac:dyDescent="0.25">
      <c r="A35" s="16">
        <v>42928.348611111112</v>
      </c>
      <c r="B35" t="s">
        <v>117</v>
      </c>
      <c r="C35">
        <v>1168.2</v>
      </c>
      <c r="D35">
        <v>1.85</v>
      </c>
      <c r="E35">
        <v>0.01</v>
      </c>
      <c r="F35">
        <v>266.32</v>
      </c>
    </row>
    <row r="36" spans="1:6" x14ac:dyDescent="0.25">
      <c r="A36" s="16">
        <v>42928.348611111112</v>
      </c>
      <c r="B36" t="s">
        <v>118</v>
      </c>
      <c r="C36">
        <v>1136.3</v>
      </c>
      <c r="D36">
        <v>1.88</v>
      </c>
      <c r="E36">
        <v>0.02</v>
      </c>
      <c r="F36">
        <v>276.95</v>
      </c>
    </row>
    <row r="37" spans="1:6" x14ac:dyDescent="0.25">
      <c r="A37" s="16">
        <v>42928.348611111112</v>
      </c>
      <c r="B37" t="s">
        <v>119</v>
      </c>
      <c r="C37">
        <v>1170.5999999999999</v>
      </c>
      <c r="D37">
        <v>1.85</v>
      </c>
      <c r="E37">
        <v>0.01</v>
      </c>
      <c r="F37">
        <v>287.60000000000002</v>
      </c>
    </row>
    <row r="38" spans="1:6" x14ac:dyDescent="0.25">
      <c r="A38" s="16">
        <v>42928.348611111112</v>
      </c>
      <c r="B38" t="s">
        <v>120</v>
      </c>
      <c r="C38">
        <v>1111.7</v>
      </c>
      <c r="D38">
        <v>1.9</v>
      </c>
      <c r="E38">
        <v>0.01</v>
      </c>
      <c r="F38">
        <v>298.23</v>
      </c>
    </row>
    <row r="39" spans="1:6" x14ac:dyDescent="0.25">
      <c r="A39" s="16">
        <v>42928.348611111112</v>
      </c>
      <c r="B39" t="s">
        <v>121</v>
      </c>
      <c r="C39">
        <v>1145.3</v>
      </c>
      <c r="D39">
        <v>1.87</v>
      </c>
      <c r="E39">
        <v>0.01</v>
      </c>
      <c r="F39">
        <v>308.86</v>
      </c>
    </row>
    <row r="40" spans="1:6" x14ac:dyDescent="0.25">
      <c r="A40" s="16">
        <v>42928.348611111112</v>
      </c>
      <c r="B40" t="s">
        <v>122</v>
      </c>
      <c r="C40">
        <v>1115.5</v>
      </c>
      <c r="D40">
        <v>1.89</v>
      </c>
      <c r="E40">
        <v>0.01</v>
      </c>
      <c r="F40">
        <v>319.5</v>
      </c>
    </row>
    <row r="41" spans="1:6" x14ac:dyDescent="0.25">
      <c r="A41" s="16">
        <v>42928.348611111112</v>
      </c>
      <c r="B41" t="s">
        <v>123</v>
      </c>
      <c r="C41">
        <v>2471.6999999999998</v>
      </c>
      <c r="D41">
        <v>1.27</v>
      </c>
      <c r="E41">
        <v>0.01</v>
      </c>
      <c r="F41">
        <v>330.14</v>
      </c>
    </row>
    <row r="42" spans="1:6" x14ac:dyDescent="0.25">
      <c r="A42" s="16">
        <v>42928.348611111112</v>
      </c>
      <c r="B42" t="s">
        <v>124</v>
      </c>
      <c r="C42">
        <v>1322</v>
      </c>
      <c r="D42">
        <v>1.74</v>
      </c>
      <c r="E42">
        <v>0.01</v>
      </c>
      <c r="F42">
        <v>340.77</v>
      </c>
    </row>
    <row r="43" spans="1:6" x14ac:dyDescent="0.25">
      <c r="A43" s="16">
        <v>42928.348611111112</v>
      </c>
      <c r="B43" t="s">
        <v>125</v>
      </c>
      <c r="C43">
        <v>2521</v>
      </c>
      <c r="D43">
        <v>1.26</v>
      </c>
      <c r="E43">
        <v>0.01</v>
      </c>
      <c r="F43">
        <v>351.42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C22" sqref="C22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9" customWidth="1"/>
    <col min="26" max="16384" width="9.140625" style="19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93</v>
      </c>
      <c r="G1" s="2" t="s">
        <v>94</v>
      </c>
      <c r="H1" s="2" t="s">
        <v>95</v>
      </c>
      <c r="I1" s="18" t="s">
        <v>96</v>
      </c>
      <c r="J1" s="18" t="s">
        <v>97</v>
      </c>
      <c r="K1" s="2" t="s">
        <v>96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98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99</v>
      </c>
      <c r="B10" s="18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100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0" t="s">
        <v>101</v>
      </c>
      <c r="B12" s="21"/>
      <c r="C12" s="21"/>
      <c r="D12" s="21"/>
      <c r="E12" s="21"/>
      <c r="F12" s="21"/>
      <c r="G12" s="21"/>
      <c r="H12" s="21"/>
      <c r="I12" s="21"/>
      <c r="J12" s="22"/>
      <c r="K12" s="21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19"/>
      <c r="W12" s="19"/>
      <c r="X12" s="19"/>
    </row>
    <row r="13" spans="1:24" x14ac:dyDescent="0.25">
      <c r="A13" s="19" t="s">
        <v>102</v>
      </c>
      <c r="B13" s="19"/>
      <c r="C13" s="19"/>
      <c r="D13" s="19"/>
      <c r="E13" s="19"/>
      <c r="F13" s="19"/>
      <c r="G13" s="19"/>
      <c r="H13" s="19"/>
      <c r="I13" s="19"/>
      <c r="J13" s="19"/>
      <c r="K13" s="2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5">
      <c r="A16" s="7" t="s">
        <v>47</v>
      </c>
      <c r="B16" s="7"/>
      <c r="C16"/>
      <c r="D16"/>
      <c r="E16"/>
      <c r="F16"/>
      <c r="G16"/>
      <c r="H16"/>
      <c r="I16"/>
      <c r="J16" s="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5">
      <c r="A17" s="8" t="s">
        <v>48</v>
      </c>
      <c r="B17" s="8">
        <v>0.99999829960800457</v>
      </c>
      <c r="C17"/>
      <c r="D17"/>
      <c r="E17"/>
      <c r="F17"/>
      <c r="G17"/>
      <c r="H17"/>
      <c r="I17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5">
      <c r="A18" s="8" t="s">
        <v>49</v>
      </c>
      <c r="B18" s="8">
        <v>0.99999659921890038</v>
      </c>
      <c r="C18"/>
      <c r="D18"/>
      <c r="E18"/>
      <c r="F18"/>
      <c r="G18"/>
      <c r="H18"/>
      <c r="I18"/>
      <c r="J18" s="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s="8" t="s">
        <v>50</v>
      </c>
      <c r="B19" s="8">
        <v>0.99999591906268037</v>
      </c>
      <c r="C19"/>
      <c r="D19"/>
      <c r="E19"/>
      <c r="F19"/>
      <c r="G19"/>
      <c r="H19"/>
      <c r="I19"/>
      <c r="J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5.75" customHeight="1" x14ac:dyDescent="0.25">
      <c r="A20" s="8" t="s">
        <v>51</v>
      </c>
      <c r="B20" s="8">
        <v>0.15745067498955981</v>
      </c>
      <c r="C20"/>
      <c r="D20"/>
      <c r="E20"/>
      <c r="F20"/>
      <c r="G20"/>
      <c r="H20"/>
      <c r="I20"/>
      <c r="J20" s="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5.75" thickBot="1" x14ac:dyDescent="0.3">
      <c r="A21" s="10" t="s">
        <v>52</v>
      </c>
      <c r="B21" s="10">
        <v>7</v>
      </c>
      <c r="C21"/>
      <c r="D21"/>
      <c r="E21"/>
      <c r="F21"/>
      <c r="G21"/>
      <c r="H21"/>
      <c r="I21"/>
      <c r="J21" s="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11"/>
      <c r="B24" s="11" t="s">
        <v>54</v>
      </c>
      <c r="C24" s="11" t="s">
        <v>55</v>
      </c>
      <c r="D24" s="11" t="s">
        <v>56</v>
      </c>
      <c r="E24" s="11" t="s">
        <v>57</v>
      </c>
      <c r="F24" s="11" t="s">
        <v>58</v>
      </c>
      <c r="G24"/>
      <c r="H24"/>
      <c r="I24"/>
      <c r="J24" s="1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5">
      <c r="A25" s="8" t="s">
        <v>59</v>
      </c>
      <c r="B25" s="8">
        <v>1</v>
      </c>
      <c r="C25" s="8">
        <v>36448.436434940144</v>
      </c>
      <c r="D25" s="8">
        <v>36448.436434940144</v>
      </c>
      <c r="E25" s="8">
        <v>1470245.4670857524</v>
      </c>
      <c r="F25" s="8">
        <v>7.2414589665754382E-15</v>
      </c>
      <c r="G25"/>
      <c r="H25"/>
      <c r="I25"/>
      <c r="J25" s="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5.75" customHeight="1" x14ac:dyDescent="0.25">
      <c r="A26" s="8" t="s">
        <v>60</v>
      </c>
      <c r="B26" s="8">
        <v>5</v>
      </c>
      <c r="C26" s="8">
        <v>0.12395357527333999</v>
      </c>
      <c r="D26" s="8">
        <v>2.4790715054667997E-2</v>
      </c>
      <c r="E26" s="8"/>
      <c r="F26" s="8"/>
      <c r="G26"/>
      <c r="H26"/>
      <c r="I26"/>
      <c r="J26" s="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5.75" thickBot="1" x14ac:dyDescent="0.3">
      <c r="A27" s="10" t="s">
        <v>61</v>
      </c>
      <c r="B27" s="10">
        <v>6</v>
      </c>
      <c r="C27" s="10">
        <v>36448.56038851542</v>
      </c>
      <c r="D27" s="10"/>
      <c r="E27" s="10"/>
      <c r="F27" s="10"/>
      <c r="G27"/>
      <c r="H27"/>
      <c r="I27"/>
      <c r="J27" s="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1"/>
      <c r="B29" s="11" t="s">
        <v>62</v>
      </c>
      <c r="C29" s="11" t="s">
        <v>51</v>
      </c>
      <c r="D29" s="11" t="s">
        <v>63</v>
      </c>
      <c r="E29" s="11" t="s">
        <v>64</v>
      </c>
      <c r="F29" s="11" t="s">
        <v>65</v>
      </c>
      <c r="G29" s="11" t="s">
        <v>66</v>
      </c>
      <c r="H29" s="11" t="s">
        <v>67</v>
      </c>
      <c r="I29" s="11" t="s">
        <v>68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 x14ac:dyDescent="0.25">
      <c r="A30" s="8" t="s">
        <v>69</v>
      </c>
      <c r="B30" s="8">
        <v>-3.9608781842709107E-2</v>
      </c>
      <c r="C30" s="8">
        <v>6.8336946505889784E-2</v>
      </c>
      <c r="D30" s="8">
        <v>-0.57961006260786507</v>
      </c>
      <c r="E30" s="8">
        <v>0.5873118215120845</v>
      </c>
      <c r="F30" s="8">
        <v>-0.21527449523359993</v>
      </c>
      <c r="G30" s="8">
        <v>0.13605693154818171</v>
      </c>
      <c r="H30" s="8">
        <v>-0.21527449523359993</v>
      </c>
      <c r="I30" s="8">
        <v>0.13605693154818171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5.75" thickBot="1" x14ac:dyDescent="0.3">
      <c r="A31" s="10" t="s">
        <v>70</v>
      </c>
      <c r="B31" s="10">
        <v>0.15919366720311581</v>
      </c>
      <c r="C31" s="10">
        <v>1.3128976251852687E-4</v>
      </c>
      <c r="D31" s="10">
        <v>1212.5367899926798</v>
      </c>
      <c r="E31" s="10">
        <v>7.2414589665754382E-15</v>
      </c>
      <c r="F31" s="10">
        <v>0.15885617612438069</v>
      </c>
      <c r="G31" s="10">
        <v>0.15953115828185094</v>
      </c>
      <c r="H31" s="10">
        <v>0.15885617612438069</v>
      </c>
      <c r="I31" s="10">
        <v>0.15953115828185094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25">
      <c r="A32"/>
      <c r="B32"/>
      <c r="C32"/>
      <c r="D32"/>
      <c r="E32"/>
      <c r="F32"/>
      <c r="G32"/>
      <c r="H32"/>
      <c r="I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/>
      <c r="B33"/>
      <c r="C33"/>
      <c r="D33"/>
      <c r="E33"/>
      <c r="F33"/>
      <c r="G33"/>
      <c r="H33"/>
      <c r="I3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/>
      <c r="B34"/>
      <c r="C34"/>
      <c r="D34"/>
      <c r="E34"/>
      <c r="F34"/>
      <c r="G34"/>
      <c r="H34"/>
      <c r="I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25">
      <c r="A37" s="11" t="s">
        <v>72</v>
      </c>
      <c r="B37" s="11" t="s">
        <v>73</v>
      </c>
      <c r="C37" s="11" t="s">
        <v>74</v>
      </c>
      <c r="D37"/>
      <c r="E37"/>
      <c r="F37"/>
      <c r="G37"/>
      <c r="H37"/>
      <c r="I37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25">
      <c r="A38" s="8">
        <v>1</v>
      </c>
      <c r="B38" s="8">
        <v>0.1441714628506657</v>
      </c>
      <c r="C38" s="8">
        <v>-0.1441714628506657</v>
      </c>
      <c r="D38"/>
      <c r="E38"/>
      <c r="F38"/>
      <c r="G38"/>
      <c r="H38"/>
      <c r="I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25">
      <c r="A39" s="8">
        <v>2</v>
      </c>
      <c r="B39" s="8">
        <v>0.52694379154793525</v>
      </c>
      <c r="C39" s="8">
        <v>-9.9253696233561284E-2</v>
      </c>
      <c r="D39"/>
      <c r="E39"/>
      <c r="F39"/>
      <c r="G39"/>
      <c r="H39"/>
      <c r="I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8">
        <v>3</v>
      </c>
      <c r="B40" s="8">
        <v>2.2192609148432805</v>
      </c>
      <c r="C40" s="8">
        <v>-8.0810438271410323E-2</v>
      </c>
      <c r="D40"/>
      <c r="E40"/>
      <c r="F40"/>
      <c r="G40"/>
      <c r="H40"/>
      <c r="I4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25">
      <c r="A41" s="8">
        <v>4</v>
      </c>
      <c r="B41" s="8">
        <v>4.3002759088928997</v>
      </c>
      <c r="C41" s="8">
        <v>-2.3374955749159376E-2</v>
      </c>
      <c r="D41"/>
      <c r="E41"/>
      <c r="F41"/>
      <c r="G41"/>
      <c r="H41"/>
      <c r="I4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 x14ac:dyDescent="0.25">
      <c r="A42" s="8">
        <v>5</v>
      </c>
      <c r="B42" s="8">
        <v>21.183118079488228</v>
      </c>
      <c r="C42" s="8">
        <v>0.20138668623047096</v>
      </c>
      <c r="D42"/>
      <c r="E42"/>
      <c r="F42"/>
      <c r="G42"/>
      <c r="H42"/>
      <c r="I4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 x14ac:dyDescent="0.25">
      <c r="A43" s="8">
        <v>6</v>
      </c>
      <c r="B43" s="8">
        <v>42.563623553202696</v>
      </c>
      <c r="C43" s="8">
        <v>0.20538597823470184</v>
      </c>
      <c r="D43"/>
      <c r="E43"/>
      <c r="F43"/>
      <c r="G43"/>
      <c r="H43"/>
      <c r="I4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thickBot="1" x14ac:dyDescent="0.3">
      <c r="A44" s="10">
        <v>7</v>
      </c>
      <c r="B44" s="10">
        <v>213.90420976854736</v>
      </c>
      <c r="C44" s="10">
        <v>-5.9162111360365088E-2</v>
      </c>
      <c r="D44"/>
      <c r="E44"/>
      <c r="F44"/>
      <c r="G44"/>
      <c r="H44"/>
      <c r="I4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s="19" t="s">
        <v>103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25">
      <c r="A50" s="7" t="s">
        <v>47</v>
      </c>
      <c r="B50" s="7"/>
      <c r="C50"/>
      <c r="D50"/>
      <c r="E50"/>
      <c r="F50"/>
      <c r="G50"/>
      <c r="H50"/>
      <c r="I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8" t="s">
        <v>48</v>
      </c>
      <c r="B51" s="8">
        <v>0.99997693899899576</v>
      </c>
      <c r="C51"/>
      <c r="D51"/>
      <c r="E51"/>
      <c r="F51"/>
      <c r="G51"/>
      <c r="H51"/>
      <c r="I5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25">
      <c r="A52" s="8" t="s">
        <v>49</v>
      </c>
      <c r="B52" s="8">
        <v>0.99995387852980122</v>
      </c>
      <c r="C52"/>
      <c r="D52"/>
      <c r="E52"/>
      <c r="F52"/>
      <c r="G52"/>
      <c r="H52"/>
      <c r="I5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25">
      <c r="A53" s="8" t="s">
        <v>50</v>
      </c>
      <c r="B53" s="8">
        <v>0.99994619161810139</v>
      </c>
      <c r="C53"/>
      <c r="D53"/>
      <c r="E53"/>
      <c r="F53"/>
      <c r="G53"/>
      <c r="H53"/>
      <c r="I5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25">
      <c r="A54" s="8" t="s">
        <v>51</v>
      </c>
      <c r="B54" s="8">
        <v>2.3454898264593513</v>
      </c>
      <c r="C54"/>
      <c r="D54"/>
      <c r="E54"/>
      <c r="F54"/>
      <c r="G54"/>
      <c r="H54"/>
      <c r="I54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thickBot="1" x14ac:dyDescent="0.3">
      <c r="A55" s="10" t="s">
        <v>52</v>
      </c>
      <c r="B55" s="10">
        <v>8</v>
      </c>
      <c r="C55"/>
      <c r="D55"/>
      <c r="E55"/>
      <c r="F55"/>
      <c r="G55"/>
      <c r="H55"/>
      <c r="I5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25">
      <c r="A56"/>
      <c r="B56"/>
      <c r="C56"/>
      <c r="D56"/>
      <c r="E56"/>
      <c r="F56"/>
      <c r="G56"/>
      <c r="H56"/>
      <c r="I5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25">
      <c r="A58" s="11"/>
      <c r="B58" s="11" t="s">
        <v>54</v>
      </c>
      <c r="C58" s="11" t="s">
        <v>55</v>
      </c>
      <c r="D58" s="11" t="s">
        <v>56</v>
      </c>
      <c r="E58" s="11" t="s">
        <v>57</v>
      </c>
      <c r="F58" s="11" t="s">
        <v>58</v>
      </c>
      <c r="G58"/>
      <c r="H58"/>
      <c r="I5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25">
      <c r="A59" s="8" t="s">
        <v>59</v>
      </c>
      <c r="B59" s="8">
        <v>1</v>
      </c>
      <c r="C59" s="8">
        <v>715640.95071954106</v>
      </c>
      <c r="D59" s="8">
        <v>715640.95071954106</v>
      </c>
      <c r="E59" s="8">
        <v>130085.25628776736</v>
      </c>
      <c r="F59" s="8">
        <v>3.0659633657492487E-14</v>
      </c>
      <c r="G59"/>
      <c r="H59"/>
      <c r="I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25">
      <c r="A60" s="8" t="s">
        <v>60</v>
      </c>
      <c r="B60" s="8">
        <v>6</v>
      </c>
      <c r="C60" s="8">
        <v>33.007935156145905</v>
      </c>
      <c r="D60" s="8">
        <v>5.5013225260243175</v>
      </c>
      <c r="E60" s="8"/>
      <c r="F60" s="8"/>
      <c r="G60"/>
      <c r="H60"/>
      <c r="I6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thickBot="1" x14ac:dyDescent="0.3">
      <c r="A61" s="10" t="s">
        <v>61</v>
      </c>
      <c r="B61" s="10">
        <v>7</v>
      </c>
      <c r="C61" s="10">
        <v>715673.95865469717</v>
      </c>
      <c r="D61" s="10"/>
      <c r="E61" s="10"/>
      <c r="F61" s="10"/>
      <c r="G61"/>
      <c r="H61"/>
      <c r="I6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25">
      <c r="A63" s="11"/>
      <c r="B63" s="11" t="s">
        <v>62</v>
      </c>
      <c r="C63" s="11" t="s">
        <v>51</v>
      </c>
      <c r="D63" s="11" t="s">
        <v>63</v>
      </c>
      <c r="E63" s="11" t="s">
        <v>64</v>
      </c>
      <c r="F63" s="11" t="s">
        <v>65</v>
      </c>
      <c r="G63" s="11" t="s">
        <v>66</v>
      </c>
      <c r="H63" s="11" t="s">
        <v>67</v>
      </c>
      <c r="I63" s="11" t="s">
        <v>68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25">
      <c r="A64" s="8" t="s">
        <v>69</v>
      </c>
      <c r="B64" s="8">
        <v>-1.0515927841435655</v>
      </c>
      <c r="C64" s="8">
        <v>0.93004309568280563</v>
      </c>
      <c r="D64" s="8">
        <v>-1.1306925335234301</v>
      </c>
      <c r="E64" s="8">
        <v>0.30134624757372269</v>
      </c>
      <c r="F64" s="8">
        <v>-3.3273262570453777</v>
      </c>
      <c r="G64" s="8">
        <v>1.2241406887582467</v>
      </c>
      <c r="H64" s="8">
        <v>-3.3273262570453777</v>
      </c>
      <c r="I64" s="8">
        <v>1.2241406887582467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5.75" thickBot="1" x14ac:dyDescent="0.3">
      <c r="A65" s="10" t="s">
        <v>70</v>
      </c>
      <c r="B65" s="10">
        <v>0.16384455053367589</v>
      </c>
      <c r="C65" s="10">
        <v>4.5427408560216718E-4</v>
      </c>
      <c r="D65" s="10">
        <v>360.6733373674403</v>
      </c>
      <c r="E65" s="10">
        <v>3.0659633657492487E-14</v>
      </c>
      <c r="F65" s="10">
        <v>0.16273298188994789</v>
      </c>
      <c r="G65" s="10">
        <v>0.16495611917740388</v>
      </c>
      <c r="H65" s="10">
        <v>0.16273298188994789</v>
      </c>
      <c r="I65" s="10">
        <v>0.16495611917740388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25">
      <c r="A66"/>
      <c r="B66"/>
      <c r="C66"/>
      <c r="D66"/>
      <c r="E66"/>
      <c r="F66"/>
      <c r="G66"/>
      <c r="H66"/>
      <c r="I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/>
      <c r="B67"/>
      <c r="C67"/>
      <c r="D67"/>
      <c r="E67"/>
      <c r="F67"/>
      <c r="G67"/>
      <c r="H67"/>
      <c r="I6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5">
      <c r="A68"/>
      <c r="B68"/>
      <c r="C68"/>
      <c r="D68"/>
      <c r="E68"/>
      <c r="F68"/>
      <c r="G68"/>
      <c r="H68"/>
      <c r="I6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1" t="s">
        <v>72</v>
      </c>
      <c r="B71" s="11" t="s">
        <v>73</v>
      </c>
      <c r="C71" s="11" t="s">
        <v>74</v>
      </c>
      <c r="D71"/>
      <c r="E71"/>
      <c r="F71"/>
      <c r="G71"/>
      <c r="H71"/>
      <c r="I7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8">
        <v>1</v>
      </c>
      <c r="B72" s="8">
        <v>-0.86244335302746633</v>
      </c>
      <c r="C72" s="8">
        <v>0.86244335302746633</v>
      </c>
      <c r="D72"/>
      <c r="E72"/>
      <c r="F72"/>
      <c r="G72"/>
      <c r="H72"/>
      <c r="I7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8">
        <v>2</v>
      </c>
      <c r="B73" s="8">
        <v>-0.46848823374427229</v>
      </c>
      <c r="C73" s="8">
        <v>0.89617832905864625</v>
      </c>
      <c r="D73"/>
      <c r="E73"/>
      <c r="F73"/>
      <c r="G73"/>
      <c r="H73"/>
      <c r="I73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8">
        <v>3</v>
      </c>
      <c r="B74" s="8">
        <v>1.273270363178999</v>
      </c>
      <c r="C74" s="8">
        <v>0.86518011339287115</v>
      </c>
      <c r="D74"/>
      <c r="E74"/>
      <c r="F74"/>
      <c r="G74"/>
      <c r="H74"/>
      <c r="I74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8">
        <v>4</v>
      </c>
      <c r="B75" s="8">
        <v>3.4150827376553288</v>
      </c>
      <c r="C75" s="8">
        <v>0.86181821548841153</v>
      </c>
      <c r="D75"/>
      <c r="E75"/>
      <c r="F75"/>
      <c r="G75"/>
      <c r="H75"/>
      <c r="I7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25">
      <c r="A76" s="8">
        <v>5</v>
      </c>
      <c r="B76" s="8">
        <v>20.791161420752843</v>
      </c>
      <c r="C76" s="8">
        <v>0.59334334496585583</v>
      </c>
      <c r="D76"/>
      <c r="E76"/>
      <c r="F76"/>
      <c r="G76"/>
      <c r="H76"/>
      <c r="I7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25">
      <c r="A77" s="8">
        <v>6</v>
      </c>
      <c r="B77" s="8">
        <v>42.796303780178178</v>
      </c>
      <c r="C77" s="8">
        <v>-2.7294248740780347E-2</v>
      </c>
      <c r="D77"/>
      <c r="E77"/>
      <c r="F77"/>
      <c r="G77"/>
      <c r="H77"/>
      <c r="I7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25">
      <c r="A78" s="8">
        <v>7</v>
      </c>
      <c r="B78" s="8">
        <v>219.142648643325</v>
      </c>
      <c r="C78" s="8">
        <v>-5.2976009861380078</v>
      </c>
      <c r="D78"/>
      <c r="E78"/>
      <c r="F78"/>
      <c r="G78"/>
      <c r="H78"/>
      <c r="I7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thickBot="1" x14ac:dyDescent="0.3">
      <c r="A79" s="10">
        <v>8</v>
      </c>
      <c r="B79" s="10">
        <v>920.50054699429393</v>
      </c>
      <c r="C79" s="10">
        <v>1.245931878945612</v>
      </c>
      <c r="D79"/>
      <c r="E79"/>
      <c r="F79"/>
      <c r="G79"/>
      <c r="H79"/>
      <c r="I7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25">
      <c r="A80"/>
      <c r="B80"/>
      <c r="C80"/>
      <c r="D80"/>
      <c r="E80"/>
      <c r="F80"/>
      <c r="G80"/>
      <c r="H80"/>
      <c r="I8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25">
      <c r="A81"/>
      <c r="B81"/>
      <c r="C81"/>
      <c r="D81"/>
      <c r="E81"/>
      <c r="F81"/>
      <c r="G81"/>
      <c r="H81"/>
      <c r="I8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25">
      <c r="A82"/>
      <c r="B82"/>
      <c r="C82"/>
      <c r="D82"/>
      <c r="E82"/>
      <c r="F82"/>
      <c r="G82"/>
      <c r="H82"/>
      <c r="I8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25">
      <c r="A83"/>
      <c r="B83"/>
      <c r="C83"/>
      <c r="D83"/>
      <c r="E83"/>
      <c r="F83"/>
      <c r="G83"/>
      <c r="H83"/>
      <c r="I83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25">
      <c r="A84"/>
      <c r="B84"/>
      <c r="C84"/>
      <c r="D84"/>
      <c r="E84"/>
      <c r="F84"/>
      <c r="G84"/>
      <c r="H84"/>
      <c r="I8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A85"/>
      <c r="B85"/>
      <c r="C85"/>
      <c r="D85"/>
      <c r="E85"/>
      <c r="F85"/>
      <c r="G85"/>
      <c r="H85"/>
      <c r="I8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25">
      <c r="A86"/>
      <c r="B86"/>
      <c r="C86"/>
      <c r="D86"/>
      <c r="E86"/>
      <c r="F86"/>
      <c r="G86"/>
      <c r="H86"/>
      <c r="I8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/>
      <c r="B87"/>
      <c r="C87"/>
      <c r="D87"/>
      <c r="E87"/>
      <c r="F87"/>
      <c r="G87"/>
      <c r="H87"/>
      <c r="I8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25">
      <c r="A88"/>
      <c r="B88"/>
      <c r="C88"/>
      <c r="D88"/>
      <c r="E88"/>
      <c r="F88"/>
      <c r="G88"/>
      <c r="H88"/>
      <c r="I8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25">
      <c r="A89"/>
      <c r="B89"/>
      <c r="C89"/>
      <c r="D89"/>
      <c r="E89"/>
      <c r="F89"/>
      <c r="G89"/>
      <c r="H89"/>
      <c r="I8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25">
      <c r="A90"/>
      <c r="B90"/>
      <c r="C90"/>
      <c r="D90"/>
      <c r="E90"/>
      <c r="F90"/>
      <c r="G90"/>
      <c r="H90"/>
      <c r="I9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25">
      <c r="A91"/>
      <c r="B91"/>
      <c r="C91"/>
      <c r="D91"/>
      <c r="E91"/>
      <c r="F91"/>
      <c r="G91"/>
      <c r="H91"/>
      <c r="I9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/>
      <c r="B92"/>
      <c r="C92"/>
      <c r="D92"/>
      <c r="E92"/>
      <c r="F92"/>
      <c r="G92"/>
      <c r="H92"/>
      <c r="I9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A93"/>
      <c r="B93"/>
      <c r="C93"/>
      <c r="D93"/>
      <c r="E93"/>
      <c r="F93"/>
      <c r="G93"/>
      <c r="H93"/>
      <c r="I9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25">
      <c r="A94"/>
      <c r="B94"/>
      <c r="C94"/>
      <c r="D94"/>
      <c r="E94"/>
      <c r="F94"/>
      <c r="G94"/>
      <c r="H94"/>
      <c r="I94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25">
      <c r="A95"/>
      <c r="B95"/>
      <c r="C95"/>
      <c r="D95"/>
      <c r="E95"/>
      <c r="F95"/>
      <c r="G95"/>
      <c r="H95"/>
      <c r="I9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/>
      <c r="B96"/>
      <c r="C96"/>
      <c r="D96"/>
      <c r="E96"/>
      <c r="F96"/>
      <c r="G96"/>
      <c r="H96"/>
      <c r="I9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5">
      <c r="A97"/>
      <c r="B97"/>
      <c r="C97"/>
      <c r="D97"/>
      <c r="E97"/>
      <c r="F97"/>
      <c r="G97"/>
      <c r="H97"/>
      <c r="I9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5">
      <c r="A98"/>
      <c r="B98"/>
      <c r="C98"/>
      <c r="D98"/>
      <c r="E98"/>
      <c r="F98"/>
      <c r="G98"/>
      <c r="H98"/>
      <c r="I9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5">
      <c r="A99"/>
      <c r="B99"/>
      <c r="C99"/>
      <c r="D99"/>
      <c r="E99"/>
      <c r="F99"/>
      <c r="G99"/>
      <c r="H99"/>
      <c r="I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5">
      <c r="A100"/>
      <c r="B100"/>
      <c r="C100"/>
      <c r="D100"/>
      <c r="E100"/>
      <c r="F100"/>
      <c r="G100"/>
      <c r="H100"/>
      <c r="I10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/>
      <c r="B101"/>
      <c r="C101"/>
      <c r="D101"/>
      <c r="E101"/>
      <c r="F101"/>
      <c r="G101"/>
      <c r="H101"/>
      <c r="I10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5">
      <c r="A102"/>
      <c r="B102"/>
      <c r="C102"/>
      <c r="D102"/>
      <c r="E102"/>
      <c r="F102"/>
      <c r="G102"/>
      <c r="H102"/>
      <c r="I10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5">
      <c r="A103"/>
      <c r="B103"/>
      <c r="C103"/>
      <c r="D103"/>
      <c r="E103"/>
      <c r="F103"/>
      <c r="G103"/>
      <c r="H103"/>
      <c r="I10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5">
      <c r="A104"/>
      <c r="B104"/>
      <c r="C104"/>
      <c r="D104"/>
      <c r="E104"/>
      <c r="F104"/>
      <c r="G104"/>
      <c r="H104"/>
      <c r="I104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/>
      <c r="B105"/>
      <c r="C105"/>
      <c r="D105"/>
      <c r="E105"/>
      <c r="F105"/>
      <c r="G105"/>
      <c r="H105"/>
      <c r="I10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5">
      <c r="A106"/>
      <c r="B106"/>
      <c r="C106"/>
      <c r="D106"/>
      <c r="E106"/>
      <c r="F106"/>
      <c r="G106"/>
      <c r="H106"/>
      <c r="I10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5">
      <c r="A107"/>
      <c r="B107"/>
      <c r="C107"/>
      <c r="D107"/>
      <c r="E107"/>
      <c r="F107"/>
      <c r="G107"/>
      <c r="H107"/>
      <c r="I10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5">
      <c r="A108"/>
      <c r="B108"/>
      <c r="C108"/>
      <c r="D108"/>
      <c r="E108"/>
      <c r="F108"/>
      <c r="G108"/>
      <c r="H108"/>
      <c r="I10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5">
      <c r="A109"/>
      <c r="B109"/>
      <c r="C109"/>
      <c r="D109"/>
      <c r="E109"/>
      <c r="F109"/>
      <c r="G109"/>
      <c r="H109"/>
      <c r="I10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5">
      <c r="A110"/>
      <c r="B110"/>
      <c r="C110"/>
      <c r="D110"/>
      <c r="E110"/>
      <c r="F110"/>
      <c r="G110"/>
      <c r="H110"/>
      <c r="I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5">
      <c r="A111"/>
      <c r="B111"/>
      <c r="C111"/>
      <c r="D111"/>
      <c r="E111"/>
      <c r="F111"/>
      <c r="G111"/>
      <c r="H111"/>
      <c r="I11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29" sqref="H29"/>
    </sheetView>
  </sheetViews>
  <sheetFormatPr defaultRowHeight="15" x14ac:dyDescent="0.25"/>
  <cols>
    <col min="1" max="1" width="15.570312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111</v>
      </c>
      <c r="B2" s="14" t="s">
        <v>85</v>
      </c>
      <c r="C2">
        <v>21.28722222222223</v>
      </c>
      <c r="D2">
        <v>0.37678383333333348</v>
      </c>
      <c r="E2" s="1" t="s">
        <v>45</v>
      </c>
      <c r="F2" s="1">
        <f>C2*'Calibration Data'!$B$31+'Calibration Data'!$B$30</f>
        <v>3.349182188280508</v>
      </c>
      <c r="G2" s="15">
        <f>'Calibration Data'!$B$20</f>
        <v>0.15745067498955981</v>
      </c>
    </row>
    <row r="3" spans="1:7" x14ac:dyDescent="0.25">
      <c r="A3" t="s">
        <v>112</v>
      </c>
      <c r="B3" s="14" t="s">
        <v>85</v>
      </c>
      <c r="C3">
        <v>19.984999999999999</v>
      </c>
      <c r="D3">
        <v>0.36505933333333329</v>
      </c>
      <c r="E3" s="1" t="s">
        <v>45</v>
      </c>
      <c r="F3" s="1">
        <f>C3*'Calibration Data'!$B$31+'Calibration Data'!$B$30</f>
        <v>3.1418766572115602</v>
      </c>
      <c r="G3" s="15">
        <f>'Calibration Data'!$B$20</f>
        <v>0.15745067498955981</v>
      </c>
    </row>
    <row r="4" spans="1:7" x14ac:dyDescent="0.25">
      <c r="A4" t="s">
        <v>113</v>
      </c>
      <c r="B4" s="14" t="s">
        <v>85</v>
      </c>
      <c r="C4">
        <v>20.198888888888892</v>
      </c>
      <c r="D4">
        <v>0.36694648148148151</v>
      </c>
      <c r="E4" s="1" t="s">
        <v>45</v>
      </c>
      <c r="F4" s="1">
        <f>C4*'Calibration Data'!$B$31+'Calibration Data'!$B$30</f>
        <v>3.1759264138077827</v>
      </c>
      <c r="G4" s="15">
        <f>'Calibration Data'!$B$20</f>
        <v>0.15745067498955981</v>
      </c>
    </row>
    <row r="5" spans="1:7" x14ac:dyDescent="0.25">
      <c r="A5" t="s">
        <v>114</v>
      </c>
      <c r="B5" s="14" t="s">
        <v>85</v>
      </c>
      <c r="C5">
        <v>19.633333333333329</v>
      </c>
      <c r="D5">
        <v>0.36190777777777777</v>
      </c>
      <c r="E5" s="1" t="s">
        <v>45</v>
      </c>
      <c r="F5" s="1">
        <f>C5*'Calibration Data'!$B$31+'Calibration Data'!$B$30</f>
        <v>3.0858935509117975</v>
      </c>
      <c r="G5" s="15">
        <f>'Calibration Data'!$B$20</f>
        <v>0.15745067498955981</v>
      </c>
    </row>
    <row r="6" spans="1:7" x14ac:dyDescent="0.25">
      <c r="A6" t="s">
        <v>116</v>
      </c>
      <c r="B6" s="14" t="s">
        <v>85</v>
      </c>
      <c r="C6">
        <v>20.231666666666669</v>
      </c>
      <c r="D6">
        <v>0.36686755555555561</v>
      </c>
      <c r="E6" s="1" t="s">
        <v>45</v>
      </c>
      <c r="F6" s="1">
        <f>C6*'Calibration Data'!$B$31+'Calibration Data'!$B$30</f>
        <v>3.1811444284549961</v>
      </c>
      <c r="G6" s="15">
        <f>'Calibration Data'!$B$20</f>
        <v>0.15745067498955981</v>
      </c>
    </row>
    <row r="7" spans="1:7" x14ac:dyDescent="0.25">
      <c r="A7" t="s">
        <v>115</v>
      </c>
      <c r="B7" s="14" t="s">
        <v>85</v>
      </c>
      <c r="C7">
        <v>19.812222222222221</v>
      </c>
      <c r="D7">
        <v>0.36322407407407398</v>
      </c>
      <c r="E7" s="1" t="s">
        <v>45</v>
      </c>
      <c r="F7" s="1">
        <f>C7*'Calibration Data'!$B$31+'Calibration Data'!$B$30</f>
        <v>3.1143715291559109</v>
      </c>
      <c r="G7" s="15">
        <f>'Calibration Data'!$B$20</f>
        <v>0.15745067498955981</v>
      </c>
    </row>
    <row r="8" spans="1:7" ht="15.75" customHeight="1" x14ac:dyDescent="0.25">
      <c r="A8" t="s">
        <v>117</v>
      </c>
      <c r="B8" s="14" t="s">
        <v>85</v>
      </c>
      <c r="C8">
        <v>19.497777777777781</v>
      </c>
      <c r="D8">
        <v>0.36070888888888902</v>
      </c>
      <c r="E8" s="1" t="s">
        <v>45</v>
      </c>
      <c r="F8" s="1">
        <f>C8*'Calibration Data'!$B$31+'Calibration Data'!$B$30</f>
        <v>3.0643139649131541</v>
      </c>
      <c r="G8" s="15">
        <f>'Calibration Data'!$B$20</f>
        <v>0.15745067498955981</v>
      </c>
    </row>
    <row r="9" spans="1:7" x14ac:dyDescent="0.25">
      <c r="A9" t="s">
        <v>118</v>
      </c>
      <c r="B9" s="14" t="s">
        <v>85</v>
      </c>
      <c r="C9">
        <v>19.372777777777781</v>
      </c>
      <c r="D9">
        <v>0.35968790740740741</v>
      </c>
      <c r="E9" s="1" t="s">
        <v>45</v>
      </c>
      <c r="F9" s="1">
        <f>C9*'Calibration Data'!$B$31+'Calibration Data'!$B$30</f>
        <v>3.0444147565127646</v>
      </c>
      <c r="G9" s="15">
        <f>'Calibration Data'!$B$20</f>
        <v>0.15745067498955981</v>
      </c>
    </row>
    <row r="10" spans="1:7" x14ac:dyDescent="0.25">
      <c r="A10" t="s">
        <v>119</v>
      </c>
      <c r="B10" s="14" t="s">
        <v>85</v>
      </c>
      <c r="C10">
        <v>19.684999999999999</v>
      </c>
      <c r="D10">
        <v>0.36220400000000003</v>
      </c>
      <c r="E10" s="1" t="s">
        <v>45</v>
      </c>
      <c r="F10" s="1">
        <f>C10*'Calibration Data'!$B$31+'Calibration Data'!$B$30</f>
        <v>3.0941185570506256</v>
      </c>
      <c r="G10" s="15">
        <f>'Calibration Data'!$B$20</f>
        <v>0.15745067498955981</v>
      </c>
    </row>
    <row r="11" spans="1:7" x14ac:dyDescent="0.25">
      <c r="A11" t="s">
        <v>120</v>
      </c>
      <c r="B11" s="14" t="s">
        <v>85</v>
      </c>
      <c r="C11">
        <v>18.666666666666671</v>
      </c>
      <c r="D11">
        <v>0.35342222222222219</v>
      </c>
      <c r="E11" s="1" t="s">
        <v>45</v>
      </c>
      <c r="F11" s="1">
        <f>C11*'Calibration Data'!$B$31+'Calibration Data'!$B$30</f>
        <v>2.9320063392821201</v>
      </c>
      <c r="G11" s="15">
        <f>'Calibration Data'!$B$20</f>
        <v>0.15745067498955981</v>
      </c>
    </row>
    <row r="12" spans="1:7" x14ac:dyDescent="0.25">
      <c r="A12" t="s">
        <v>121</v>
      </c>
      <c r="B12" s="14" t="s">
        <v>85</v>
      </c>
      <c r="C12">
        <v>18.98833333333333</v>
      </c>
      <c r="D12">
        <v>0.35571477777777771</v>
      </c>
      <c r="E12" s="1" t="s">
        <v>45</v>
      </c>
      <c r="F12" s="1">
        <f>C12*'Calibration Data'!$B$31+'Calibration Data'!$B$30</f>
        <v>2.9832136355657877</v>
      </c>
      <c r="G12" s="15">
        <f>'Calibration Data'!$B$20</f>
        <v>0.15745067498955981</v>
      </c>
    </row>
    <row r="13" spans="1:7" x14ac:dyDescent="0.25">
      <c r="A13" t="s">
        <v>122</v>
      </c>
      <c r="B13" s="14" t="s">
        <v>85</v>
      </c>
      <c r="C13">
        <v>18.617222222222221</v>
      </c>
      <c r="D13">
        <v>0.35186550000000011</v>
      </c>
      <c r="E13" s="1" t="s">
        <v>45</v>
      </c>
      <c r="F13" s="1">
        <f>C13*'Calibration Data'!$B$31+'Calibration Data'!$B$30</f>
        <v>2.9241350968481874</v>
      </c>
      <c r="G13" s="15">
        <f>'Calibration Data'!$B$20</f>
        <v>0.15745067498955981</v>
      </c>
    </row>
    <row r="14" spans="1:7" x14ac:dyDescent="0.25">
      <c r="A14" t="s">
        <v>123</v>
      </c>
      <c r="B14" s="14" t="s">
        <v>85</v>
      </c>
      <c r="C14">
        <v>41.276666666666671</v>
      </c>
      <c r="D14">
        <v>0.52421366666666669</v>
      </c>
      <c r="E14" s="1" t="s">
        <v>45</v>
      </c>
      <c r="F14" s="1">
        <f>C14*'Calibration Data'!$B$31+'Calibration Data'!$B$30</f>
        <v>6.5313751547445689</v>
      </c>
      <c r="G14" s="15">
        <f>'Calibration Data'!$B$20</f>
        <v>0.15745067498955981</v>
      </c>
    </row>
    <row r="15" spans="1:7" x14ac:dyDescent="0.25">
      <c r="A15" t="s">
        <v>124</v>
      </c>
      <c r="B15" s="14" t="s">
        <v>85</v>
      </c>
      <c r="C15">
        <v>21.83</v>
      </c>
      <c r="D15">
        <v>0.382025</v>
      </c>
      <c r="E15" s="1" t="s">
        <v>45</v>
      </c>
      <c r="F15" s="1">
        <f>C15*'Calibration Data'!$B$31+'Calibration Data'!$B$30</f>
        <v>3.435588973201309</v>
      </c>
      <c r="G15" s="15">
        <f>'Calibration Data'!$B$20</f>
        <v>0.15745067498955981</v>
      </c>
    </row>
    <row r="16" spans="1:7" x14ac:dyDescent="0.25">
      <c r="A16" t="s">
        <v>125</v>
      </c>
      <c r="B16" s="14" t="s">
        <v>85</v>
      </c>
      <c r="C16">
        <v>42.043333333333337</v>
      </c>
      <c r="D16">
        <v>0.52974600000000005</v>
      </c>
      <c r="E16" s="1" t="s">
        <v>45</v>
      </c>
      <c r="F16" s="1">
        <f>C16*'Calibration Data'!$B$31+'Calibration Data'!$B$30</f>
        <v>6.6534236329336238</v>
      </c>
      <c r="G16" s="15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RowHeight="15" x14ac:dyDescent="0.25"/>
  <cols>
    <col min="1" max="1" width="15.570312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8.28515625" bestFit="1" customWidth="1"/>
    <col min="6" max="6" width="15.7109375" bestFit="1" customWidth="1"/>
    <col min="7" max="7" width="20.5703125" bestFit="1" customWidth="1"/>
    <col min="8" max="8" width="17.5703125" bestFit="1" customWidth="1"/>
    <col min="9" max="9" width="22.42578125" bestFit="1" customWidth="1"/>
    <col min="10" max="10" width="19.140625" bestFit="1" customWidth="1"/>
    <col min="11" max="11" width="24.42578125" bestFit="1" customWidth="1"/>
    <col min="12" max="12" width="24.7109375" bestFit="1" customWidth="1"/>
    <col min="13" max="13" width="29.85546875" bestFit="1" customWidth="1"/>
    <col min="14" max="14" width="11.28515625" bestFit="1" customWidth="1"/>
    <col min="15" max="15" width="12.42578125" bestFit="1" customWidth="1"/>
    <col min="16" max="16" width="16.85546875" bestFit="1" customWidth="1"/>
    <col min="17" max="17" width="18.140625" bestFit="1" customWidth="1"/>
    <col min="18" max="18" width="9" bestFit="1" customWidth="1"/>
    <col min="19" max="19" width="10.140625" bestFit="1" customWidth="1"/>
    <col min="20" max="20" width="13.140625" bestFit="1" customWidth="1"/>
    <col min="21" max="21" width="14.28515625" bestFit="1" customWidth="1"/>
  </cols>
  <sheetData>
    <row r="1" spans="1:20" x14ac:dyDescent="0.25">
      <c r="A1" t="s">
        <v>10</v>
      </c>
      <c r="B1" t="s">
        <v>27</v>
      </c>
      <c r="C1" t="s">
        <v>28</v>
      </c>
      <c r="D1" t="s">
        <v>12</v>
      </c>
      <c r="E1" t="s">
        <v>126</v>
      </c>
      <c r="F1" t="s">
        <v>25</v>
      </c>
      <c r="G1" t="s">
        <v>26</v>
      </c>
      <c r="H1" t="s">
        <v>77</v>
      </c>
      <c r="I1" t="s">
        <v>78</v>
      </c>
      <c r="J1" t="s">
        <v>75</v>
      </c>
      <c r="K1" t="s">
        <v>76</v>
      </c>
      <c r="L1" t="s">
        <v>79</v>
      </c>
      <c r="M1" t="s">
        <v>80</v>
      </c>
      <c r="N1" t="s">
        <v>29</v>
      </c>
      <c r="O1" t="s">
        <v>30</v>
      </c>
      <c r="P1" t="s">
        <v>33</v>
      </c>
      <c r="Q1" t="s">
        <v>34</v>
      </c>
      <c r="R1" t="s">
        <v>31</v>
      </c>
      <c r="S1" t="s">
        <v>32</v>
      </c>
      <c r="T1" t="s">
        <v>89</v>
      </c>
    </row>
    <row r="2" spans="1:20" x14ac:dyDescent="0.25">
      <c r="A2" t="s">
        <v>111</v>
      </c>
      <c r="B2">
        <f>100</f>
        <v>100</v>
      </c>
      <c r="C2">
        <f>0.08</f>
        <v>0.08</v>
      </c>
      <c r="D2" s="1">
        <v>6.99</v>
      </c>
      <c r="E2" s="1"/>
      <c r="F2" s="1">
        <v>0</v>
      </c>
      <c r="G2" s="1">
        <v>0</v>
      </c>
      <c r="H2" s="1">
        <v>100</v>
      </c>
      <c r="I2" s="1">
        <v>5</v>
      </c>
      <c r="J2" s="1">
        <f>'Count-&gt;Actual Activity'!F2</f>
        <v>3.349182188280508</v>
      </c>
      <c r="K2" s="1">
        <f>'Count-&gt;Actual Activity'!G2</f>
        <v>0.15745067498955981</v>
      </c>
      <c r="L2" s="1">
        <v>5</v>
      </c>
      <c r="M2" s="1">
        <v>0.02</v>
      </c>
      <c r="N2">
        <f>J2/L2</f>
        <v>0.66983643765610157</v>
      </c>
      <c r="O2">
        <f>SQRT((M2/L2)^2+(K2/J2)^2)*N2</f>
        <v>3.1603915830765474E-2</v>
      </c>
      <c r="P2">
        <f>B2*AVERAGE(Parameters!$B$8:$B$9)</f>
        <v>66.468379722063446</v>
      </c>
      <c r="Q2">
        <f>_xlfn.STDEV.S(Parameters!$B$8:$B$9)</f>
        <v>1.632890824042528E-2</v>
      </c>
      <c r="R2" t="e">
        <f>(P2-N2*H2)/F2</f>
        <v>#DIV/0!</v>
      </c>
      <c r="T2">
        <f>(P2-N2*H2)/P2</f>
        <v>-7.7520175112027216E-3</v>
      </c>
    </row>
    <row r="3" spans="1:20" x14ac:dyDescent="0.25">
      <c r="A3" t="s">
        <v>112</v>
      </c>
      <c r="B3">
        <f>100</f>
        <v>100</v>
      </c>
      <c r="C3">
        <f>0.08</f>
        <v>0.08</v>
      </c>
      <c r="D3" s="1">
        <v>6.99</v>
      </c>
      <c r="E3" s="1"/>
      <c r="F3" s="1">
        <v>0</v>
      </c>
      <c r="G3" s="1">
        <v>0</v>
      </c>
      <c r="H3" s="1">
        <v>100</v>
      </c>
      <c r="I3" s="1">
        <v>5</v>
      </c>
      <c r="J3" s="1">
        <f>'Count-&gt;Actual Activity'!F3</f>
        <v>3.1418766572115602</v>
      </c>
      <c r="K3" s="1">
        <f>'Count-&gt;Actual Activity'!G3</f>
        <v>0.15745067498955981</v>
      </c>
      <c r="L3" s="1">
        <v>5</v>
      </c>
      <c r="M3" s="1">
        <v>0.02</v>
      </c>
      <c r="N3">
        <f>J3/L3</f>
        <v>0.62837533144231206</v>
      </c>
      <c r="O3">
        <f>SQRT((M3/L3)^2+(K3/J3)^2)*N3</f>
        <v>3.159028792368572E-2</v>
      </c>
      <c r="P3">
        <f>B3*AVERAGE(Parameters!$B$8:$B$9)</f>
        <v>66.468379722063446</v>
      </c>
      <c r="Q3">
        <f>_xlfn.STDEV.S(Parameters!$B$8:$B$9)</f>
        <v>1.632890824042528E-2</v>
      </c>
      <c r="R3" t="e">
        <f>(P3-N3*H3)/F3</f>
        <v>#DIV/0!</v>
      </c>
      <c r="T3">
        <f>(P3-N3*H3)/P3</f>
        <v>5.4625170539955525E-2</v>
      </c>
    </row>
    <row r="4" spans="1:20" x14ac:dyDescent="0.25">
      <c r="A4" t="s">
        <v>113</v>
      </c>
      <c r="B4">
        <f>100</f>
        <v>100</v>
      </c>
      <c r="C4">
        <f>0.08</f>
        <v>0.08</v>
      </c>
      <c r="D4" s="1">
        <v>6.97</v>
      </c>
      <c r="E4" s="1"/>
      <c r="F4" s="1">
        <v>0</v>
      </c>
      <c r="G4" s="1">
        <v>0</v>
      </c>
      <c r="H4" s="1">
        <v>100</v>
      </c>
      <c r="I4" s="1">
        <v>5</v>
      </c>
      <c r="J4" s="1">
        <f>'Count-&gt;Actual Activity'!F4</f>
        <v>3.1759264138077827</v>
      </c>
      <c r="K4" s="1">
        <f>'Count-&gt;Actual Activity'!G4</f>
        <v>0.15745067498955981</v>
      </c>
      <c r="L4" s="1">
        <v>5</v>
      </c>
      <c r="M4" s="1">
        <v>0.02</v>
      </c>
      <c r="N4">
        <f>J4/L4</f>
        <v>0.6351852827615565</v>
      </c>
      <c r="O4">
        <f>SQRT((M4/L4)^2+(K4/J4)^2)*N4</f>
        <v>3.1592466945170802E-2</v>
      </c>
      <c r="P4">
        <f>B4*AVERAGE(Parameters!$B$8:$B$9)</f>
        <v>66.468379722063446</v>
      </c>
      <c r="Q4">
        <f>_xlfn.STDEV.S(Parameters!$B$8:$B$9)</f>
        <v>1.632890824042528E-2</v>
      </c>
      <c r="R4" t="e">
        <f>(P4-N4*H4)/F4</f>
        <v>#DIV/0!</v>
      </c>
      <c r="T4">
        <f>(P4-N4*H4)/P4</f>
        <v>4.4379770625409515E-2</v>
      </c>
    </row>
    <row r="5" spans="1:20" x14ac:dyDescent="0.25">
      <c r="A5" t="s">
        <v>114</v>
      </c>
      <c r="B5">
        <f>100</f>
        <v>100</v>
      </c>
      <c r="C5">
        <f>0.08</f>
        <v>0.08</v>
      </c>
      <c r="D5" s="1">
        <v>7.04</v>
      </c>
      <c r="E5" s="1"/>
      <c r="F5" s="1">
        <v>3.0700000000000002E-2</v>
      </c>
      <c r="G5" s="1">
        <v>1E-4</v>
      </c>
      <c r="H5" s="1">
        <v>100</v>
      </c>
      <c r="I5" s="1">
        <v>5</v>
      </c>
      <c r="J5" s="1">
        <f>'Count-&gt;Actual Activity'!F5</f>
        <v>3.0858935509117975</v>
      </c>
      <c r="K5" s="1">
        <f>'Count-&gt;Actual Activity'!G5</f>
        <v>0.15745067498955981</v>
      </c>
      <c r="L5" s="1">
        <v>5</v>
      </c>
      <c r="M5" s="1">
        <v>0.02</v>
      </c>
      <c r="N5">
        <f>J5/L5</f>
        <v>0.61717871018235948</v>
      </c>
      <c r="O5">
        <f>SQRT((M5/L5)^2+(K5/J5)^2)*N5</f>
        <v>3.158675600867486E-2</v>
      </c>
      <c r="P5">
        <f>B5*AVERAGE(Parameters!$B$8:$B$9)</f>
        <v>66.468379722063446</v>
      </c>
      <c r="Q5">
        <f>_xlfn.STDEV.S(Parameters!$B$8:$B$9)</f>
        <v>1.632890824042528E-2</v>
      </c>
      <c r="R5">
        <f>(P5-N5*H5)/F5</f>
        <v>154.73969719307814</v>
      </c>
      <c r="T5">
        <f>(P5-N5*H5)/P5</f>
        <v>7.1470204685170333E-2</v>
      </c>
    </row>
    <row r="6" spans="1:20" x14ac:dyDescent="0.25">
      <c r="A6" t="s">
        <v>116</v>
      </c>
      <c r="B6">
        <f>100</f>
        <v>100</v>
      </c>
      <c r="C6">
        <f>0.08</f>
        <v>0.08</v>
      </c>
      <c r="D6" s="1">
        <v>6.97</v>
      </c>
      <c r="E6" s="1"/>
      <c r="F6" s="1">
        <v>3.0099999999999998E-2</v>
      </c>
      <c r="G6" s="1">
        <v>1E-4</v>
      </c>
      <c r="H6" s="1">
        <v>100</v>
      </c>
      <c r="I6" s="1">
        <v>5</v>
      </c>
      <c r="J6" s="1">
        <f>'Count-&gt;Actual Activity'!F6</f>
        <v>3.1811444284549961</v>
      </c>
      <c r="K6" s="1">
        <f>'Count-&gt;Actual Activity'!G6</f>
        <v>0.15745067498955981</v>
      </c>
      <c r="L6" s="1">
        <v>5</v>
      </c>
      <c r="M6" s="1">
        <v>0.02</v>
      </c>
      <c r="N6">
        <f>J6/L6</f>
        <v>0.63622888569099922</v>
      </c>
      <c r="O6">
        <f>SQRT((M6/L6)^2+(K6/J6)^2)*N6</f>
        <v>3.1592802935265514E-2</v>
      </c>
      <c r="P6">
        <f>B6*AVERAGE(Parameters!$B$8:$B$9)</f>
        <v>66.468379722063446</v>
      </c>
      <c r="Q6">
        <f>_xlfn.STDEV.S(Parameters!$B$8:$B$9)</f>
        <v>1.632890824042528E-2</v>
      </c>
      <c r="R6">
        <f>(P6-N6*H6)/F6</f>
        <v>94.534589799452675</v>
      </c>
      <c r="T6">
        <f>(P6-N6*H6)/P6</f>
        <v>4.280969635279068E-2</v>
      </c>
    </row>
    <row r="7" spans="1:20" x14ac:dyDescent="0.25">
      <c r="A7" t="s">
        <v>115</v>
      </c>
      <c r="B7">
        <f>100</f>
        <v>100</v>
      </c>
      <c r="C7">
        <f>0.08</f>
        <v>0.08</v>
      </c>
      <c r="D7" s="1">
        <v>6.97</v>
      </c>
      <c r="E7" s="1"/>
      <c r="F7" s="1">
        <v>2.64E-2</v>
      </c>
      <c r="G7" s="1">
        <v>1E-4</v>
      </c>
      <c r="H7" s="1">
        <v>100</v>
      </c>
      <c r="I7" s="1">
        <v>5</v>
      </c>
      <c r="J7" s="1">
        <f>'Count-&gt;Actual Activity'!F7</f>
        <v>3.1143715291559109</v>
      </c>
      <c r="K7" s="1">
        <f>'Count-&gt;Actual Activity'!G7</f>
        <v>0.15745067498955981</v>
      </c>
      <c r="L7" s="1">
        <v>5</v>
      </c>
      <c r="M7" s="1">
        <v>0.02</v>
      </c>
      <c r="N7">
        <f>J7/L7</f>
        <v>0.6228743058311822</v>
      </c>
      <c r="O7">
        <f>SQRT((M7/L7)^2+(K7/J7)^2)*N7</f>
        <v>3.1588544768642868E-2</v>
      </c>
      <c r="P7">
        <f>B7*AVERAGE(Parameters!$B$8:$B$9)</f>
        <v>66.468379722063446</v>
      </c>
      <c r="Q7">
        <f>_xlfn.STDEV.S(Parameters!$B$8:$B$9)</f>
        <v>1.632890824042528E-2</v>
      </c>
      <c r="R7">
        <f>(P7-N7*H7)/F7</f>
        <v>158.36928556610695</v>
      </c>
      <c r="T7">
        <f>(P7-N7*H7)/P7</f>
        <v>6.2901324756640689E-2</v>
      </c>
    </row>
    <row r="8" spans="1:20" ht="15.75" customHeight="1" x14ac:dyDescent="0.25">
      <c r="A8" t="s">
        <v>117</v>
      </c>
      <c r="B8">
        <f>100</f>
        <v>100</v>
      </c>
      <c r="C8">
        <f>0.08</f>
        <v>0.08</v>
      </c>
      <c r="D8" s="1">
        <v>6.99</v>
      </c>
      <c r="E8" s="1"/>
      <c r="F8" s="1">
        <v>2.9899999999999999E-2</v>
      </c>
      <c r="G8" s="1">
        <v>1E-4</v>
      </c>
      <c r="H8" s="1">
        <v>100</v>
      </c>
      <c r="I8" s="1">
        <v>5</v>
      </c>
      <c r="J8" s="1">
        <f>'Count-&gt;Actual Activity'!F8</f>
        <v>3.0643139649131541</v>
      </c>
      <c r="K8" s="1">
        <f>'Count-&gt;Actual Activity'!G8</f>
        <v>0.15745067498955981</v>
      </c>
      <c r="L8" s="1">
        <v>5</v>
      </c>
      <c r="M8" s="1">
        <v>0.02</v>
      </c>
      <c r="N8">
        <f>J8/L8</f>
        <v>0.6128627929826308</v>
      </c>
      <c r="O8">
        <f>SQRT((M8/L8)^2+(K8/J8)^2)*N8</f>
        <v>3.1585411427351703E-2</v>
      </c>
      <c r="P8">
        <f>B8*AVERAGE(Parameters!$B$8:$B$9)</f>
        <v>66.468379722063446</v>
      </c>
      <c r="Q8">
        <f>_xlfn.STDEV.S(Parameters!$B$8:$B$9)</f>
        <v>1.632890824042528E-2</v>
      </c>
      <c r="R8">
        <f>(P8-N8*H8)/F8</f>
        <v>173.31439544482822</v>
      </c>
      <c r="T8">
        <f>(P8-N8*H8)/P8</f>
        <v>7.7963393202440626E-2</v>
      </c>
    </row>
    <row r="9" spans="1:20" x14ac:dyDescent="0.25">
      <c r="A9" t="s">
        <v>118</v>
      </c>
      <c r="B9">
        <f>100</f>
        <v>100</v>
      </c>
      <c r="C9">
        <f>0.08</f>
        <v>0.08</v>
      </c>
      <c r="D9" s="1">
        <v>6.97</v>
      </c>
      <c r="E9" s="1"/>
      <c r="F9" s="1">
        <v>3.0800000000000001E-2</v>
      </c>
      <c r="G9" s="1">
        <v>1E-4</v>
      </c>
      <c r="H9" s="1">
        <v>100</v>
      </c>
      <c r="I9" s="1">
        <v>5</v>
      </c>
      <c r="J9" s="1">
        <f>'Count-&gt;Actual Activity'!F9</f>
        <v>3.0444147565127646</v>
      </c>
      <c r="K9" s="1">
        <f>'Count-&gt;Actual Activity'!G9</f>
        <v>0.15745067498955981</v>
      </c>
      <c r="L9" s="1">
        <v>5</v>
      </c>
      <c r="M9" s="1">
        <v>0.02</v>
      </c>
      <c r="N9">
        <f>J9/L9</f>
        <v>0.60888295130255288</v>
      </c>
      <c r="O9">
        <f>SQRT((M9/L9)^2+(K9/J9)^2)*N9</f>
        <v>3.1584179858924782E-2</v>
      </c>
      <c r="P9">
        <f>B9*AVERAGE(Parameters!$B$8:$B$9)</f>
        <v>66.468379722063446</v>
      </c>
      <c r="Q9">
        <f>_xlfn.STDEV.S(Parameters!$B$8:$B$9)</f>
        <v>1.632890824042528E-2</v>
      </c>
      <c r="R9">
        <f>(P9-N9*H9)/F9</f>
        <v>181.17157765610906</v>
      </c>
      <c r="T9">
        <f>(P9-N9*H9)/P9</f>
        <v>8.3950964581071499E-2</v>
      </c>
    </row>
    <row r="10" spans="1:20" x14ac:dyDescent="0.25">
      <c r="A10" t="s">
        <v>119</v>
      </c>
      <c r="B10">
        <f>100</f>
        <v>100</v>
      </c>
      <c r="C10">
        <f>0.08</f>
        <v>0.08</v>
      </c>
      <c r="D10" s="1">
        <v>6.95</v>
      </c>
      <c r="E10" s="1"/>
      <c r="F10" s="1">
        <v>3.0300000000000001E-2</v>
      </c>
      <c r="G10" s="1">
        <v>1E-4</v>
      </c>
      <c r="H10" s="1">
        <v>100</v>
      </c>
      <c r="I10" s="1">
        <v>5</v>
      </c>
      <c r="J10" s="1">
        <f>'Count-&gt;Actual Activity'!F10</f>
        <v>3.0941185570506256</v>
      </c>
      <c r="K10" s="1">
        <f>'Count-&gt;Actual Activity'!G10</f>
        <v>0.15745067498955981</v>
      </c>
      <c r="L10" s="1">
        <v>5</v>
      </c>
      <c r="M10" s="1">
        <v>0.02</v>
      </c>
      <c r="N10">
        <f>J10/L10</f>
        <v>0.61882371141012515</v>
      </c>
      <c r="O10">
        <f>SQRT((M10/L10)^2+(K10/J10)^2)*N10</f>
        <v>3.1587270960935741E-2</v>
      </c>
      <c r="P10">
        <f>B10*AVERAGE(Parameters!$B$8:$B$9)</f>
        <v>66.468379722063446</v>
      </c>
      <c r="Q10">
        <f>_xlfn.STDEV.S(Parameters!$B$8:$B$9)</f>
        <v>1.632890824042528E-2</v>
      </c>
      <c r="R10">
        <f>(P10-N10*H10)/F10</f>
        <v>151.35341851653246</v>
      </c>
      <c r="T10">
        <f>(P10-N10*H10)/P10</f>
        <v>6.8995341848669414E-2</v>
      </c>
    </row>
    <row r="11" spans="1:20" x14ac:dyDescent="0.25">
      <c r="A11" t="s">
        <v>120</v>
      </c>
      <c r="B11">
        <f>100</f>
        <v>100</v>
      </c>
      <c r="C11">
        <f>0.08</f>
        <v>0.08</v>
      </c>
      <c r="D11" s="1">
        <v>6.98</v>
      </c>
      <c r="E11" s="1">
        <v>0.222</v>
      </c>
      <c r="F11" s="1">
        <f>E11*Parameters!$B$10/1000</f>
        <v>7.1266904887259935E-3</v>
      </c>
      <c r="G11" s="1">
        <f>F11*SQRT((0.002/E11)^2+(Parameters!$C$10/Parameters!$B$10)^2)</f>
        <v>7.9390702534074816E-5</v>
      </c>
      <c r="H11" s="1">
        <v>100</v>
      </c>
      <c r="I11" s="1">
        <v>5</v>
      </c>
      <c r="J11" s="1">
        <f>'Count-&gt;Actual Activity'!F11</f>
        <v>2.9320063392821201</v>
      </c>
      <c r="K11" s="1">
        <f>'Count-&gt;Actual Activity'!G11</f>
        <v>0.15745067498955981</v>
      </c>
      <c r="L11" s="1">
        <v>5</v>
      </c>
      <c r="M11" s="1">
        <v>0.02</v>
      </c>
      <c r="N11">
        <f>J11/L11</f>
        <v>0.58640126785642399</v>
      </c>
      <c r="O11">
        <f>SQRT((M11/L11)^2+(K11/J11)^2)*N11</f>
        <v>3.1577372679464921E-2</v>
      </c>
      <c r="P11">
        <f>B11*AVERAGE(Parameters!$B$8:$B$9)</f>
        <v>66.468379722063446</v>
      </c>
      <c r="Q11">
        <f>_xlfn.STDEV.S(Parameters!$B$8:$B$9)</f>
        <v>1.632890824042528E-2</v>
      </c>
      <c r="R11">
        <f>(P11-N11*H11)/F11</f>
        <v>1098.4415485427467</v>
      </c>
      <c r="T11">
        <f>(P11-N11*H11)/P11</f>
        <v>0.11777409001324794</v>
      </c>
    </row>
    <row r="12" spans="1:20" x14ac:dyDescent="0.25">
      <c r="A12" t="s">
        <v>121</v>
      </c>
      <c r="B12">
        <f>100</f>
        <v>100</v>
      </c>
      <c r="C12">
        <f>0.08</f>
        <v>0.08</v>
      </c>
      <c r="D12" s="1">
        <v>6.97</v>
      </c>
      <c r="E12" s="1">
        <v>0.222</v>
      </c>
      <c r="F12" s="1">
        <f>E12*Parameters!$B$10/1000</f>
        <v>7.1266904887259935E-3</v>
      </c>
      <c r="G12" s="1">
        <f>F12*SQRT((0.002/E12)^2+(Parameters!$C$10/Parameters!$B$10)^2)</f>
        <v>7.9390702534074816E-5</v>
      </c>
      <c r="H12" s="1">
        <v>100</v>
      </c>
      <c r="I12" s="1">
        <v>5</v>
      </c>
      <c r="J12" s="1">
        <f>'Count-&gt;Actual Activity'!F12</f>
        <v>2.9832136355657877</v>
      </c>
      <c r="K12" s="1">
        <f>'Count-&gt;Actual Activity'!G12</f>
        <v>0.15745067498955981</v>
      </c>
      <c r="L12" s="1">
        <v>5</v>
      </c>
      <c r="M12" s="1">
        <v>0.02</v>
      </c>
      <c r="N12">
        <f>J12/L12</f>
        <v>0.59664272711315758</v>
      </c>
      <c r="O12">
        <f>SQRT((M12/L12)^2+(K12/J12)^2)*N12</f>
        <v>3.1580442094558972E-2</v>
      </c>
      <c r="P12">
        <f>B12*AVERAGE(Parameters!$B$8:$B$9)</f>
        <v>66.468379722063446</v>
      </c>
      <c r="Q12">
        <f>_xlfn.STDEV.S(Parameters!$B$8:$B$9)</f>
        <v>1.632890824042528E-2</v>
      </c>
      <c r="R12">
        <f>(P12-N12*H12)/F12</f>
        <v>954.73586533768855</v>
      </c>
      <c r="T12">
        <f>(P12-N12*H12)/P12</f>
        <v>0.10236607299890503</v>
      </c>
    </row>
    <row r="13" spans="1:20" x14ac:dyDescent="0.25">
      <c r="A13" t="s">
        <v>122</v>
      </c>
      <c r="B13">
        <f>100</f>
        <v>100</v>
      </c>
      <c r="C13">
        <f>0.08</f>
        <v>0.08</v>
      </c>
      <c r="D13" s="1">
        <v>6.97</v>
      </c>
      <c r="E13" s="1">
        <v>0.222</v>
      </c>
      <c r="F13" s="1">
        <f>E13*Parameters!$B$10/1000</f>
        <v>7.1266904887259935E-3</v>
      </c>
      <c r="G13" s="1">
        <f>F13*SQRT((0.002/E13)^2+(Parameters!$C$10/Parameters!$B$10)^2)</f>
        <v>7.9390702534074816E-5</v>
      </c>
      <c r="H13" s="1">
        <v>100</v>
      </c>
      <c r="I13" s="1">
        <v>5</v>
      </c>
      <c r="J13" s="1">
        <f>'Count-&gt;Actual Activity'!F13</f>
        <v>2.9241350968481874</v>
      </c>
      <c r="K13" s="1">
        <f>'Count-&gt;Actual Activity'!G13</f>
        <v>0.15745067498955981</v>
      </c>
      <c r="L13" s="1">
        <v>5</v>
      </c>
      <c r="M13" s="1">
        <v>0.02</v>
      </c>
      <c r="N13">
        <f>J13/L13</f>
        <v>0.58482701936963744</v>
      </c>
      <c r="O13">
        <f>SQRT((M13/L13)^2+(K13/J13)^2)*N13</f>
        <v>3.1576905555612572E-2</v>
      </c>
      <c r="P13">
        <f>B13*AVERAGE(Parameters!$B$8:$B$9)</f>
        <v>66.468379722063446</v>
      </c>
      <c r="Q13">
        <f>_xlfn.STDEV.S(Parameters!$B$8:$B$9)</f>
        <v>1.632890824042528E-2</v>
      </c>
      <c r="R13">
        <f>(P13-N13*H13)/F13</f>
        <v>1120.5310231632168</v>
      </c>
      <c r="T13">
        <f>(P13-N13*H13)/P13</f>
        <v>0.12014250713635112</v>
      </c>
    </row>
  </sheetData>
  <conditionalFormatting sqref="J2:J13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M5" sqref="M5"/>
    </sheetView>
  </sheetViews>
  <sheetFormatPr defaultRowHeight="15" x14ac:dyDescent="0.25"/>
  <cols>
    <col min="1" max="1" width="14.140625" bestFit="1" customWidth="1"/>
  </cols>
  <sheetData>
    <row r="1" spans="1:12" x14ac:dyDescent="0.25">
      <c r="A1" t="s">
        <v>15</v>
      </c>
      <c r="B1" t="s">
        <v>29</v>
      </c>
      <c r="C1" t="s">
        <v>86</v>
      </c>
      <c r="D1" t="s">
        <v>31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131</v>
      </c>
      <c r="L1" t="s">
        <v>7</v>
      </c>
    </row>
    <row r="2" spans="1:12" x14ac:dyDescent="0.25">
      <c r="A2" t="s">
        <v>127</v>
      </c>
      <c r="B2">
        <f>AVERAGE('Bottle Results'!N2:N4)</f>
        <v>0.64446568395332338</v>
      </c>
      <c r="C2">
        <f>_xlfn.STDEV.S('Bottle Results'!N2:N4)</f>
        <v>2.223398787505055E-2</v>
      </c>
      <c r="D2" t="e">
        <f>AVERAGE('Bottle Results'!R2:R4)</f>
        <v>#DIV/0!</v>
      </c>
      <c r="E2" t="e">
        <f>_xlfn.STDEV.S('Bottle Results'!R2:R4)</f>
        <v>#DIV/0!</v>
      </c>
      <c r="F2">
        <f>AVERAGE('Bottle Results'!P2:P4)</f>
        <v>66.468379722063446</v>
      </c>
      <c r="G2">
        <f>AVERAGE('Bottle Results'!T2:T4)</f>
        <v>3.0417641218054108E-2</v>
      </c>
      <c r="H2">
        <f>_xlfn.STDEV.S('Bottle Results'!T2:T4)</f>
        <v>3.3450473695946281E-2</v>
      </c>
      <c r="I2">
        <f>AVERAGE('Bottle Results'!D2:D4)</f>
        <v>6.9833333333333334</v>
      </c>
      <c r="J2">
        <f>_xlfn.STDEV.S('Bottle Results'!D2:D4)</f>
        <v>1.1547005383792781E-2</v>
      </c>
      <c r="K2">
        <f>COUNT('Bottle Results'!J2:J4)</f>
        <v>3</v>
      </c>
    </row>
    <row r="3" spans="1:12" x14ac:dyDescent="0.25">
      <c r="A3" t="s">
        <v>128</v>
      </c>
      <c r="B3">
        <f>AVERAGE('Bottle Results'!N5:N7)</f>
        <v>0.6254273005681803</v>
      </c>
      <c r="C3">
        <f>_xlfn.STDEV.S('Bottle Results'!N5:N7)</f>
        <v>9.7783246685129756E-3</v>
      </c>
      <c r="D3">
        <f>AVERAGE('Bottle Results'!R5:R7)</f>
        <v>135.88119085287926</v>
      </c>
      <c r="E3">
        <f>_xlfn.STDEV.S('Bottle Results'!R5:R7)</f>
        <v>35.853166414458016</v>
      </c>
      <c r="F3">
        <f>AVERAGE('Bottle Results'!P5:P7)</f>
        <v>66.468379722063446</v>
      </c>
      <c r="G3">
        <f>AVERAGE('Bottle Results'!T5:T7)</f>
        <v>5.9060408598200574E-2</v>
      </c>
      <c r="H3">
        <f>_xlfn.STDEV.S('Bottle Results'!T5:T7)</f>
        <v>1.4711242713303475E-2</v>
      </c>
      <c r="I3">
        <f>AVERAGE('Bottle Results'!D5:D7)</f>
        <v>6.9933333333333332</v>
      </c>
      <c r="J3">
        <f>_xlfn.STDEV.S('Bottle Results'!D5:D7)</f>
        <v>4.0414518843273968E-2</v>
      </c>
      <c r="K3">
        <f>COUNT('Bottle Results'!J5:J7)</f>
        <v>3</v>
      </c>
    </row>
    <row r="4" spans="1:12" x14ac:dyDescent="0.25">
      <c r="A4" t="s">
        <v>129</v>
      </c>
      <c r="B4">
        <f>AVERAGE('Bottle Results'!N8:N10)</f>
        <v>0.6135231518984362</v>
      </c>
      <c r="C4">
        <f>_xlfn.STDEV.S('Bottle Results'!N8:N10)</f>
        <v>5.0031723238699198E-3</v>
      </c>
      <c r="D4">
        <f>AVERAGE('Bottle Results'!R8:R10)</f>
        <v>168.61313053915657</v>
      </c>
      <c r="E4">
        <f>_xlfn.STDEV.S('Bottle Results'!R8:R10)</f>
        <v>15.455001533589501</v>
      </c>
      <c r="F4">
        <f>AVERAGE('Bottle Results'!P8:P10)</f>
        <v>66.468379722063446</v>
      </c>
      <c r="G4">
        <f>AVERAGE('Bottle Results'!T8:T10)</f>
        <v>7.6969899877393846E-2</v>
      </c>
      <c r="H4">
        <f>_xlfn.STDEV.S('Bottle Results'!T8:T10)</f>
        <v>7.5271465090477607E-3</v>
      </c>
      <c r="I4">
        <f>AVERAGE('Bottle Results'!D8:D10)</f>
        <v>6.97</v>
      </c>
      <c r="J4">
        <f>_xlfn.STDEV.S('Bottle Results'!D8:D10)</f>
        <v>2.0000000000000018E-2</v>
      </c>
      <c r="K4">
        <f>COUNT('Bottle Results'!J8:J10)</f>
        <v>3</v>
      </c>
    </row>
    <row r="5" spans="1:12" x14ac:dyDescent="0.25">
      <c r="A5" t="s">
        <v>130</v>
      </c>
      <c r="B5">
        <f>AVERAGE('Bottle Results'!N11:N13)</f>
        <v>0.58929033811307296</v>
      </c>
      <c r="C5">
        <f>_xlfn.STDEV.S('Bottle Results'!N11:N13)</f>
        <v>6.4158228296112537E-3</v>
      </c>
      <c r="D5">
        <f>AVERAGE('Bottle Results'!R11:R13)</f>
        <v>1057.902812347884</v>
      </c>
      <c r="E5">
        <f>_xlfn.STDEV.S('Bottle Results'!R11:R13)</f>
        <v>90.025276666086697</v>
      </c>
      <c r="F5">
        <f>AVERAGE('Bottle Results'!P11:P13)</f>
        <v>66.468379722063446</v>
      </c>
      <c r="G5">
        <f>AVERAGE('Bottle Results'!T11:T13)</f>
        <v>0.11342755671616804</v>
      </c>
      <c r="H5">
        <f>_xlfn.STDEV.S('Bottle Results'!T11:T13)</f>
        <v>9.6524435475017385E-3</v>
      </c>
      <c r="I5">
        <f>AVERAGE('Bottle Results'!D11:D13)</f>
        <v>6.9733333333333327</v>
      </c>
      <c r="J5">
        <f>_xlfn.STDEV.S('Bottle Results'!D3:D11)</f>
        <v>2.522124325070265E-2</v>
      </c>
      <c r="K5">
        <f>COUNT('Bottle Results'!J11:J13)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2017-07-13T18:11:21Z</dcterms:modified>
</cp:coreProperties>
</file>