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activeTab="6" xr2:uid="{00000000-000D-0000-FFFF-FFFF00000000}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Rd Calculations" sheetId="9" r:id="rId6"/>
    <sheet name="Averaged Results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C4" i="9" l="1"/>
  <c r="C3" i="9"/>
  <c r="C2" i="9"/>
  <c r="P3" i="8" l="1"/>
  <c r="L7" i="8" l="1"/>
  <c r="L6" i="8"/>
  <c r="L5" i="8"/>
  <c r="L4" i="8"/>
  <c r="L3" i="8"/>
  <c r="L2" i="8"/>
  <c r="J5" i="8"/>
  <c r="Z3" i="5"/>
  <c r="Z4" i="5"/>
  <c r="Z5" i="5"/>
  <c r="K3" i="8" s="1"/>
  <c r="Z6" i="5"/>
  <c r="Z7" i="5"/>
  <c r="Z8" i="5"/>
  <c r="Z9" i="5"/>
  <c r="K4" i="8" s="1"/>
  <c r="Z10" i="5"/>
  <c r="Z11" i="5"/>
  <c r="K5" i="8" s="1"/>
  <c r="Z12" i="5"/>
  <c r="Z13" i="5"/>
  <c r="Z14" i="5"/>
  <c r="K6" i="8" s="1"/>
  <c r="Z15" i="5"/>
  <c r="Z16" i="5"/>
  <c r="Z17" i="5"/>
  <c r="K7" i="8" s="1"/>
  <c r="Z18" i="5"/>
  <c r="Z19" i="5"/>
  <c r="Z2" i="5"/>
  <c r="K2" i="8" s="1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F12" i="2"/>
  <c r="F13" i="2"/>
  <c r="F14" i="2"/>
  <c r="F15" i="2"/>
  <c r="F16" i="2"/>
  <c r="F17" i="2"/>
  <c r="F18" i="2"/>
  <c r="F19" i="2"/>
  <c r="T5" i="5" l="1"/>
  <c r="F3" i="8"/>
  <c r="W10" i="5"/>
  <c r="F4" i="8"/>
  <c r="U10" i="5"/>
  <c r="F6" i="8"/>
  <c r="F2" i="8"/>
  <c r="F5" i="8"/>
  <c r="I18" i="5"/>
  <c r="Q18" i="5" s="1"/>
  <c r="F3" i="9" s="1"/>
  <c r="I19" i="5"/>
  <c r="Q19" i="5" s="1"/>
  <c r="F4" i="9" s="1"/>
  <c r="I3" i="5"/>
  <c r="Q3" i="5" s="1"/>
  <c r="U3" i="5" s="1"/>
  <c r="I9" i="5"/>
  <c r="Q9" i="5" s="1"/>
  <c r="U9" i="5" s="1"/>
  <c r="I16" i="5"/>
  <c r="Q16" i="5" s="1"/>
  <c r="I8" i="5"/>
  <c r="Q8" i="5" s="1"/>
  <c r="I15" i="5"/>
  <c r="Q15" i="5" s="1"/>
  <c r="I7" i="5"/>
  <c r="Q7" i="5" s="1"/>
  <c r="W7" i="5" s="1"/>
  <c r="I14" i="5"/>
  <c r="Q14" i="5" s="1"/>
  <c r="D2" i="9" s="1"/>
  <c r="I6" i="5"/>
  <c r="I13" i="5"/>
  <c r="Q13" i="5" s="1"/>
  <c r="W13" i="5" s="1"/>
  <c r="I5" i="5"/>
  <c r="Q5" i="5" s="1"/>
  <c r="I4" i="5"/>
  <c r="Q4" i="5" s="1"/>
  <c r="U4" i="5" s="1"/>
  <c r="I17" i="5"/>
  <c r="Q17" i="5" s="1"/>
  <c r="F2" i="9" s="1"/>
  <c r="I12" i="5"/>
  <c r="Q12" i="5" s="1"/>
  <c r="U12" i="5" s="1"/>
  <c r="I11" i="5"/>
  <c r="Q11" i="5" s="1"/>
  <c r="W11" i="5" s="1"/>
  <c r="F2" i="2"/>
  <c r="W5" i="5" l="1"/>
  <c r="C3" i="8"/>
  <c r="B3" i="8"/>
  <c r="W16" i="5"/>
  <c r="D4" i="9"/>
  <c r="Q6" i="5"/>
  <c r="W6" i="5" s="1"/>
  <c r="U15" i="5"/>
  <c r="D3" i="9"/>
  <c r="S18" i="5"/>
  <c r="U18" i="5" s="1"/>
  <c r="H3" i="9" s="1"/>
  <c r="K3" i="9" s="1"/>
  <c r="B3" i="9"/>
  <c r="H3" i="8"/>
  <c r="G3" i="8"/>
  <c r="W4" i="5"/>
  <c r="U5" i="5"/>
  <c r="W15" i="5"/>
  <c r="B7" i="8"/>
  <c r="P4" i="8" s="1"/>
  <c r="C7" i="8"/>
  <c r="B4" i="8"/>
  <c r="C4" i="8"/>
  <c r="U13" i="5"/>
  <c r="W12" i="5"/>
  <c r="G5" i="8" s="1"/>
  <c r="W3" i="5"/>
  <c r="B6" i="8"/>
  <c r="C6" i="8"/>
  <c r="U8" i="5"/>
  <c r="W8" i="5"/>
  <c r="U16" i="5"/>
  <c r="W9" i="5"/>
  <c r="W18" i="5"/>
  <c r="U7" i="5"/>
  <c r="W14" i="5"/>
  <c r="C5" i="8"/>
  <c r="B5" i="8"/>
  <c r="U11" i="5"/>
  <c r="U14" i="5"/>
  <c r="I2" i="5"/>
  <c r="Q2" i="5" s="1"/>
  <c r="O43" i="7"/>
  <c r="O42" i="7"/>
  <c r="O41" i="7"/>
  <c r="O40" i="7"/>
  <c r="O39" i="7"/>
  <c r="O38" i="7"/>
  <c r="K8" i="7"/>
  <c r="H8" i="7"/>
  <c r="I8" i="7" s="1"/>
  <c r="E8" i="7"/>
  <c r="D8" i="7"/>
  <c r="L8" i="7" s="1"/>
  <c r="L7" i="7"/>
  <c r="K7" i="7"/>
  <c r="I7" i="7"/>
  <c r="E7" i="7"/>
  <c r="D7" i="7"/>
  <c r="L6" i="7"/>
  <c r="K6" i="7"/>
  <c r="H6" i="7"/>
  <c r="I6" i="7" s="1"/>
  <c r="J6" i="7" s="1"/>
  <c r="E6" i="7"/>
  <c r="D6" i="7"/>
  <c r="K5" i="7"/>
  <c r="H5" i="7"/>
  <c r="I5" i="7" s="1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U6" i="5" l="1"/>
  <c r="T18" i="5"/>
  <c r="B2" i="8"/>
  <c r="S17" i="5"/>
  <c r="W17" i="5" s="1"/>
  <c r="B2" i="9"/>
  <c r="I3" i="9"/>
  <c r="J3" i="9"/>
  <c r="B4" i="9"/>
  <c r="S19" i="5"/>
  <c r="W19" i="5" s="1"/>
  <c r="E3" i="8"/>
  <c r="D3" i="8"/>
  <c r="H5" i="8"/>
  <c r="G6" i="8"/>
  <c r="H6" i="8"/>
  <c r="G4" i="8"/>
  <c r="H4" i="8"/>
  <c r="C2" i="8"/>
  <c r="U2" i="5"/>
  <c r="W2" i="5"/>
  <c r="E6" i="8"/>
  <c r="D6" i="8"/>
  <c r="P2" i="8" s="1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G7" i="8" l="1"/>
  <c r="H7" i="8"/>
  <c r="J4" i="9"/>
  <c r="I4" i="9"/>
  <c r="U17" i="5"/>
  <c r="H2" i="9" s="1"/>
  <c r="K2" i="9" s="1"/>
  <c r="U19" i="5"/>
  <c r="H4" i="9" s="1"/>
  <c r="K4" i="9" s="1"/>
  <c r="F7" i="8"/>
  <c r="T17" i="5"/>
  <c r="T19" i="5"/>
  <c r="J2" i="9"/>
  <c r="I2" i="9"/>
  <c r="G2" i="8"/>
  <c r="H2" i="8"/>
  <c r="E2" i="8"/>
  <c r="D2" i="8"/>
  <c r="N6" i="7"/>
  <c r="J9" i="7"/>
  <c r="N5" i="7"/>
  <c r="N3" i="7"/>
  <c r="N7" i="7"/>
  <c r="G17" i="2" l="1"/>
  <c r="J17" i="5" s="1"/>
  <c r="R17" i="5" s="1"/>
  <c r="G3" i="2"/>
  <c r="J3" i="5" s="1"/>
  <c r="R3" i="5" s="1"/>
  <c r="G15" i="2"/>
  <c r="J15" i="5" s="1"/>
  <c r="R15" i="5" s="1"/>
  <c r="G13" i="2"/>
  <c r="J13" i="5" s="1"/>
  <c r="R13" i="5" s="1"/>
  <c r="G11" i="2"/>
  <c r="J11" i="5" s="1"/>
  <c r="R11" i="5" s="1"/>
  <c r="G12" i="2"/>
  <c r="J12" i="5" s="1"/>
  <c r="R12" i="5" s="1"/>
  <c r="G9" i="2"/>
  <c r="J9" i="5" s="1"/>
  <c r="R9" i="5" s="1"/>
  <c r="G7" i="2"/>
  <c r="J7" i="5" s="1"/>
  <c r="R7" i="5" s="1"/>
  <c r="G5" i="2"/>
  <c r="J5" i="5" s="1"/>
  <c r="R5" i="5" s="1"/>
  <c r="G6" i="2"/>
  <c r="J6" i="5" s="1"/>
  <c r="R6" i="5" s="1"/>
  <c r="G18" i="2"/>
  <c r="J18" i="5" s="1"/>
  <c r="R18" i="5" s="1"/>
  <c r="G19" i="2"/>
  <c r="J19" i="5" s="1"/>
  <c r="R19" i="5" s="1"/>
  <c r="G8" i="2"/>
  <c r="J8" i="5" s="1"/>
  <c r="R8" i="5" s="1"/>
  <c r="G10" i="2"/>
  <c r="J10" i="5" s="1"/>
  <c r="R10" i="5" s="1"/>
  <c r="G16" i="2"/>
  <c r="J16" i="5" s="1"/>
  <c r="R16" i="5" s="1"/>
  <c r="G14" i="2"/>
  <c r="J14" i="5" s="1"/>
  <c r="R14" i="5" s="1"/>
  <c r="G4" i="2"/>
  <c r="J4" i="5" s="1"/>
  <c r="R4" i="5" s="1"/>
  <c r="G2" i="2"/>
  <c r="J2" i="5" s="1"/>
  <c r="R2" i="5" s="1"/>
  <c r="E7" i="8"/>
  <c r="D7" i="8"/>
</calcChain>
</file>

<file path=xl/sharedStrings.xml><?xml version="1.0" encoding="utf-8"?>
<sst xmlns="http://schemas.openxmlformats.org/spreadsheetml/2006/main" count="354" uniqueCount="165">
  <si>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</si>
  <si>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</si>
  <si>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</si>
  <si>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</si>
  <si>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</si>
  <si>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</si>
  <si>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</si>
  <si>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</si>
  <si>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</si>
  <si>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</si>
  <si>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</si>
  <si>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</si>
  <si>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</si>
  <si>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</si>
  <si>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</si>
  <si>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</si>
  <si>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</si>
  <si>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</si>
  <si>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</si>
  <si>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</si>
  <si>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</si>
  <si>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</si>
  <si>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</si>
  <si>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</si>
  <si>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</si>
  <si>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</si>
  <si>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</si>
  <si>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</si>
  <si>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</si>
  <si>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</si>
  <si>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</si>
  <si>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</si>
  <si>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</si>
  <si>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</si>
  <si>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</si>
  <si>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</si>
  <si>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</si>
  <si>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</si>
  <si>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</si>
  <si>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</si>
  <si>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</si>
  <si>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</si>
  <si>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</si>
  <si>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</si>
  <si>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</si>
  <si>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</si>
  <si>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</si>
  <si>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</si>
  <si>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</si>
  <si>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</si>
  <si>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</si>
  <si>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</si>
  <si>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</si>
  <si>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</si>
  <si>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</si>
  <si>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</si>
  <si>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</si>
  <si>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</si>
  <si>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</si>
  <si>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</si>
  <si>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</si>
  <si>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</si>
  <si>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</si>
  <si>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</si>
  <si>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</si>
  <si>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</si>
  <si>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</si>
  <si>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</si>
  <si>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</si>
  <si>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</si>
  <si>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</si>
  <si>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</si>
  <si>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</si>
  <si>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</si>
  <si>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</si>
  <si>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</si>
  <si>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</si>
  <si>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</si>
  <si>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</si>
  <si>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</si>
  <si>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</si>
  <si>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</si>
  <si>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</si>
  <si>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</si>
  <si>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</si>
  <si>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</si>
  <si>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</si>
  <si>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</si>
  <si>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</si>
  <si>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</si>
  <si>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</si>
  <si>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</si>
  <si>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</si>
  <si>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</si>
  <si>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</si>
  <si>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</si>
  <si>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</si>
  <si>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</si>
  <si>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</si>
  <si>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</si>
  <si>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</si>
  <si>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</si>
  <si>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</si>
  <si>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</si>
  <si>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</si>
  <si>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</si>
  <si>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</si>
  <si>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</si>
  <si>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</si>
  <si>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</si>
  <si>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</si>
  <si>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</si>
  <si>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</si>
  <si>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</si>
  <si>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</si>
  <si>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</si>
  <si>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</si>
  <si>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</si>
  <si>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</si>
  <si>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</si>
  <si>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</si>
  <si>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</si>
  <si>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</si>
  <si>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</si>
  <si>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</si>
  <si>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</si>
  <si>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</si>
  <si>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</si>
  <si>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</si>
  <si>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</si>
  <si>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</si>
  <si>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</si>
  <si>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</si>
  <si>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</si>
  <si>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</si>
  <si>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 (min)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</si>
  <si>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</si>
  <si>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</si>
  <si>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</si>
  <si>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</si>
  <si>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</si>
  <si>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</si>
  <si>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</si>
  <si>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</si>
  <si>
    <t>Rd</t>
  </si>
  <si>
    <t>Bottle</t>
  </si>
  <si>
    <t>A</t>
  </si>
  <si>
    <t>C</t>
  </si>
  <si>
    <t>B</t>
  </si>
  <si>
    <t>Vol Left on Solid</t>
  </si>
  <si>
    <t>Ra Free (Desorb)</t>
  </si>
  <si>
    <t>Ra Free Adsorb</t>
  </si>
  <si>
    <t>Exp. Vol (Desorb)</t>
  </si>
  <si>
    <t>Ra sorbed (Bq/g)</t>
  </si>
  <si>
    <t>Ra sorbed (Desorption expt)</t>
  </si>
  <si>
    <t>Rd by Sajih</t>
  </si>
  <si>
    <t>Kd adsorb</t>
  </si>
  <si>
    <t>Kd desorb</t>
  </si>
  <si>
    <t>RaMontpH7_T1</t>
  </si>
  <si>
    <t>RaMontpH7_T2</t>
  </si>
  <si>
    <t>RaMontpH7_T3</t>
  </si>
  <si>
    <t>RaMontpH7_T4</t>
  </si>
  <si>
    <t>RaMontpH7_T5</t>
  </si>
  <si>
    <t>RaMontpH7_Desorb</t>
  </si>
  <si>
    <t>Experiment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</si>
</sst>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0.4739107033915938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7A0-BD2E-557AC49E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7672"/>
        <c:axId val="198598064"/>
      </c:scatterChart>
      <c:valAx>
        <c:axId val="19859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064"/>
        <c:crosses val="autoZero"/>
        <c:crossBetween val="midCat"/>
      </c:valAx>
      <c:valAx>
        <c:axId val="198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114300</xdr:rowOff>
    </xdr:from>
    <xdr:to>
      <xdr:col>9</xdr:col>
      <xdr:colOff>152400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14" sqref="E14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  <col min="26" max="26" width="23.42578125" bestFit="1" customWidth="1"/>
  </cols>
  <sheetData>
    <row r="1" spans="1:27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135</v>
      </c>
      <c r="AA1" t="s">
        <v>144</v>
      </c>
    </row>
    <row r="2" spans="1:27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206.34929577464791</v>
      </c>
      <c r="T2">
        <f>SQRT((C2/B2)^2+(Parameters!$C$6/Parameters!$B$6)^2)*'Bottle Results'!S2</f>
        <v>10.361050850528468</v>
      </c>
      <c r="U2">
        <f t="shared" ref="U2:U19" si="0">(S2-Q2*G2)/E2</f>
        <v>5288.2648315960541</v>
      </c>
      <c r="W2">
        <f t="shared" ref="W2:W19" si="1">(S2-Q2*G2)/S2</f>
        <v>0.75858092186653736</v>
      </c>
      <c r="X2" s="24">
        <v>42504.5625</v>
      </c>
      <c r="Y2" s="24">
        <v>42504.68472222222</v>
      </c>
      <c r="Z2" s="26">
        <f>Y2-X2</f>
        <v>0.12222222222044365</v>
      </c>
    </row>
    <row r="3" spans="1:27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206.34929577464791</v>
      </c>
      <c r="T3">
        <f>SQRT((C3/B3)^2+(Parameters!$C$6/Parameters!$B$6)^2)*'Bottle Results'!S3</f>
        <v>10.361050850528468</v>
      </c>
      <c r="U3">
        <f t="shared" si="0"/>
        <v>5260.9769568485544</v>
      </c>
      <c r="W3">
        <f t="shared" si="1"/>
        <v>0.75976568141672607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7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206.34929577464791</v>
      </c>
      <c r="T4">
        <f>SQRT((C4/B4)^2+(Parameters!$C$6/Parameters!$B$6)^2)*'Bottle Results'!S4</f>
        <v>10.361050850528468</v>
      </c>
      <c r="U4">
        <f t="shared" si="0"/>
        <v>5334.3687988044012</v>
      </c>
      <c r="W4">
        <f t="shared" si="1"/>
        <v>0.76519435577356376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7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206.34929577464791</v>
      </c>
      <c r="T5">
        <f>SQRT((C5/B5)^2+(Parameters!$C$6/Parameters!$B$6)^2)*'Bottle Results'!S5</f>
        <v>10.361050850528468</v>
      </c>
      <c r="U5">
        <f t="shared" si="0"/>
        <v>5255.0829062558914</v>
      </c>
      <c r="W5">
        <f t="shared" si="1"/>
        <v>0.77674134064331857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7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206.34929577464791</v>
      </c>
      <c r="T6">
        <f>SQRT((C6/B6)^2+(Parameters!$C$6/Parameters!$B$6)^2)*'Bottle Results'!S6</f>
        <v>10.361050850528468</v>
      </c>
      <c r="U6">
        <f t="shared" si="0"/>
        <v>-3423.370667097282</v>
      </c>
      <c r="W6">
        <f t="shared" si="1"/>
        <v>-0.51097735105307118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7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206.34929577464791</v>
      </c>
      <c r="T7">
        <f>SQRT((C7/B7)^2+(Parameters!$C$6/Parameters!$B$6)^2)*'Bottle Results'!S7</f>
        <v>10.361050850528468</v>
      </c>
      <c r="U7">
        <f t="shared" si="0"/>
        <v>5254.5474076724122</v>
      </c>
      <c r="W7">
        <f t="shared" si="1"/>
        <v>0.76393002282074951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7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206.34929577464791</v>
      </c>
      <c r="T8">
        <f>SQRT((C8/B8)^2+(Parameters!$C$6/Parameters!$B$6)^2)*'Bottle Results'!S8</f>
        <v>10.361050850528468</v>
      </c>
      <c r="U8">
        <f t="shared" si="0"/>
        <v>5283.8921109696212</v>
      </c>
      <c r="W8">
        <f t="shared" si="1"/>
        <v>0.77843890656597792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7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206.34929577464791</v>
      </c>
      <c r="T9">
        <f>SQRT((C9/B9)^2+(Parameters!$C$6/Parameters!$B$6)^2)*'Bottle Results'!S9</f>
        <v>10.361050850528468</v>
      </c>
      <c r="U9">
        <f t="shared" si="0"/>
        <v>5289.6081255725639</v>
      </c>
      <c r="W9">
        <f t="shared" si="1"/>
        <v>0.75108333904145874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7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206.34929577464791</v>
      </c>
      <c r="T10">
        <f>SQRT((C10/B10)^2+(Parameters!$C$6/Parameters!$B$6)^2)*'Bottle Results'!S10</f>
        <v>10.361050850528468</v>
      </c>
      <c r="U10">
        <f t="shared" si="0"/>
        <v>5258.1480468247064</v>
      </c>
      <c r="W10">
        <f t="shared" si="1"/>
        <v>0.76190532179841153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7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206.34929577464791</v>
      </c>
      <c r="T11">
        <f>SQRT((C11/B11)^2+(Parameters!$C$6/Parameters!$B$6)^2)*'Bottle Results'!S11</f>
        <v>10.361050850528468</v>
      </c>
      <c r="U11">
        <f t="shared" si="0"/>
        <v>4828.7885912682259</v>
      </c>
      <c r="W11">
        <f t="shared" si="1"/>
        <v>0.68097032983995964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7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206.34929577464791</v>
      </c>
      <c r="T12">
        <f>SQRT((C12/B12)^2+(Parameters!$C$6/Parameters!$B$6)^2)*'Bottle Results'!S12</f>
        <v>10.361050850528468</v>
      </c>
      <c r="U12">
        <f t="shared" si="0"/>
        <v>5182.3416718723511</v>
      </c>
      <c r="W12">
        <f t="shared" si="1"/>
        <v>0.76850107272707757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7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206.34929577464791</v>
      </c>
      <c r="T13">
        <f>SQRT((C13/B13)^2+(Parameters!$C$6/Parameters!$B$6)^2)*'Bottle Results'!S13</f>
        <v>10.361050850528468</v>
      </c>
      <c r="U13">
        <f t="shared" si="0"/>
        <v>5358.2458990275663</v>
      </c>
      <c r="W13">
        <f t="shared" si="1"/>
        <v>0.76342605793745999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7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206.34929577464791</v>
      </c>
      <c r="T14">
        <f>SQRT((C14/B14)^2+(Parameters!$C$6/Parameters!$B$6)^2)*'Bottle Results'!S14</f>
        <v>10.361050850528468</v>
      </c>
      <c r="U14">
        <f t="shared" si="0"/>
        <v>4772.3889874588385</v>
      </c>
      <c r="W14">
        <f t="shared" si="1"/>
        <v>0.67532945974278957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7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206.34929577464791</v>
      </c>
      <c r="T15">
        <f>SQRT((C15/B15)^2+(Parameters!$C$6/Parameters!$B$6)^2)*'Bottle Results'!S15</f>
        <v>10.361050850528468</v>
      </c>
      <c r="U15">
        <f t="shared" si="0"/>
        <v>4960.0835880202003</v>
      </c>
      <c r="W15">
        <f t="shared" si="1"/>
        <v>0.72111953220868652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7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206.34929577464791</v>
      </c>
      <c r="T16">
        <f>SQRT((C16/B16)^2+(Parameters!$C$6/Parameters!$B$6)^2)*'Bottle Results'!S16</f>
        <v>10.361050850528468</v>
      </c>
      <c r="U16">
        <f t="shared" si="0"/>
        <v>4755.0424244940623</v>
      </c>
      <c r="W16">
        <f t="shared" si="1"/>
        <v>0.6751791544267205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139.35375843379808</v>
      </c>
      <c r="T17" t="e">
        <f>SQRT((C17/B17)^2+(Parameters!$C$6/Parameters!$B$6)^2)*'Bottle Results'!S17</f>
        <v>#DIV/0!</v>
      </c>
      <c r="U17">
        <f t="shared" si="0"/>
        <v>-2376.0381763505352</v>
      </c>
      <c r="W17">
        <f t="shared" si="1"/>
        <v>-0.49787185885191393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148.802507640606</v>
      </c>
      <c r="T18" t="e">
        <f>SQRT((C18/B18)^2+(Parameters!$C$6/Parameters!$B$6)^2)*'Bottle Results'!S18</f>
        <v>#DIV/0!</v>
      </c>
      <c r="U18">
        <f t="shared" si="0"/>
        <v>-2824.5528233315763</v>
      </c>
      <c r="W18">
        <f t="shared" si="1"/>
        <v>-0.56945669830112411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139.32274303767602</v>
      </c>
      <c r="T19" t="e">
        <f>SQRT((C19/B19)^2+(Parameters!$C$6/Parameters!$B$6)^2)*'Bottle Results'!S19</f>
        <v>#DIV/0!</v>
      </c>
      <c r="U19">
        <f t="shared" si="0"/>
        <v>-2903.5530780599938</v>
      </c>
      <c r="W19">
        <f t="shared" si="1"/>
        <v>-0.61062611410221701</v>
      </c>
      <c r="X19" s="24">
        <v>42515.486111111109</v>
      </c>
      <c r="Y19" s="24">
        <v>42516.472916666666</v>
      </c>
      <c r="Z19" s="26">
        <f t="shared" si="4"/>
        <v>0.98680555555620231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workbookViewId="0">
      <selection activeCell="J2" sqref="J2"/>
    </sheetView>
  </sheetViews>
  <sheetFormatPr defaultRowHeight="15" x14ac:dyDescent="0.25"/>
  <cols>
    <col min="2" max="2" width="9.7109375" bestFit="1" customWidth="1"/>
    <col min="4" max="4" width="14.42578125" bestFit="1" customWidth="1"/>
    <col min="5" max="5" width="15.5703125" bestFit="1" customWidth="1"/>
    <col min="6" max="6" width="15.85546875" bestFit="1" customWidth="1"/>
    <col min="7" max="7" width="16.42578125" bestFit="1" customWidth="1"/>
    <col min="8" max="8" width="26.42578125" bestFit="1" customWidth="1"/>
  </cols>
  <sheetData>
    <row r="1" spans="1:11" x14ac:dyDescent="0.25">
      <c r="A1" t="s">
        <v>145</v>
      </c>
      <c r="B1" t="s">
        <v>153</v>
      </c>
      <c r="C1" t="s">
        <v>136</v>
      </c>
      <c r="D1" t="s">
        <v>151</v>
      </c>
      <c r="E1" t="s">
        <v>149</v>
      </c>
      <c r="F1" t="s">
        <v>150</v>
      </c>
      <c r="G1" t="s">
        <v>152</v>
      </c>
      <c r="H1" t="s">
        <v>154</v>
      </c>
      <c r="I1" t="s">
        <v>155</v>
      </c>
      <c r="J1" t="s">
        <v>156</v>
      </c>
      <c r="K1" t="s">
        <v>157</v>
      </c>
    </row>
    <row r="2" spans="1:11" x14ac:dyDescent="0.25">
      <c r="A2" t="s">
        <v>146</v>
      </c>
      <c r="B2">
        <f>'Bottle Results'!U14</f>
        <v>4772.3889874588385</v>
      </c>
      <c r="C2">
        <f>'Bottle Results'!E14</f>
        <v>2.92E-2</v>
      </c>
      <c r="D2">
        <f>'Bottle Results'!Q14</f>
        <v>0.66995537340849842</v>
      </c>
      <c r="E2">
        <v>10</v>
      </c>
      <c r="F2">
        <f>'Bottle Results'!Q17</f>
        <v>2.0873407318323371</v>
      </c>
      <c r="G2">
        <v>100</v>
      </c>
      <c r="H2">
        <f>'Bottle Results'!U17</f>
        <v>-2376.0381763505352</v>
      </c>
      <c r="I2">
        <f>(B2*C2+D2*E2-D2*G2)/F2*C2</f>
        <v>1.1059464273103623</v>
      </c>
      <c r="J2">
        <f>B2/D2</f>
        <v>7123.4431081261337</v>
      </c>
      <c r="K2">
        <f>H2/F2</f>
        <v>-1138.3087294352608</v>
      </c>
    </row>
    <row r="3" spans="1:11" x14ac:dyDescent="0.25">
      <c r="A3" t="s">
        <v>148</v>
      </c>
      <c r="B3">
        <f>'Bottle Results'!U15</f>
        <v>4960.0835880202003</v>
      </c>
      <c r="C3">
        <f>'Bottle Results'!E15</f>
        <v>0.03</v>
      </c>
      <c r="D3">
        <f>'Bottle Results'!Q15</f>
        <v>0.57546788134041926</v>
      </c>
      <c r="E3">
        <v>10</v>
      </c>
      <c r="F3">
        <f>'Bottle Results'!Q18</f>
        <v>2.3353909234055328</v>
      </c>
      <c r="G3">
        <v>100</v>
      </c>
      <c r="H3">
        <f>'Bottle Results'!U18</f>
        <v>-2824.5528233315763</v>
      </c>
      <c r="I3">
        <f>(B3*C3+D3*E3-D3*G3)/F3*C3</f>
        <v>1.2461776400822646</v>
      </c>
      <c r="J3">
        <f>B3/D3</f>
        <v>8619.2188110774023</v>
      </c>
      <c r="K3">
        <f>H3/F3</f>
        <v>-1209.456110762276</v>
      </c>
    </row>
    <row r="4" spans="1:11" x14ac:dyDescent="0.25">
      <c r="A4" t="s">
        <v>147</v>
      </c>
      <c r="B4">
        <f>'Bottle Results'!U16</f>
        <v>4755.0424244940623</v>
      </c>
      <c r="C4">
        <f>'Bottle Results'!E16</f>
        <v>2.93E-2</v>
      </c>
      <c r="D4">
        <f>'Bottle Results'!Q16</f>
        <v>0.67026552736971901</v>
      </c>
      <c r="E4">
        <v>10</v>
      </c>
      <c r="F4">
        <f>'Bottle Results'!Q19</f>
        <v>2.2439684822483383</v>
      </c>
      <c r="G4">
        <v>100</v>
      </c>
      <c r="H4">
        <f>'Bottle Results'!U19</f>
        <v>-2903.5530780599938</v>
      </c>
      <c r="I4">
        <f>(B4*C4+D4*E4-D4*G4)/F4*C4</f>
        <v>1.0315056533284215</v>
      </c>
      <c r="J4">
        <f>B4/D4</f>
        <v>7094.2667201668228</v>
      </c>
      <c r="K4">
        <f>H4/F4</f>
        <v>-1293.9366577692688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"/>
  <sheetViews>
    <sheetView tabSelected="1" workbookViewId="0">
      <selection activeCell="K2" sqref="K2"/>
    </sheetView>
  </sheetViews>
  <sheetFormatPr defaultRowHeight="15" x14ac:dyDescent="0.25"/>
  <cols>
    <col min="1" max="1" width="18.85546875" bestFit="1" customWidth="1"/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164</v>
      </c>
      <c r="L1" t="s">
        <v>136</v>
      </c>
      <c r="M1" t="s">
        <v>137</v>
      </c>
      <c r="O1" t="s">
        <v>138</v>
      </c>
      <c r="P1">
        <v>90</v>
      </c>
      <c r="Q1" t="s">
        <v>141</v>
      </c>
    </row>
    <row r="2" spans="1:17" x14ac:dyDescent="0.25">
      <c r="A2" t="s">
        <v>158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5294.5368624163357</v>
      </c>
      <c r="E2">
        <f>_xlfn.STDEV.S('Bottle Results'!U2:U4)</f>
        <v>37.09574631107894</v>
      </c>
      <c r="F2">
        <f>AVERAGE('Bottle Results'!S2:S4)</f>
        <v>206.34929577464791</v>
      </c>
      <c r="G2">
        <f>AVERAGE('Bottle Results'!W2:W4)</f>
        <v>0.76118031968560906</v>
      </c>
      <c r="H2">
        <f>_xlfn.STDEV.S('Bottle Results'!W2:W4)</f>
        <v>3.5263689660177118E-3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139</v>
      </c>
      <c r="P2">
        <f>B6*(100-P1)+D6*L6</f>
        <v>148.84619344013095</v>
      </c>
      <c r="Q2" t="s">
        <v>140</v>
      </c>
    </row>
    <row r="3" spans="1:17" x14ac:dyDescent="0.25">
      <c r="A3" t="s">
        <v>159</v>
      </c>
      <c r="B3">
        <f>AVERAGE('Bottle Results'!Q5,'Bottle Results'!Q7)</f>
        <v>0.4739107033915938</v>
      </c>
      <c r="C3">
        <f>_xlfn.STDEV.S('Bottle Results'!Q5,'Bottle Results'!Q7)</f>
        <v>1.8693120197463428E-2</v>
      </c>
      <c r="D3">
        <f>AVERAGE('Bottle Results'!U5,'Bottle Results'!U7)</f>
        <v>5254.8151569641523</v>
      </c>
      <c r="E3">
        <f>_xlfn.STDEV.S('Bottle Results'!U5,'Bottle Results'!U7)</f>
        <v>0.37865467969396022</v>
      </c>
      <c r="F3">
        <f>AVERAGE('Bottle Results'!S5,'Bottle Results'!S7)</f>
        <v>206.34929577464791</v>
      </c>
      <c r="G3">
        <f>AVERAGE('Bottle Results'!W5,'Bottle Results'!W7)</f>
        <v>0.77033568173203404</v>
      </c>
      <c r="H3">
        <f>_xlfn.STDEV.S('Bottle Results'!W5,'Bottle Results'!W7)</f>
        <v>9.0589697082746543E-3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142</v>
      </c>
      <c r="P3">
        <f>100</f>
        <v>100</v>
      </c>
    </row>
    <row r="4" spans="1:17" x14ac:dyDescent="0.25">
      <c r="A4" t="s">
        <v>160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5277.2160944556308</v>
      </c>
      <c r="E4">
        <f>_xlfn.STDEV.S('Bottle Results'!U8:U10)</f>
        <v>16.75890915533158</v>
      </c>
      <c r="F4">
        <f>AVERAGE('Bottle Results'!S8:S10)</f>
        <v>206.34929577464791</v>
      </c>
      <c r="G4">
        <f>AVERAGE('Bottle Results'!W8:W10)</f>
        <v>0.76380918913528273</v>
      </c>
      <c r="H4">
        <f>_xlfn.STDEV.S('Bottle Results'!W8:W10)</f>
        <v>1.3776803031706442E-2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143</v>
      </c>
      <c r="P4">
        <f>P3*B7</f>
        <v>222.22333791620693</v>
      </c>
    </row>
    <row r="5" spans="1:17" x14ac:dyDescent="0.25">
      <c r="A5" t="s">
        <v>161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5123.1253873893811</v>
      </c>
      <c r="E5">
        <f>_xlfn.STDEV.S('Bottle Results'!U11:U13)</f>
        <v>269.65011857204559</v>
      </c>
      <c r="F5">
        <f>AVERAGE('Bottle Results'!S11:S13)</f>
        <v>206.34929577464791</v>
      </c>
      <c r="G5">
        <f>AVERAGE('Bottle Results'!W11:W13)</f>
        <v>0.7376324868348324</v>
      </c>
      <c r="H5">
        <f>_xlfn.STDEV.S('Bottle Results'!W11:W13)</f>
        <v>4.9136432209333385E-2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162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4829.1716666577004</v>
      </c>
      <c r="E6">
        <f>_xlfn.STDEV.S('Bottle Results'!U14:U16)</f>
        <v>113.70432787624559</v>
      </c>
      <c r="F6">
        <f>AVERAGE('Bottle Results'!S14:S16)</f>
        <v>206.34929577464791</v>
      </c>
      <c r="G6">
        <f>AVERAGE('Bottle Results'!W14:W16)</f>
        <v>0.69054271545939871</v>
      </c>
      <c r="H6">
        <f>_xlfn.STDEV.S('Bottle Results'!W14:W16)</f>
        <v>2.6480406715374452E-2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163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-2701.3813592473684</v>
      </c>
      <c r="E7">
        <f>_xlfn.STDEV.S('Bottle Results'!U17:U19)</f>
        <v>284.51080832697806</v>
      </c>
      <c r="F7">
        <f>AVERAGE('Bottle Results'!S17:S19)</f>
        <v>142.49300303736004</v>
      </c>
      <c r="G7">
        <f>AVERAGE('Bottle Results'!W17:W19)</f>
        <v>-0.55931822375175166</v>
      </c>
      <c r="H7">
        <f>_xlfn.STDEV.S('Bottle Results'!W17:W19)</f>
        <v>5.7056743851220865E-2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Calibration Data</vt:lpstr>
      <vt:lpstr>Scintillation Counter Results</vt:lpstr>
      <vt:lpstr>Count-&gt;Actual Activity</vt:lpstr>
      <vt:lpstr>Bottle Results</vt:lpstr>
      <vt:lpstr>Rd Calculations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2017-08-29T21:24:26Z</dcterms:modified>
</cp:coreProperties>
</file>