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FHY_pH9\"/>
    </mc:Choice>
  </mc:AlternateContent>
  <bookViews>
    <workbookView xWindow="0" yWindow="0" windowWidth="28800" windowHeight="11835" firstSheet="2" activeTab="4"/>
  </bookViews>
  <sheets>
    <sheet name="Parameters" sheetId="1" r:id="rId1"/>
    <sheet name="Scintillation Counter Results" sheetId="3" r:id="rId2"/>
    <sheet name="Count-&gt;Actual Activity" sheetId="2" r:id="rId3"/>
    <sheet name="Calibration Data" sheetId="7" r:id="rId4"/>
    <sheet name="Bottle Results" sheetId="5" r:id="rId5"/>
    <sheet name="Averaged Result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9" i="5" l="1"/>
  <c r="AC18" i="5"/>
  <c r="AC17" i="5"/>
  <c r="W19" i="5"/>
  <c r="W18" i="5"/>
  <c r="W17" i="5"/>
  <c r="J2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N5" i="5"/>
  <c r="M5" i="5"/>
  <c r="F3" i="2" l="1"/>
  <c r="G3" i="2"/>
  <c r="F4" i="2"/>
  <c r="G4" i="2"/>
  <c r="F5" i="2"/>
  <c r="G5" i="2" s="1"/>
  <c r="F6" i="2"/>
  <c r="G6" i="2"/>
  <c r="F7" i="2"/>
  <c r="G7" i="2"/>
  <c r="F8" i="2"/>
  <c r="G8" i="2"/>
  <c r="F9" i="2"/>
  <c r="G9" i="2" s="1"/>
  <c r="F10" i="2"/>
  <c r="G10" i="2"/>
  <c r="F11" i="2"/>
  <c r="G11" i="2"/>
  <c r="F12" i="2"/>
  <c r="G12" i="2"/>
  <c r="F13" i="2"/>
  <c r="G13" i="2" s="1"/>
  <c r="F14" i="2"/>
  <c r="G14" i="2"/>
  <c r="F15" i="2"/>
  <c r="G15" i="2"/>
  <c r="F16" i="2"/>
  <c r="G16" i="2"/>
  <c r="F17" i="2"/>
  <c r="G17" i="2" s="1"/>
  <c r="F18" i="2"/>
  <c r="G18" i="2"/>
  <c r="F19" i="2"/>
  <c r="G19" i="2"/>
  <c r="F20" i="2"/>
  <c r="G20" i="2"/>
  <c r="F21" i="2"/>
  <c r="G21" i="2" s="1"/>
  <c r="F22" i="2"/>
  <c r="G22" i="2"/>
  <c r="F23" i="2"/>
  <c r="G23" i="2"/>
  <c r="G2" i="2"/>
  <c r="F2" i="2"/>
  <c r="L10" i="7"/>
  <c r="L9" i="7"/>
  <c r="K9" i="7"/>
  <c r="G9" i="7"/>
  <c r="D9" i="7"/>
  <c r="C9" i="7"/>
  <c r="E9" i="7" s="1"/>
  <c r="K8" i="7"/>
  <c r="H8" i="7"/>
  <c r="I8" i="7" s="1"/>
  <c r="E8" i="7"/>
  <c r="D8" i="7"/>
  <c r="L8" i="7" s="1"/>
  <c r="L7" i="7"/>
  <c r="K7" i="7"/>
  <c r="I7" i="7"/>
  <c r="E7" i="7"/>
  <c r="D7" i="7"/>
  <c r="K6" i="7"/>
  <c r="I6" i="7"/>
  <c r="J6" i="7" s="1"/>
  <c r="H6" i="7"/>
  <c r="E6" i="7"/>
  <c r="D6" i="7"/>
  <c r="L6" i="7" s="1"/>
  <c r="K5" i="7"/>
  <c r="H5" i="7"/>
  <c r="I5" i="7" s="1"/>
  <c r="E5" i="7"/>
  <c r="D5" i="7"/>
  <c r="L5" i="7" s="1"/>
  <c r="K4" i="7"/>
  <c r="H4" i="7"/>
  <c r="I4" i="7" s="1"/>
  <c r="J4" i="7" s="1"/>
  <c r="E4" i="7"/>
  <c r="D4" i="7"/>
  <c r="L4" i="7" s="1"/>
  <c r="K3" i="7"/>
  <c r="H3" i="7"/>
  <c r="I3" i="7" s="1"/>
  <c r="E3" i="7"/>
  <c r="D3" i="7"/>
  <c r="L3" i="7" s="1"/>
  <c r="K2" i="7"/>
  <c r="E2" i="7"/>
  <c r="D2" i="7"/>
  <c r="L2" i="7" s="1"/>
  <c r="J8" i="7" l="1"/>
  <c r="J7" i="7"/>
  <c r="J3" i="7"/>
  <c r="J5" i="7"/>
  <c r="M3" i="5" l="1"/>
  <c r="M4" i="5"/>
  <c r="N4" i="5" l="1"/>
  <c r="N2" i="5"/>
  <c r="M2" i="5"/>
  <c r="N3" i="5"/>
  <c r="I7" i="8"/>
  <c r="I6" i="8"/>
  <c r="I5" i="8"/>
  <c r="I4" i="8"/>
  <c r="I3" i="8"/>
  <c r="I2" i="8"/>
  <c r="H7" i="8"/>
  <c r="H6" i="8"/>
  <c r="H5" i="8"/>
  <c r="H4" i="8"/>
  <c r="H3" i="8"/>
  <c r="H2" i="8"/>
  <c r="V23" i="5" l="1"/>
  <c r="V22" i="5"/>
  <c r="V21" i="5"/>
  <c r="U23" i="5"/>
  <c r="U22" i="5"/>
  <c r="U21" i="5"/>
  <c r="I21" i="5" l="1"/>
  <c r="Q21" i="5" s="1"/>
  <c r="Q23" i="5"/>
  <c r="Q22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" i="5"/>
  <c r="W21" i="5" l="1"/>
  <c r="Y21" i="5"/>
  <c r="AB21" i="5" s="1"/>
  <c r="W22" i="5"/>
  <c r="Y22" i="5"/>
  <c r="AB22" i="5" s="1"/>
  <c r="W23" i="5"/>
  <c r="Y23" i="5"/>
  <c r="AB23" i="5" s="1"/>
  <c r="R23" i="5"/>
  <c r="R22" i="5"/>
  <c r="R21" i="5"/>
  <c r="S3" i="5"/>
  <c r="T3" i="5" s="1"/>
  <c r="S4" i="5"/>
  <c r="T4" i="5" s="1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AA17" i="5" s="1"/>
  <c r="S18" i="5"/>
  <c r="AA18" i="5" s="1"/>
  <c r="S19" i="5"/>
  <c r="AA19" i="5" s="1"/>
  <c r="S20" i="5"/>
  <c r="T20" i="5" s="1"/>
  <c r="S2" i="5"/>
  <c r="T2" i="5" s="1"/>
  <c r="Q20" i="5"/>
  <c r="AA9" i="5" l="1"/>
  <c r="W9" i="5"/>
  <c r="AA10" i="5"/>
  <c r="W10" i="5"/>
  <c r="AA8" i="5"/>
  <c r="W8" i="5"/>
  <c r="Y14" i="5"/>
  <c r="AA14" i="5"/>
  <c r="W14" i="5"/>
  <c r="W13" i="5"/>
  <c r="AA13" i="5"/>
  <c r="T7" i="5"/>
  <c r="W7" i="5"/>
  <c r="T6" i="5"/>
  <c r="W6" i="5"/>
  <c r="AA12" i="5"/>
  <c r="W12" i="5"/>
  <c r="AA16" i="5"/>
  <c r="W16" i="5"/>
  <c r="W15" i="5"/>
  <c r="AA15" i="5"/>
  <c r="B5" i="8"/>
  <c r="AA11" i="5"/>
  <c r="W11" i="5"/>
  <c r="T5" i="5"/>
  <c r="W5" i="5"/>
  <c r="T18" i="5"/>
  <c r="Y18" i="5"/>
  <c r="AB18" i="5" s="1"/>
  <c r="T10" i="5"/>
  <c r="Y10" i="5"/>
  <c r="T13" i="5"/>
  <c r="Y13" i="5"/>
  <c r="T12" i="5"/>
  <c r="Y12" i="5"/>
  <c r="T16" i="5"/>
  <c r="Y16" i="5"/>
  <c r="AB16" i="5" s="1"/>
  <c r="T8" i="5"/>
  <c r="Y8" i="5"/>
  <c r="T19" i="5"/>
  <c r="Y19" i="5"/>
  <c r="T17" i="5"/>
  <c r="Y17" i="5"/>
  <c r="AB17" i="5" s="1"/>
  <c r="T9" i="5"/>
  <c r="Y9" i="5"/>
  <c r="T15" i="5"/>
  <c r="Y15" i="5"/>
  <c r="T11" i="5"/>
  <c r="Y11" i="5"/>
  <c r="T14" i="5"/>
  <c r="R20" i="5"/>
  <c r="W20" i="5"/>
  <c r="Y20" i="5"/>
  <c r="AB20" i="5" s="1"/>
  <c r="D4" i="8" l="1"/>
  <c r="Q3" i="5"/>
  <c r="W3" i="5" s="1"/>
  <c r="Q18" i="5"/>
  <c r="Q10" i="5"/>
  <c r="Q19" i="5"/>
  <c r="Q17" i="5"/>
  <c r="Q4" i="5"/>
  <c r="Y4" i="5" s="1"/>
  <c r="AB4" i="5" s="1"/>
  <c r="Q8" i="5"/>
  <c r="Q11" i="5"/>
  <c r="Q9" i="5"/>
  <c r="Q16" i="5"/>
  <c r="Q15" i="5"/>
  <c r="Q7" i="5"/>
  <c r="Q14" i="5"/>
  <c r="Q6" i="5"/>
  <c r="Q12" i="5"/>
  <c r="Q13" i="5"/>
  <c r="Q5" i="5"/>
  <c r="B7" i="8"/>
  <c r="C7" i="8"/>
  <c r="B6" i="8"/>
  <c r="Y3" i="5"/>
  <c r="AB3" i="5" s="1"/>
  <c r="W4" i="5"/>
  <c r="Q2" i="5"/>
  <c r="Y5" i="5"/>
  <c r="Y7" i="5"/>
  <c r="AB7" i="5" s="1"/>
  <c r="AB9" i="5"/>
  <c r="AB12" i="5"/>
  <c r="AB13" i="5"/>
  <c r="AB15" i="5"/>
  <c r="AB10" i="5"/>
  <c r="AB19" i="5"/>
  <c r="E7" i="8"/>
  <c r="D7" i="8"/>
  <c r="AB11" i="5"/>
  <c r="AB5" i="5"/>
  <c r="AB14" i="5"/>
  <c r="Y6" i="5" l="1"/>
  <c r="AB6" i="5" s="1"/>
  <c r="B4" i="8"/>
  <c r="E3" i="8"/>
  <c r="D6" i="8"/>
  <c r="D3" i="8"/>
  <c r="W2" i="5"/>
  <c r="Y2" i="5"/>
  <c r="R2" i="5"/>
  <c r="AB8" i="5"/>
  <c r="E4" i="8"/>
  <c r="C3" i="8"/>
  <c r="B3" i="8"/>
  <c r="D5" i="8"/>
  <c r="C6" i="8"/>
  <c r="E5" i="8"/>
  <c r="E6" i="8"/>
  <c r="C5" i="8"/>
  <c r="F5" i="8"/>
  <c r="G5" i="8"/>
  <c r="G6" i="8"/>
  <c r="F6" i="8"/>
  <c r="F7" i="8"/>
  <c r="G7" i="8"/>
  <c r="G3" i="8"/>
  <c r="F3" i="8"/>
  <c r="C4" i="8" l="1"/>
  <c r="F4" i="8"/>
  <c r="G4" i="8"/>
  <c r="AB2" i="5"/>
  <c r="D2" i="8"/>
  <c r="E2" i="8"/>
  <c r="B2" i="8"/>
  <c r="C2" i="8"/>
  <c r="R14" i="5"/>
  <c r="R19" i="5"/>
  <c r="R15" i="5"/>
  <c r="R7" i="5"/>
  <c r="R18" i="5"/>
  <c r="R6" i="5"/>
  <c r="R13" i="5"/>
  <c r="R16" i="5"/>
  <c r="R3" i="5"/>
  <c r="R5" i="5"/>
  <c r="R9" i="5"/>
  <c r="R11" i="5"/>
  <c r="R12" i="5"/>
  <c r="R17" i="5"/>
  <c r="R10" i="5"/>
  <c r="R4" i="5"/>
  <c r="R8" i="5"/>
  <c r="G2" i="8" l="1"/>
  <c r="F2" i="8"/>
</calcChain>
</file>

<file path=xl/comments1.xml><?xml version="1.0" encoding="utf-8"?>
<comments xmlns="http://schemas.openxmlformats.org/spreadsheetml/2006/main">
  <authors>
    <author>Michael Chen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Must match pattern
(something_letter or something_letter_(Cw or Cs))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by data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in by script</t>
        </r>
      </text>
    </comment>
  </commentList>
</comments>
</file>

<file path=xl/sharedStrings.xml><?xml version="1.0" encoding="utf-8"?>
<sst xmlns="http://schemas.openxmlformats.org/spreadsheetml/2006/main" count="406" uniqueCount="147">
  <si>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</si>
  <si>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</si>
  <si>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</si>
  <si>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</si>
  <si>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</si>
  <si>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</si>
  <si>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</si>
  <si>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</si>
  <si>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</si>
  <si>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</si>
  <si>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</si>
  <si>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</si>
  <si>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</si>
  <si>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</si>
  <si>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</si>
  <si>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</si>
  <si>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</si>
  <si>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</si>
  <si>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</si>
  <si>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</si>
  <si>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</si>
  <si>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</si>
  <si>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</si>
  <si>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</si>
  <si>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</si>
  <si>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</si>
  <si>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</si>
  <si>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</si>
  <si>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</si>
  <si>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</si>
  <si>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</si>
  <si>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</si>
  <si>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</si>
  <si>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</si>
  <si>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</si>
  <si>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</si>
  <si>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</si>
  <si>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</si>
  <si>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</si>
  <si>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</si>
  <si>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</si>
  <si>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</si>
  <si>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</si>
  <si>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</si>
  <si>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</si>
  <si>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</si>
  <si>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</si>
  <si>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</si>
  <si>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</si>
  <si>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</si>
  <si>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</si>
  <si>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</si>
  <si>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</si>
  <si>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</si>
  <si>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</si>
  <si>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</si>
  <si>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</si>
  <si>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</si>
  <si>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</si>
  <si>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</si>
  <si>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</si>
  <si>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</si>
  <si>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</si>
  <si>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</si>
  <si>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</si>
  <si>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</si>
  <si>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</si>
  <si>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</si>
  <si>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</si>
  <si>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</si>
  <si>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</si>
  <si>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</si>
  <si>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</si>
  <si>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</si>
  <si>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</si>
  <si>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</si>
  <si>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</si>
  <si>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</si>
  <si>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</si>
  <si>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</si>
  <si>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</si>
  <si>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</si>
  <si>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</si>
  <si>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</si>
  <si>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</si>
  <si>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</si>
  <si>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</si>
  <si>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</si>
  <si>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</si>
  <si>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</si>
  <si>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</si>
  <si>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</si>
  <si>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</si>
  <si>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</si>
  <si>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</si>
  <si>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</si>
  <si>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</si>
  <si>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</si>
  <si>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</si>
  <si>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</si>
  <si>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</si>
  <si>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</si>
  <si>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</si>
  <si>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</si>
  <si>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</si>
  <si>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</si>
  <si>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Activity (Bq)</t>
  </si>
  <si>
    <t>Activity Error (Bq)</t>
  </si>
  <si>
    <t>Counting Method</t>
  </si>
  <si>
    <t>Phase</t>
  </si>
  <si>
    <t>Water</t>
  </si>
  <si>
    <t>Solid</t>
  </si>
  <si>
    <t>Ferrihydrite</t>
  </si>
  <si>
    <t>Scintillation</t>
  </si>
  <si>
    <t>500_A_T1</t>
  </si>
  <si>
    <t>Solution activity (Bq)</t>
  </si>
  <si>
    <t>Solution activity error (Bq)</t>
  </si>
  <si>
    <t>Solid Activity (Bq)</t>
  </si>
  <si>
    <t>Solid Activity Error (Bq)</t>
  </si>
  <si>
    <t>Counted Cw (Bq/mL)</t>
  </si>
  <si>
    <t>Counted dCw (Bq/mL)</t>
  </si>
  <si>
    <t>Counted Cs (Bq/g)</t>
  </si>
  <si>
    <t>Counted dCs (Bq/g)</t>
  </si>
  <si>
    <t>N/A</t>
  </si>
  <si>
    <t>Check Activity Balance</t>
  </si>
  <si>
    <t>RaFHY500pH9_DW</t>
  </si>
  <si>
    <t>RaFHY500pH9_T1</t>
  </si>
  <si>
    <t>RaFHY500pH9_T2</t>
  </si>
  <si>
    <t>RaFHY500pH9_T3</t>
  </si>
  <si>
    <t>500_D</t>
  </si>
  <si>
    <t>T1</t>
  </si>
  <si>
    <t>T2</t>
  </si>
  <si>
    <t>T3</t>
  </si>
  <si>
    <t>500_A_T2</t>
  </si>
  <si>
    <t>500_A_T3</t>
  </si>
  <si>
    <t>Total Activity</t>
  </si>
  <si>
    <t>sCw (Bq/mL)</t>
  </si>
  <si>
    <t>sCs (Bq/g)</t>
  </si>
  <si>
    <t>fSorb</t>
  </si>
  <si>
    <t>sfSorb</t>
  </si>
  <si>
    <t>pH</t>
  </si>
  <si>
    <t>spH</t>
  </si>
  <si>
    <t>Gamma</t>
  </si>
  <si>
    <t>(Known-Average)^2</t>
  </si>
  <si>
    <t>RaStock5</t>
  </si>
  <si>
    <t>RaStock4</t>
  </si>
  <si>
    <t>CPS-&gt;Bq No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</si>
</sst>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11" fontId="3" fillId="0" borderId="0" xfId="0" applyNumberFormat="1" applyFont="1"/>
    <xf numFmtId="0" fontId="7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7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7" fillId="0" borderId="2" xfId="0" applyFont="1" applyFill="1" applyBorder="1" applyAlignment="1">
      <alignment horizontal="center"/>
    </xf>
    <xf numFmtId="0" fontId="8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1" fontId="0" fillId="0" borderId="0" xfId="0" applyNumberFormat="1"/>
    <xf numFmtId="164" fontId="0" fillId="0" borderId="0" xfId="0" applyNumberFormat="1"/>
    <xf numFmtId="0" fontId="3" fillId="0" borderId="4" xfId="0" applyFont="1" applyBorder="1"/>
    <xf numFmtId="0" fontId="0" fillId="0" borderId="4" xfId="0" applyBorder="1"/>
    <xf numFmtId="22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9" fillId="0" borderId="0" xfId="0" applyFont="1" applyAlignment="1">
      <alignment horizontal="center" vertical="top"/>
    </xf>
    <xf numFmtId="0" fontId="9" fillId="0" borderId="0" xfId="0" applyFont="1"/>
    <xf numFmtId="0" fontId="9" fillId="0" borderId="0" xfId="0" applyNumberFormat="1" applyFont="1"/>
    <xf numFmtId="11" fontId="9" fillId="0" borderId="0" xfId="0" applyNumberFormat="1" applyFont="1"/>
    <xf numFmtId="18" fontId="0" fillId="0" borderId="0" xfId="0" applyNumberFormat="1"/>
    <xf numFmtId="0" fontId="10" fillId="0" borderId="0" xfId="0" applyFont="1" applyAlignment="1">
      <alignment horizontal="center" vertical="top"/>
    </xf>
    <xf numFmtId="0" fontId="10" fillId="0" borderId="0" xfId="0" applyFont="1"/>
    <xf numFmtId="0" fontId="10" fillId="0" borderId="0" xfId="0" applyNumberFormat="1" applyFont="1"/>
    <xf numFmtId="11" fontId="10" fillId="0" borderId="0" xfId="0" applyNumberFormat="1" applyFont="1"/>
    <xf numFmtId="0" fontId="4" fillId="0" borderId="4" xfId="0" applyFont="1" applyFill="1" applyBorder="1" applyAlignment="1">
      <alignment horizontal="center" vertical="top"/>
    </xf>
    <xf numFmtId="11" fontId="3" fillId="0" borderId="4" xfId="0" applyNumberFormat="1" applyFont="1" applyBorder="1"/>
    <xf numFmtId="0" fontId="3" fillId="0" borderId="0" xfId="0" applyFont="1" applyBorder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4" xfId="0" applyFill="1" applyBorder="1" applyAlignme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112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341.69636021701456</v>
      </c>
      <c r="C6">
        <v>0.1278314405168707</v>
      </c>
      <c r="D6" t="s">
        <v>20</v>
      </c>
      <c r="E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/>
  </sheetViews>
  <sheetFormatPr defaultRowHeight="15" x14ac:dyDescent="0.25"/>
  <cols>
    <col min="1" max="1" width="14.85546875" bestFit="1" customWidth="1"/>
    <col min="2" max="2" width="17.285156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9">
        <v>42438.435416666667</v>
      </c>
      <c r="B2" t="s">
        <v>125</v>
      </c>
      <c r="C2">
        <v>317.5</v>
      </c>
      <c r="D2">
        <v>3.55</v>
      </c>
      <c r="E2">
        <v>0.05</v>
      </c>
      <c r="F2">
        <v>42.52</v>
      </c>
    </row>
    <row r="3" spans="1:6" x14ac:dyDescent="0.25">
      <c r="A3" s="19">
        <v>42438.435416666667</v>
      </c>
      <c r="B3" t="s">
        <v>126</v>
      </c>
      <c r="C3">
        <v>522.79999999999995</v>
      </c>
      <c r="D3">
        <v>2.77</v>
      </c>
      <c r="E3">
        <v>0.03</v>
      </c>
      <c r="F3">
        <v>85.18</v>
      </c>
    </row>
    <row r="4" spans="1:6" x14ac:dyDescent="0.25">
      <c r="A4" s="19">
        <v>42438.435416666667</v>
      </c>
      <c r="B4" t="s">
        <v>127</v>
      </c>
      <c r="C4">
        <v>512.1</v>
      </c>
      <c r="D4">
        <v>2.79</v>
      </c>
      <c r="E4">
        <v>0.02</v>
      </c>
      <c r="F4">
        <v>127.85</v>
      </c>
    </row>
    <row r="5" spans="1:6" x14ac:dyDescent="0.25">
      <c r="A5" s="19">
        <v>42438.435416666667</v>
      </c>
      <c r="B5" t="s">
        <v>128</v>
      </c>
      <c r="C5">
        <v>338.4</v>
      </c>
      <c r="D5">
        <v>3.44</v>
      </c>
      <c r="E5">
        <v>0.04</v>
      </c>
      <c r="F5">
        <v>170.61</v>
      </c>
    </row>
    <row r="6" spans="1:6" x14ac:dyDescent="0.25">
      <c r="A6" s="19">
        <v>42439.461111111108</v>
      </c>
      <c r="B6" t="s">
        <v>125</v>
      </c>
      <c r="C6">
        <v>294.60000000000002</v>
      </c>
      <c r="D6">
        <v>3.68</v>
      </c>
      <c r="E6">
        <v>0.04</v>
      </c>
      <c r="F6">
        <v>42.5</v>
      </c>
    </row>
    <row r="7" spans="1:6" x14ac:dyDescent="0.25">
      <c r="A7" s="19">
        <v>42439.461111111108</v>
      </c>
      <c r="B7" t="s">
        <v>126</v>
      </c>
      <c r="C7">
        <v>523.5</v>
      </c>
      <c r="D7">
        <v>2.76</v>
      </c>
      <c r="E7">
        <v>0.02</v>
      </c>
      <c r="F7">
        <v>85.13</v>
      </c>
    </row>
    <row r="8" spans="1:6" x14ac:dyDescent="0.25">
      <c r="A8" s="19">
        <v>42439.461111111108</v>
      </c>
      <c r="B8" t="s">
        <v>127</v>
      </c>
      <c r="C8">
        <v>524.29999999999995</v>
      </c>
      <c r="D8">
        <v>2.76</v>
      </c>
      <c r="E8">
        <v>0.02</v>
      </c>
      <c r="F8">
        <v>127.76</v>
      </c>
    </row>
    <row r="9" spans="1:6" x14ac:dyDescent="0.25">
      <c r="A9" s="19">
        <v>42439.461111111108</v>
      </c>
      <c r="B9" t="s">
        <v>128</v>
      </c>
      <c r="C9">
        <v>345.8</v>
      </c>
      <c r="D9">
        <v>3.4</v>
      </c>
      <c r="E9">
        <v>0.02</v>
      </c>
      <c r="F9">
        <v>173.51</v>
      </c>
    </row>
    <row r="10" spans="1:6" x14ac:dyDescent="0.25">
      <c r="A10" s="19">
        <v>42447.404861111114</v>
      </c>
      <c r="B10" t="s">
        <v>125</v>
      </c>
      <c r="C10">
        <v>293.2</v>
      </c>
      <c r="D10">
        <v>3.69</v>
      </c>
      <c r="E10">
        <v>0.02</v>
      </c>
      <c r="F10">
        <v>42.47</v>
      </c>
    </row>
    <row r="11" spans="1:6" x14ac:dyDescent="0.25">
      <c r="A11" s="19">
        <v>42447.404861111114</v>
      </c>
      <c r="B11" t="s">
        <v>126</v>
      </c>
      <c r="C11">
        <v>508.5</v>
      </c>
      <c r="D11">
        <v>2.8</v>
      </c>
      <c r="E11">
        <v>0.02</v>
      </c>
      <c r="F11">
        <v>85.11</v>
      </c>
    </row>
    <row r="12" spans="1:6" x14ac:dyDescent="0.25">
      <c r="A12" s="19">
        <v>42447.404861111114</v>
      </c>
      <c r="B12" t="s">
        <v>127</v>
      </c>
      <c r="C12">
        <v>506.3</v>
      </c>
      <c r="D12">
        <v>2.81</v>
      </c>
      <c r="E12">
        <v>0.02</v>
      </c>
      <c r="F12">
        <v>127.74</v>
      </c>
    </row>
    <row r="13" spans="1:6" x14ac:dyDescent="0.25">
      <c r="A13" s="19">
        <v>42447.404861111114</v>
      </c>
      <c r="B13" t="s">
        <v>128</v>
      </c>
      <c r="C13">
        <v>339.3</v>
      </c>
      <c r="D13">
        <v>3.43</v>
      </c>
      <c r="E13">
        <v>0.02</v>
      </c>
      <c r="F13">
        <v>170.48</v>
      </c>
    </row>
    <row r="14" spans="1:6" x14ac:dyDescent="0.25">
      <c r="A14" s="19">
        <v>42459.724305555559</v>
      </c>
      <c r="B14" t="s">
        <v>125</v>
      </c>
      <c r="C14">
        <v>303.8</v>
      </c>
      <c r="D14">
        <v>3.63</v>
      </c>
      <c r="E14">
        <v>0.02</v>
      </c>
      <c r="F14">
        <v>42.49</v>
      </c>
    </row>
    <row r="15" spans="1:6" x14ac:dyDescent="0.25">
      <c r="A15" s="19">
        <v>42459.724305555559</v>
      </c>
      <c r="B15" t="s">
        <v>126</v>
      </c>
      <c r="C15">
        <v>512.1</v>
      </c>
      <c r="D15">
        <v>2.79</v>
      </c>
      <c r="E15">
        <v>0.02</v>
      </c>
      <c r="F15">
        <v>85.09</v>
      </c>
    </row>
    <row r="16" spans="1:6" x14ac:dyDescent="0.25">
      <c r="A16" s="19">
        <v>42459.724305555559</v>
      </c>
      <c r="B16" t="s">
        <v>127</v>
      </c>
      <c r="C16">
        <v>515.1</v>
      </c>
      <c r="D16">
        <v>2.79</v>
      </c>
      <c r="E16">
        <v>2.1000000000000001E-2</v>
      </c>
      <c r="F16">
        <v>127.72</v>
      </c>
    </row>
    <row r="17" spans="1:6" x14ac:dyDescent="0.25">
      <c r="A17" s="19">
        <v>42459.724305555559</v>
      </c>
      <c r="B17" t="s">
        <v>128</v>
      </c>
      <c r="C17">
        <v>341.6</v>
      </c>
      <c r="D17">
        <v>3.42</v>
      </c>
      <c r="E17">
        <v>0.02</v>
      </c>
      <c r="F17">
        <v>170.46</v>
      </c>
    </row>
    <row r="18" spans="1:6" x14ac:dyDescent="0.25">
      <c r="A18" s="19">
        <v>42374.613888888889</v>
      </c>
      <c r="B18" s="26" t="s">
        <v>88</v>
      </c>
      <c r="C18">
        <v>74.400000000000006</v>
      </c>
      <c r="D18">
        <v>7.33</v>
      </c>
      <c r="E18">
        <v>0.17</v>
      </c>
      <c r="F18">
        <v>694.2</v>
      </c>
    </row>
    <row r="19" spans="1:6" x14ac:dyDescent="0.25">
      <c r="A19" s="19">
        <v>42374.613888888889</v>
      </c>
      <c r="B19" t="s">
        <v>89</v>
      </c>
      <c r="C19">
        <v>78.3</v>
      </c>
      <c r="D19">
        <v>7.15</v>
      </c>
      <c r="E19">
        <v>0.14000000000000001</v>
      </c>
      <c r="F19">
        <v>704.83</v>
      </c>
    </row>
    <row r="20" spans="1:6" x14ac:dyDescent="0.25">
      <c r="A20" s="19">
        <v>42374.613888888889</v>
      </c>
      <c r="B20" t="s">
        <v>90</v>
      </c>
      <c r="C20">
        <v>68.2</v>
      </c>
      <c r="D20">
        <v>7.66</v>
      </c>
      <c r="E20">
        <v>0.14000000000000001</v>
      </c>
      <c r="F20">
        <v>715.46</v>
      </c>
    </row>
    <row r="21" spans="1:6" x14ac:dyDescent="0.25">
      <c r="A21" s="19">
        <v>42374.613888888889</v>
      </c>
      <c r="B21" t="s">
        <v>91</v>
      </c>
      <c r="C21">
        <v>65.599999999999994</v>
      </c>
      <c r="D21">
        <v>7.81</v>
      </c>
      <c r="E21">
        <v>0.25</v>
      </c>
      <c r="F21">
        <v>726.1</v>
      </c>
    </row>
    <row r="22" spans="1:6" x14ac:dyDescent="0.25">
      <c r="A22" s="19">
        <v>42374.613888888889</v>
      </c>
      <c r="B22" t="s">
        <v>92</v>
      </c>
      <c r="C22">
        <v>72.2</v>
      </c>
      <c r="D22">
        <v>7.44</v>
      </c>
      <c r="E22">
        <v>0.13</v>
      </c>
      <c r="F22">
        <v>736.73</v>
      </c>
    </row>
    <row r="23" spans="1:6" x14ac:dyDescent="0.25">
      <c r="A23" s="19">
        <v>42374.613888888889</v>
      </c>
      <c r="B23" t="s">
        <v>93</v>
      </c>
      <c r="C23">
        <v>67.2</v>
      </c>
      <c r="D23">
        <v>7.72</v>
      </c>
      <c r="E23">
        <v>0.18</v>
      </c>
      <c r="F23">
        <v>747.36</v>
      </c>
    </row>
    <row r="24" spans="1:6" x14ac:dyDescent="0.25">
      <c r="A24" s="19">
        <v>42374.613888888889</v>
      </c>
      <c r="B24" t="s">
        <v>94</v>
      </c>
      <c r="C24">
        <v>66.7</v>
      </c>
      <c r="D24">
        <v>7.74</v>
      </c>
      <c r="E24">
        <v>0.17</v>
      </c>
      <c r="F24">
        <v>758</v>
      </c>
    </row>
    <row r="25" spans="1:6" x14ac:dyDescent="0.25">
      <c r="A25" s="19">
        <v>42374.613888888889</v>
      </c>
      <c r="B25" t="s">
        <v>95</v>
      </c>
      <c r="C25">
        <v>68.7</v>
      </c>
      <c r="D25">
        <v>7.63</v>
      </c>
      <c r="E25">
        <v>0.15</v>
      </c>
      <c r="F25">
        <v>768.63</v>
      </c>
    </row>
    <row r="26" spans="1:6" x14ac:dyDescent="0.25">
      <c r="A26" s="19">
        <v>42374.613888888889</v>
      </c>
      <c r="B26" t="s">
        <v>96</v>
      </c>
      <c r="C26">
        <v>73.599999999999994</v>
      </c>
      <c r="D26">
        <v>7.37</v>
      </c>
      <c r="E26">
        <v>0.15</v>
      </c>
      <c r="F26">
        <v>779.36</v>
      </c>
    </row>
    <row r="27" spans="1:6" x14ac:dyDescent="0.25">
      <c r="A27" s="19">
        <v>42374.613888888889</v>
      </c>
      <c r="B27" t="s">
        <v>97</v>
      </c>
      <c r="C27">
        <v>70.8</v>
      </c>
      <c r="D27">
        <v>7.52</v>
      </c>
      <c r="E27">
        <v>0.16</v>
      </c>
      <c r="F27">
        <v>789.99</v>
      </c>
    </row>
    <row r="28" spans="1:6" x14ac:dyDescent="0.25">
      <c r="A28" s="19">
        <v>42374.613888888889</v>
      </c>
      <c r="B28" t="s">
        <v>98</v>
      </c>
      <c r="C28">
        <v>74.7</v>
      </c>
      <c r="D28">
        <v>7.32</v>
      </c>
      <c r="E28">
        <v>0.14000000000000001</v>
      </c>
      <c r="F28">
        <v>800.63</v>
      </c>
    </row>
    <row r="29" spans="1:6" x14ac:dyDescent="0.25">
      <c r="A29" s="19">
        <v>42374.613888888889</v>
      </c>
      <c r="B29" t="s">
        <v>99</v>
      </c>
      <c r="C29">
        <v>71.8</v>
      </c>
      <c r="D29">
        <v>7.46</v>
      </c>
      <c r="E29">
        <v>0.15</v>
      </c>
      <c r="F29">
        <v>821.89</v>
      </c>
    </row>
    <row r="30" spans="1:6" x14ac:dyDescent="0.25">
      <c r="A30" s="19">
        <v>42374.613888888889</v>
      </c>
      <c r="B30" t="s">
        <v>100</v>
      </c>
      <c r="C30">
        <v>76.7</v>
      </c>
      <c r="D30">
        <v>7.22</v>
      </c>
      <c r="E30">
        <v>0.15</v>
      </c>
      <c r="F30">
        <v>821.89</v>
      </c>
    </row>
    <row r="31" spans="1:6" x14ac:dyDescent="0.25">
      <c r="A31" s="19">
        <v>42374.613888888889</v>
      </c>
      <c r="B31" t="s">
        <v>101</v>
      </c>
      <c r="C31">
        <v>72.5</v>
      </c>
      <c r="D31">
        <v>7.43</v>
      </c>
      <c r="E31">
        <v>0.13</v>
      </c>
      <c r="F31">
        <v>832.53</v>
      </c>
    </row>
    <row r="32" spans="1:6" x14ac:dyDescent="0.25">
      <c r="A32" s="19">
        <v>42374.613888888889</v>
      </c>
      <c r="B32" t="s">
        <v>102</v>
      </c>
      <c r="C32">
        <v>80.5</v>
      </c>
      <c r="D32">
        <v>7.0579999999999998</v>
      </c>
      <c r="E32">
        <v>0.14000000000000001</v>
      </c>
      <c r="F32">
        <v>843.16</v>
      </c>
    </row>
    <row r="33" spans="1:6" x14ac:dyDescent="0.25">
      <c r="A33" s="19">
        <v>42374.613888888889</v>
      </c>
      <c r="B33" t="s">
        <v>103</v>
      </c>
      <c r="C33">
        <v>186.5</v>
      </c>
      <c r="D33">
        <v>4.63</v>
      </c>
      <c r="E33">
        <v>0.05</v>
      </c>
      <c r="F33">
        <v>853.79</v>
      </c>
    </row>
    <row r="34" spans="1:6" x14ac:dyDescent="0.25">
      <c r="A34" s="19">
        <v>42374.613888888889</v>
      </c>
      <c r="B34" t="s">
        <v>104</v>
      </c>
      <c r="C34">
        <v>151.30000000000001</v>
      </c>
      <c r="D34">
        <v>5.14</v>
      </c>
      <c r="E34">
        <v>0.06</v>
      </c>
      <c r="F34">
        <v>864.43</v>
      </c>
    </row>
    <row r="35" spans="1:6" x14ac:dyDescent="0.25">
      <c r="A35" s="19">
        <v>42374.613888888889</v>
      </c>
      <c r="B35" t="s">
        <v>105</v>
      </c>
      <c r="C35">
        <v>156</v>
      </c>
      <c r="D35">
        <v>5.0599999999999996</v>
      </c>
      <c r="E35">
        <v>0.06</v>
      </c>
      <c r="F35">
        <v>875.06</v>
      </c>
    </row>
    <row r="36" spans="1:6" x14ac:dyDescent="0.25">
      <c r="A36" s="19">
        <v>42382.73333333333</v>
      </c>
      <c r="B36" s="26" t="s">
        <v>88</v>
      </c>
      <c r="C36">
        <v>73.400000000000006</v>
      </c>
      <c r="D36">
        <v>7.38</v>
      </c>
      <c r="E36">
        <v>0.12</v>
      </c>
      <c r="F36">
        <v>694.16</v>
      </c>
    </row>
    <row r="37" spans="1:6" x14ac:dyDescent="0.25">
      <c r="A37" s="19">
        <v>42382.73333333333</v>
      </c>
      <c r="B37" t="s">
        <v>89</v>
      </c>
      <c r="C37">
        <v>73.8</v>
      </c>
      <c r="D37">
        <v>7.36</v>
      </c>
      <c r="E37">
        <v>0.11</v>
      </c>
      <c r="F37">
        <v>704.79</v>
      </c>
    </row>
    <row r="38" spans="1:6" x14ac:dyDescent="0.25">
      <c r="A38" s="19">
        <v>42382.73333333333</v>
      </c>
      <c r="B38" t="s">
        <v>90</v>
      </c>
      <c r="C38">
        <v>69.5</v>
      </c>
      <c r="D38">
        <v>7.59</v>
      </c>
      <c r="E38">
        <v>0.11</v>
      </c>
      <c r="F38">
        <v>715.42</v>
      </c>
    </row>
    <row r="39" spans="1:6" x14ac:dyDescent="0.25">
      <c r="A39" s="19">
        <v>42382.73333333333</v>
      </c>
      <c r="B39" t="s">
        <v>91</v>
      </c>
      <c r="C39">
        <v>72.8</v>
      </c>
      <c r="D39">
        <v>7.41</v>
      </c>
      <c r="E39">
        <v>0.14000000000000001</v>
      </c>
      <c r="F39">
        <v>726.04</v>
      </c>
    </row>
    <row r="40" spans="1:6" x14ac:dyDescent="0.25">
      <c r="A40" s="19">
        <v>42382.73333333333</v>
      </c>
      <c r="B40" t="s">
        <v>92</v>
      </c>
      <c r="C40">
        <v>78.099999999999994</v>
      </c>
      <c r="D40">
        <v>7.16</v>
      </c>
      <c r="E40">
        <v>0.11</v>
      </c>
      <c r="F40">
        <v>736.67</v>
      </c>
    </row>
    <row r="41" spans="1:6" x14ac:dyDescent="0.25">
      <c r="A41" s="19">
        <v>42382.73333333333</v>
      </c>
      <c r="B41" t="s">
        <v>93</v>
      </c>
      <c r="C41">
        <v>67.8</v>
      </c>
      <c r="D41">
        <v>7.68</v>
      </c>
      <c r="E41">
        <v>0.14000000000000001</v>
      </c>
      <c r="F41">
        <v>747.31</v>
      </c>
    </row>
    <row r="42" spans="1:6" x14ac:dyDescent="0.25">
      <c r="A42" s="19">
        <v>42382.73333333333</v>
      </c>
      <c r="B42" t="s">
        <v>94</v>
      </c>
      <c r="C42">
        <v>70.900000000000006</v>
      </c>
      <c r="D42">
        <v>7.51</v>
      </c>
      <c r="E42">
        <v>0.13</v>
      </c>
      <c r="F42">
        <v>757.94</v>
      </c>
    </row>
    <row r="43" spans="1:6" x14ac:dyDescent="0.25">
      <c r="A43" s="19">
        <v>42382.73333333333</v>
      </c>
      <c r="B43" t="s">
        <v>95</v>
      </c>
      <c r="C43">
        <v>74.5</v>
      </c>
      <c r="D43">
        <v>7.33</v>
      </c>
      <c r="E43">
        <v>0.13</v>
      </c>
      <c r="F43">
        <v>768.58</v>
      </c>
    </row>
    <row r="44" spans="1:6" x14ac:dyDescent="0.25">
      <c r="A44" s="19">
        <v>42382.73333333333</v>
      </c>
      <c r="B44" t="s">
        <v>96</v>
      </c>
      <c r="C44">
        <v>73.599999999999994</v>
      </c>
      <c r="D44">
        <v>7.37</v>
      </c>
      <c r="E44">
        <v>0.12</v>
      </c>
      <c r="F44">
        <v>779.3</v>
      </c>
    </row>
    <row r="45" spans="1:6" x14ac:dyDescent="0.25">
      <c r="A45" s="19">
        <v>42382.73333333333</v>
      </c>
      <c r="B45" t="s">
        <v>97</v>
      </c>
      <c r="C45">
        <v>75.400000000000006</v>
      </c>
      <c r="D45">
        <v>7.28</v>
      </c>
      <c r="E45">
        <v>0.11</v>
      </c>
      <c r="F45">
        <v>789.94</v>
      </c>
    </row>
    <row r="46" spans="1:6" x14ac:dyDescent="0.25">
      <c r="A46" s="19">
        <v>42382.73333333333</v>
      </c>
      <c r="B46" t="s">
        <v>98</v>
      </c>
      <c r="C46">
        <v>73</v>
      </c>
      <c r="D46">
        <v>7.4</v>
      </c>
      <c r="E46">
        <v>0.12</v>
      </c>
      <c r="F46">
        <v>800.56</v>
      </c>
    </row>
    <row r="47" spans="1:6" x14ac:dyDescent="0.25">
      <c r="A47" s="19">
        <v>42382.73333333333</v>
      </c>
      <c r="B47" t="s">
        <v>99</v>
      </c>
      <c r="C47">
        <v>74.2</v>
      </c>
      <c r="D47">
        <v>7.34</v>
      </c>
      <c r="E47">
        <v>0.14000000000000001</v>
      </c>
      <c r="F47">
        <v>811.19</v>
      </c>
    </row>
    <row r="48" spans="1:6" x14ac:dyDescent="0.25">
      <c r="A48" s="19">
        <v>42382.73333333333</v>
      </c>
      <c r="B48" t="s">
        <v>100</v>
      </c>
      <c r="C48">
        <v>78.7</v>
      </c>
      <c r="D48">
        <v>7.13</v>
      </c>
      <c r="E48">
        <v>0.12</v>
      </c>
      <c r="F48">
        <v>821.83</v>
      </c>
    </row>
    <row r="49" spans="1:6" x14ac:dyDescent="0.25">
      <c r="A49" s="19">
        <v>42382.73333333333</v>
      </c>
      <c r="B49" t="s">
        <v>101</v>
      </c>
      <c r="C49">
        <v>78.599999999999994</v>
      </c>
      <c r="D49">
        <v>7.13</v>
      </c>
      <c r="E49">
        <v>0.12</v>
      </c>
      <c r="F49">
        <v>832.46</v>
      </c>
    </row>
    <row r="50" spans="1:6" x14ac:dyDescent="0.25">
      <c r="A50" s="19">
        <v>42382.73333333333</v>
      </c>
      <c r="B50" t="s">
        <v>102</v>
      </c>
      <c r="C50">
        <v>78.599999999999994</v>
      </c>
      <c r="D50">
        <v>7.13</v>
      </c>
      <c r="E50">
        <v>0.11</v>
      </c>
      <c r="F50">
        <v>843.09</v>
      </c>
    </row>
    <row r="51" spans="1:6" x14ac:dyDescent="0.25">
      <c r="A51" s="19">
        <v>42382.73333333333</v>
      </c>
      <c r="B51" t="s">
        <v>103</v>
      </c>
      <c r="C51">
        <v>179.1</v>
      </c>
      <c r="D51">
        <v>4.7300000000000004</v>
      </c>
      <c r="E51">
        <v>0.04</v>
      </c>
      <c r="F51">
        <v>853.73</v>
      </c>
    </row>
    <row r="52" spans="1:6" x14ac:dyDescent="0.25">
      <c r="A52" s="19">
        <v>42382.73333333333</v>
      </c>
      <c r="B52" t="s">
        <v>104</v>
      </c>
      <c r="C52">
        <v>163.19999999999999</v>
      </c>
      <c r="D52">
        <v>4.95</v>
      </c>
      <c r="E52">
        <v>0.05</v>
      </c>
      <c r="F52">
        <v>864.36</v>
      </c>
    </row>
    <row r="53" spans="1:6" x14ac:dyDescent="0.25">
      <c r="A53" s="19">
        <v>42382.73333333333</v>
      </c>
      <c r="B53" t="s">
        <v>105</v>
      </c>
      <c r="C53">
        <v>159</v>
      </c>
      <c r="D53">
        <v>5.0199999999999996</v>
      </c>
      <c r="E53">
        <v>0.05</v>
      </c>
      <c r="F53">
        <v>874.99</v>
      </c>
    </row>
    <row r="54" spans="1:6" x14ac:dyDescent="0.25">
      <c r="A54" s="19">
        <v>42381.317361111112</v>
      </c>
      <c r="B54" s="26" t="s">
        <v>88</v>
      </c>
      <c r="C54">
        <v>70.099999999999994</v>
      </c>
      <c r="D54">
        <v>7.55</v>
      </c>
      <c r="E54">
        <v>0.15</v>
      </c>
      <c r="F54">
        <v>694.08</v>
      </c>
    </row>
    <row r="55" spans="1:6" x14ac:dyDescent="0.25">
      <c r="A55" s="19">
        <v>42381.317361111112</v>
      </c>
      <c r="B55" t="s">
        <v>89</v>
      </c>
      <c r="C55">
        <v>72</v>
      </c>
      <c r="D55">
        <v>7.45</v>
      </c>
      <c r="E55">
        <v>0.11</v>
      </c>
      <c r="F55">
        <v>704.71</v>
      </c>
    </row>
    <row r="56" spans="1:6" x14ac:dyDescent="0.25">
      <c r="A56" s="19">
        <v>42381.317361111112</v>
      </c>
      <c r="B56" t="s">
        <v>90</v>
      </c>
      <c r="C56">
        <v>73.7</v>
      </c>
      <c r="D56">
        <v>7.37</v>
      </c>
      <c r="E56">
        <v>0.11</v>
      </c>
      <c r="F56">
        <v>715.34</v>
      </c>
    </row>
    <row r="57" spans="1:6" x14ac:dyDescent="0.25">
      <c r="A57" s="19">
        <v>42381.317361111112</v>
      </c>
      <c r="B57" t="s">
        <v>91</v>
      </c>
      <c r="C57">
        <v>73.7</v>
      </c>
      <c r="D57">
        <v>7.37</v>
      </c>
      <c r="E57">
        <v>0.19</v>
      </c>
      <c r="F57">
        <v>725.98</v>
      </c>
    </row>
    <row r="58" spans="1:6" x14ac:dyDescent="0.25">
      <c r="A58" s="19">
        <v>42381.317361111112</v>
      </c>
      <c r="B58" t="s">
        <v>92</v>
      </c>
      <c r="C58">
        <v>68.400000000000006</v>
      </c>
      <c r="D58">
        <v>7.65</v>
      </c>
      <c r="E58">
        <v>0.11</v>
      </c>
      <c r="F58">
        <v>736.61</v>
      </c>
    </row>
    <row r="59" spans="1:6" x14ac:dyDescent="0.25">
      <c r="A59" s="19">
        <v>42381.317361111112</v>
      </c>
      <c r="B59" t="s">
        <v>93</v>
      </c>
      <c r="C59">
        <v>71.099999999999994</v>
      </c>
      <c r="D59">
        <v>7.5</v>
      </c>
      <c r="E59">
        <v>0.14000000000000001</v>
      </c>
      <c r="F59">
        <v>747.24</v>
      </c>
    </row>
    <row r="60" spans="1:6" x14ac:dyDescent="0.25">
      <c r="A60" s="19">
        <v>42381.317361111112</v>
      </c>
      <c r="B60" t="s">
        <v>94</v>
      </c>
      <c r="C60">
        <v>71</v>
      </c>
      <c r="D60">
        <v>7.51</v>
      </c>
      <c r="E60">
        <v>0.13</v>
      </c>
      <c r="F60">
        <v>757.88</v>
      </c>
    </row>
    <row r="61" spans="1:6" x14ac:dyDescent="0.25">
      <c r="A61" s="19">
        <v>42381.317361111112</v>
      </c>
      <c r="B61" t="s">
        <v>95</v>
      </c>
      <c r="C61">
        <v>71</v>
      </c>
      <c r="D61">
        <v>7.51</v>
      </c>
      <c r="E61">
        <v>0.13</v>
      </c>
      <c r="F61">
        <v>768.51</v>
      </c>
    </row>
    <row r="62" spans="1:6" x14ac:dyDescent="0.25">
      <c r="A62" s="19">
        <v>42381.317361111112</v>
      </c>
      <c r="B62" t="s">
        <v>96</v>
      </c>
      <c r="C62">
        <v>72</v>
      </c>
      <c r="D62">
        <v>7.45</v>
      </c>
      <c r="E62">
        <v>0.13</v>
      </c>
      <c r="F62">
        <v>779.24</v>
      </c>
    </row>
    <row r="63" spans="1:6" x14ac:dyDescent="0.25">
      <c r="A63" s="19">
        <v>42381.317361111112</v>
      </c>
      <c r="B63" t="s">
        <v>97</v>
      </c>
      <c r="C63">
        <v>72.400000000000006</v>
      </c>
      <c r="D63">
        <v>7.43</v>
      </c>
      <c r="E63">
        <v>0.12</v>
      </c>
      <c r="F63">
        <v>789.87</v>
      </c>
    </row>
    <row r="64" spans="1:6" x14ac:dyDescent="0.25">
      <c r="A64" s="19">
        <v>42381.317361111112</v>
      </c>
      <c r="B64" t="s">
        <v>98</v>
      </c>
      <c r="C64">
        <v>68</v>
      </c>
      <c r="D64">
        <v>7.67</v>
      </c>
      <c r="E64">
        <v>0.12</v>
      </c>
      <c r="F64">
        <v>800.5</v>
      </c>
    </row>
    <row r="65" spans="1:6" x14ac:dyDescent="0.25">
      <c r="A65" s="19">
        <v>42381.317361111112</v>
      </c>
      <c r="B65" t="s">
        <v>99</v>
      </c>
      <c r="C65">
        <v>74.2</v>
      </c>
      <c r="D65">
        <v>7.34</v>
      </c>
      <c r="E65">
        <v>0.12</v>
      </c>
      <c r="F65">
        <v>811.14</v>
      </c>
    </row>
    <row r="66" spans="1:6" x14ac:dyDescent="0.25">
      <c r="A66" s="19">
        <v>42381.317361111112</v>
      </c>
      <c r="B66" t="s">
        <v>100</v>
      </c>
      <c r="C66">
        <v>75</v>
      </c>
      <c r="D66">
        <v>7.3</v>
      </c>
      <c r="E66">
        <v>0.13</v>
      </c>
      <c r="F66">
        <v>821.78</v>
      </c>
    </row>
    <row r="67" spans="1:6" x14ac:dyDescent="0.25">
      <c r="A67" s="19">
        <v>42381.317361111112</v>
      </c>
      <c r="B67" t="s">
        <v>101</v>
      </c>
      <c r="C67">
        <v>82</v>
      </c>
      <c r="D67">
        <v>6.98</v>
      </c>
      <c r="E67">
        <v>0.1</v>
      </c>
      <c r="F67">
        <v>832.41</v>
      </c>
    </row>
    <row r="68" spans="1:6" x14ac:dyDescent="0.25">
      <c r="A68" s="19">
        <v>42381.317361111112</v>
      </c>
      <c r="B68" t="s">
        <v>102</v>
      </c>
      <c r="C68">
        <v>78.599999999999994</v>
      </c>
      <c r="D68">
        <v>7.13</v>
      </c>
      <c r="E68">
        <v>0.1</v>
      </c>
      <c r="F68">
        <v>843.04</v>
      </c>
    </row>
    <row r="69" spans="1:6" x14ac:dyDescent="0.25">
      <c r="A69" s="19">
        <v>42381.317361111112</v>
      </c>
      <c r="B69" t="s">
        <v>103</v>
      </c>
      <c r="C69">
        <v>186.2</v>
      </c>
      <c r="D69">
        <v>4.63</v>
      </c>
      <c r="E69">
        <v>0.05</v>
      </c>
      <c r="F69">
        <v>853.68</v>
      </c>
    </row>
    <row r="70" spans="1:6" x14ac:dyDescent="0.25">
      <c r="A70" s="19">
        <v>42381.317361111112</v>
      </c>
      <c r="B70" t="s">
        <v>104</v>
      </c>
      <c r="C70">
        <v>146.5</v>
      </c>
      <c r="D70">
        <v>5.23</v>
      </c>
      <c r="E70">
        <v>0.06</v>
      </c>
      <c r="F70">
        <v>864.29</v>
      </c>
    </row>
    <row r="71" spans="1:6" x14ac:dyDescent="0.25">
      <c r="A71" s="19">
        <v>42381.317361111112</v>
      </c>
      <c r="B71" t="s">
        <v>105</v>
      </c>
      <c r="C71">
        <v>143.5</v>
      </c>
      <c r="D71">
        <v>5.28</v>
      </c>
      <c r="E71">
        <v>0.06</v>
      </c>
      <c r="F71">
        <v>874.93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4"/>
  <sheetViews>
    <sheetView zoomScale="79" workbookViewId="0">
      <selection activeCell="F36" sqref="F36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27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109</v>
      </c>
      <c r="C1" t="s">
        <v>24</v>
      </c>
      <c r="D1" t="s">
        <v>21</v>
      </c>
      <c r="E1" t="s">
        <v>108</v>
      </c>
      <c r="F1" t="s">
        <v>106</v>
      </c>
      <c r="G1" t="s">
        <v>107</v>
      </c>
    </row>
    <row r="2" spans="1:7" x14ac:dyDescent="0.25">
      <c r="A2" s="12" t="s">
        <v>88</v>
      </c>
      <c r="B2" s="12" t="s">
        <v>110</v>
      </c>
      <c r="C2">
        <v>1.21055555555556</v>
      </c>
      <c r="D2">
        <v>8.9823222222222193E-2</v>
      </c>
      <c r="E2" s="1" t="s">
        <v>113</v>
      </c>
      <c r="F2" s="1">
        <f>(C2-'Calibration Data'!$L$29)/'Calibration Data'!$L$30</f>
        <v>0.13863585962890326</v>
      </c>
      <c r="G2" s="16">
        <f>'Calibration Data'!$L$19/ABS('Calibration Data'!$L$30)*SQRT(1/'Calibration Data'!$L$20+1+(F2-AVERAGE('Calibration Data'!$L$3:$L$9))^2/('Calibration Data'!$L$30^2*SUM('Calibration Data'!$J$3:$J$8)))</f>
        <v>0.1266475721979699</v>
      </c>
    </row>
    <row r="3" spans="1:7" x14ac:dyDescent="0.25">
      <c r="A3" s="12" t="s">
        <v>89</v>
      </c>
      <c r="B3" s="12" t="s">
        <v>110</v>
      </c>
      <c r="C3">
        <v>1.2450000000000001</v>
      </c>
      <c r="D3">
        <v>9.1134000000000007E-2</v>
      </c>
      <c r="E3" s="1" t="s">
        <v>113</v>
      </c>
      <c r="F3" s="1">
        <f>(C3-'Calibration Data'!$L$29)/'Calibration Data'!$L$30</f>
        <v>0.14271465019157553</v>
      </c>
      <c r="G3" s="16">
        <f>'Calibration Data'!$L$19/ABS('Calibration Data'!$L$30)*SQRT(1/'Calibration Data'!$L$20+1+(F3-AVERAGE('Calibration Data'!$L$3:$L$9))^2/('Calibration Data'!$L$30^2*SUM('Calibration Data'!$J$3:$J$8)))</f>
        <v>0.12664753145957777</v>
      </c>
    </row>
    <row r="4" spans="1:7" x14ac:dyDescent="0.25">
      <c r="A4" s="12" t="s">
        <v>90</v>
      </c>
      <c r="B4" s="12" t="s">
        <v>110</v>
      </c>
      <c r="C4">
        <v>1.17444444444444</v>
      </c>
      <c r="D4">
        <v>8.8553111111111096E-2</v>
      </c>
      <c r="E4" s="1" t="s">
        <v>113</v>
      </c>
      <c r="F4" s="1">
        <f>(C4-'Calibration Data'!$L$29)/'Calibration Data'!$L$30</f>
        <v>0.13435970823255169</v>
      </c>
      <c r="G4" s="16">
        <f>'Calibration Data'!$L$19/ABS('Calibration Data'!$L$30)*SQRT(1/'Calibration Data'!$L$20+1+(F4-AVERAGE('Calibration Data'!$L$3:$L$9))^2/('Calibration Data'!$L$30^2*SUM('Calibration Data'!$J$3:$J$8)))</f>
        <v>0.12664761490896947</v>
      </c>
    </row>
    <row r="5" spans="1:7" x14ac:dyDescent="0.25">
      <c r="A5" s="12" t="s">
        <v>91</v>
      </c>
      <c r="B5" s="12" t="s">
        <v>110</v>
      </c>
      <c r="C5">
        <v>1.1783333333333299</v>
      </c>
      <c r="D5">
        <v>8.8728500000000002E-2</v>
      </c>
      <c r="E5" s="1" t="s">
        <v>113</v>
      </c>
      <c r="F5" s="1">
        <f>(C5-'Calibration Data'!$L$29)/'Calibration Data'!$L$30</f>
        <v>0.13482021684446649</v>
      </c>
      <c r="G5" s="16">
        <f>'Calibration Data'!$L$19/ABS('Calibration Data'!$L$30)*SQRT(1/'Calibration Data'!$L$20+1+(F5-AVERAGE('Calibration Data'!$L$3:$L$9))^2/('Calibration Data'!$L$30^2*SUM('Calibration Data'!$J$3:$J$8)))</f>
        <v>0.12664761030925478</v>
      </c>
    </row>
    <row r="6" spans="1:7" x14ac:dyDescent="0.25">
      <c r="A6" s="12" t="s">
        <v>92</v>
      </c>
      <c r="B6" s="12" t="s">
        <v>110</v>
      </c>
      <c r="C6">
        <v>1.2150000000000001</v>
      </c>
      <c r="D6">
        <v>9.0112499999999998E-2</v>
      </c>
      <c r="E6" s="1" t="s">
        <v>113</v>
      </c>
      <c r="F6" s="1">
        <f>(C6-'Calibration Data'!$L$29)/'Calibration Data'!$L$30</f>
        <v>0.13916215518537664</v>
      </c>
      <c r="G6" s="16">
        <f>'Calibration Data'!$L$19/ABS('Calibration Data'!$L$30)*SQRT(1/'Calibration Data'!$L$20+1+(F6-AVERAGE('Calibration Data'!$L$3:$L$9))^2/('Calibration Data'!$L$30^2*SUM('Calibration Data'!$J$3:$J$8)))</f>
        <v>0.1266475669413302</v>
      </c>
    </row>
    <row r="7" spans="1:7" x14ac:dyDescent="0.25">
      <c r="A7" s="12" t="s">
        <v>93</v>
      </c>
      <c r="B7" s="12" t="s">
        <v>110</v>
      </c>
      <c r="C7">
        <v>1.145</v>
      </c>
      <c r="D7">
        <v>8.74016666666666E-2</v>
      </c>
      <c r="E7" s="1" t="s">
        <v>113</v>
      </c>
      <c r="F7" s="1">
        <f>(C7-'Calibration Data'!$L$29)/'Calibration Data'!$L$30</f>
        <v>0.13087300017091258</v>
      </c>
      <c r="G7" s="16">
        <f>'Calibration Data'!$L$19/ABS('Calibration Data'!$L$30)*SQRT(1/'Calibration Data'!$L$20+1+(F7-AVERAGE('Calibration Data'!$L$3:$L$9))^2/('Calibration Data'!$L$30^2*SUM('Calibration Data'!$J$3:$J$8)))</f>
        <v>0.12664764973591827</v>
      </c>
    </row>
    <row r="8" spans="1:7" ht="15.75" customHeight="1" x14ac:dyDescent="0.25">
      <c r="A8" s="12" t="s">
        <v>94</v>
      </c>
      <c r="B8" s="12" t="s">
        <v>110</v>
      </c>
      <c r="C8">
        <v>1.15888888888889</v>
      </c>
      <c r="D8">
        <v>8.7921037037037006E-2</v>
      </c>
      <c r="E8" s="1" t="s">
        <v>113</v>
      </c>
      <c r="F8" s="1">
        <f>(C8-'Calibration Data'!$L$29)/'Calibration Data'!$L$30</f>
        <v>0.13251767378489365</v>
      </c>
      <c r="G8" s="16">
        <f>'Calibration Data'!$L$19/ABS('Calibration Data'!$L$30)*SQRT(1/'Calibration Data'!$L$20+1+(F8-AVERAGE('Calibration Data'!$L$3:$L$9))^2/('Calibration Data'!$L$30^2*SUM('Calibration Data'!$J$3:$J$8)))</f>
        <v>0.12664763330799395</v>
      </c>
    </row>
    <row r="9" spans="1:7" x14ac:dyDescent="0.25">
      <c r="A9" s="12" t="s">
        <v>95</v>
      </c>
      <c r="B9" s="12" t="s">
        <v>110</v>
      </c>
      <c r="C9">
        <v>1.19</v>
      </c>
      <c r="D9">
        <v>8.9131000000000002E-2</v>
      </c>
      <c r="E9" s="1" t="s">
        <v>113</v>
      </c>
      <c r="F9" s="1">
        <f>(C9-'Calibration Data'!$L$29)/'Calibration Data'!$L$30</f>
        <v>0.13620174268021087</v>
      </c>
      <c r="G9" s="16">
        <f>'Calibration Data'!$L$19/ABS('Calibration Data'!$L$30)*SQRT(1/'Calibration Data'!$L$20+1+(F9-AVERAGE('Calibration Data'!$L$3:$L$9))^2/('Calibration Data'!$L$30^2*SUM('Calibration Data'!$J$3:$J$8)))</f>
        <v>0.12664759651021001</v>
      </c>
    </row>
    <row r="10" spans="1:7" x14ac:dyDescent="0.25">
      <c r="A10" s="12" t="s">
        <v>96</v>
      </c>
      <c r="B10" s="12" t="s">
        <v>110</v>
      </c>
      <c r="C10">
        <v>1.2177777777777801</v>
      </c>
      <c r="D10">
        <v>9.0074962962962996E-2</v>
      </c>
      <c r="E10" s="1" t="s">
        <v>113</v>
      </c>
      <c r="F10" s="1">
        <f>(C10-'Calibration Data'!$L$29)/'Calibration Data'!$L$30</f>
        <v>0.1394910899081731</v>
      </c>
      <c r="G10" s="16">
        <f>'Calibration Data'!$L$19/ABS('Calibration Data'!$L$30)*SQRT(1/'Calibration Data'!$L$20+1+(F10-AVERAGE('Calibration Data'!$L$3:$L$9))^2/('Calibration Data'!$L$30^2*SUM('Calibration Data'!$J$3:$J$8)))</f>
        <v>0.12664756365594135</v>
      </c>
    </row>
    <row r="11" spans="1:7" x14ac:dyDescent="0.25">
      <c r="A11" s="12" t="s">
        <v>97</v>
      </c>
      <c r="B11" s="12" t="s">
        <v>110</v>
      </c>
      <c r="C11">
        <v>1.21444444444444</v>
      </c>
      <c r="D11">
        <v>8.9990333333333297E-2</v>
      </c>
      <c r="E11" s="1" t="s">
        <v>113</v>
      </c>
      <c r="F11" s="1">
        <f>(C11-'Calibration Data'!$L$29)/'Calibration Data'!$L$30</f>
        <v>0.13909636824081686</v>
      </c>
      <c r="G11" s="16">
        <f>'Calibration Data'!$L$19/ABS('Calibration Data'!$L$30)*SQRT(1/'Calibration Data'!$L$20+1+(F11-AVERAGE('Calibration Data'!$L$3:$L$9))^2/('Calibration Data'!$L$30^2*SUM('Calibration Data'!$J$3:$J$8)))</f>
        <v>0.12664756759840898</v>
      </c>
    </row>
    <row r="12" spans="1:7" x14ac:dyDescent="0.25">
      <c r="A12" s="12" t="s">
        <v>98</v>
      </c>
      <c r="B12" s="12" t="s">
        <v>110</v>
      </c>
      <c r="C12">
        <v>1.1983333333333299</v>
      </c>
      <c r="D12">
        <v>8.9435611111111105E-2</v>
      </c>
      <c r="E12" s="1" t="s">
        <v>113</v>
      </c>
      <c r="F12" s="1">
        <f>(C12-'Calibration Data'!$L$29)/'Calibration Data'!$L$30</f>
        <v>0.13718854684859907</v>
      </c>
      <c r="G12" s="16">
        <f>'Calibration Data'!$L$19/ABS('Calibration Data'!$L$30)*SQRT(1/'Calibration Data'!$L$20+1+(F12-AVERAGE('Calibration Data'!$L$3:$L$9))^2/('Calibration Data'!$L$30^2*SUM('Calibration Data'!$J$3:$J$8)))</f>
        <v>0.12664758665384068</v>
      </c>
    </row>
    <row r="13" spans="1:7" x14ac:dyDescent="0.25">
      <c r="A13" s="12" t="s">
        <v>99</v>
      </c>
      <c r="B13" s="12" t="s">
        <v>110</v>
      </c>
      <c r="C13">
        <v>1.2233333333333301</v>
      </c>
      <c r="D13">
        <v>9.0282000000000001E-2</v>
      </c>
      <c r="E13" s="1" t="s">
        <v>113</v>
      </c>
      <c r="F13" s="1">
        <f>(C13-'Calibration Data'!$L$29)/'Calibration Data'!$L$30</f>
        <v>0.14014895935376481</v>
      </c>
      <c r="G13" s="16">
        <f>'Calibration Data'!$L$19/ABS('Calibration Data'!$L$30)*SQRT(1/'Calibration Data'!$L$20+1+(F13-AVERAGE('Calibration Data'!$L$3:$L$9))^2/('Calibration Data'!$L$30^2*SUM('Calibration Data'!$J$3:$J$8)))</f>
        <v>0.12664755708518899</v>
      </c>
    </row>
    <row r="14" spans="1:7" x14ac:dyDescent="0.25">
      <c r="A14" s="12" t="s">
        <v>100</v>
      </c>
      <c r="B14" s="12" t="s">
        <v>110</v>
      </c>
      <c r="C14">
        <v>1.28</v>
      </c>
      <c r="D14">
        <v>9.2373333333333293E-2</v>
      </c>
      <c r="E14" s="1" t="s">
        <v>113</v>
      </c>
      <c r="F14" s="1">
        <f>(C14-'Calibration Data'!$L$29)/'Calibration Data'!$L$30</f>
        <v>0.14685922769880755</v>
      </c>
      <c r="G14" s="16">
        <f>'Calibration Data'!$L$19/ABS('Calibration Data'!$L$30)*SQRT(1/'Calibration Data'!$L$20+1+(F14-AVERAGE('Calibration Data'!$L$3:$L$9))^2/('Calibration Data'!$L$30^2*SUM('Calibration Data'!$J$3:$J$8)))</f>
        <v>0.12664749006544551</v>
      </c>
    </row>
    <row r="15" spans="1:7" x14ac:dyDescent="0.25">
      <c r="A15" s="12" t="s">
        <v>101</v>
      </c>
      <c r="B15" s="12" t="s">
        <v>110</v>
      </c>
      <c r="C15">
        <v>1.2949999999999999</v>
      </c>
      <c r="D15">
        <v>9.2980999999999994E-2</v>
      </c>
      <c r="E15" s="1" t="s">
        <v>113</v>
      </c>
      <c r="F15" s="1">
        <f>(C15-'Calibration Data'!$L$29)/'Calibration Data'!$L$30</f>
        <v>0.14863547520190695</v>
      </c>
      <c r="G15" s="16">
        <f>'Calibration Data'!$L$19/ABS('Calibration Data'!$L$30)*SQRT(1/'Calibration Data'!$L$20+1+(F15-AVERAGE('Calibration Data'!$L$3:$L$9))^2/('Calibration Data'!$L$30^2*SUM('Calibration Data'!$J$3:$J$8)))</f>
        <v>0.12664747232551371</v>
      </c>
    </row>
    <row r="16" spans="1:7" x14ac:dyDescent="0.25">
      <c r="A16" s="12" t="s">
        <v>102</v>
      </c>
      <c r="B16" s="12" t="s">
        <v>110</v>
      </c>
      <c r="C16">
        <v>1.3205555555555599</v>
      </c>
      <c r="D16">
        <v>9.3838677777777796E-2</v>
      </c>
      <c r="E16" s="1" t="s">
        <v>113</v>
      </c>
      <c r="F16" s="1">
        <f>(C16-'Calibration Data'!$L$29)/'Calibration Data'!$L$30</f>
        <v>0.15166167465163247</v>
      </c>
      <c r="G16" s="16">
        <f>'Calibration Data'!$L$19/ABS('Calibration Data'!$L$30)*SQRT(1/'Calibration Data'!$L$20+1+(F16-AVERAGE('Calibration Data'!$L$3:$L$9))^2/('Calibration Data'!$L$30^2*SUM('Calibration Data'!$J$3:$J$8)))</f>
        <v>0.12664744210249368</v>
      </c>
    </row>
    <row r="17" spans="1:7" x14ac:dyDescent="0.25">
      <c r="A17" s="12" t="s">
        <v>103</v>
      </c>
      <c r="B17" s="12" t="s">
        <v>110</v>
      </c>
      <c r="C17">
        <v>3.06555555555556</v>
      </c>
      <c r="D17">
        <v>0.14295707407407399</v>
      </c>
      <c r="E17" s="1" t="s">
        <v>113</v>
      </c>
      <c r="F17" s="1">
        <f>(C17-'Calibration Data'!$L$29)/'Calibration Data'!$L$30</f>
        <v>0.35829846751220068</v>
      </c>
      <c r="G17" s="16">
        <f>'Calibration Data'!$L$19/ABS('Calibration Data'!$L$30)*SQRT(1/'Calibration Data'!$L$20+1+(F17-AVERAGE('Calibration Data'!$L$3:$L$9))^2/('Calibration Data'!$L$30^2*SUM('Calibration Data'!$J$3:$J$8)))</f>
        <v>0.12664538008742116</v>
      </c>
    </row>
    <row r="18" spans="1:7" x14ac:dyDescent="0.25">
      <c r="A18" s="12" t="s">
        <v>104</v>
      </c>
      <c r="B18" s="12" t="s">
        <v>110</v>
      </c>
      <c r="C18">
        <v>2.56111111111111</v>
      </c>
      <c r="D18">
        <v>0.13078740740740699</v>
      </c>
      <c r="E18" s="1" t="s">
        <v>113</v>
      </c>
      <c r="F18" s="1">
        <f>(C18-'Calibration Data'!$L$29)/'Calibration Data'!$L$30</f>
        <v>0.29856392185241143</v>
      </c>
      <c r="G18" s="16">
        <f>'Calibration Data'!$L$19/ABS('Calibration Data'!$L$30)*SQRT(1/'Calibration Data'!$L$20+1+(F18-AVERAGE('Calibration Data'!$L$3:$L$9))^2/('Calibration Data'!$L$30^2*SUM('Calibration Data'!$J$3:$J$8)))</f>
        <v>0.1266459758319273</v>
      </c>
    </row>
    <row r="19" spans="1:7" x14ac:dyDescent="0.25">
      <c r="A19" s="12" t="s">
        <v>105</v>
      </c>
      <c r="B19" s="12" t="s">
        <v>110</v>
      </c>
      <c r="C19">
        <v>2.5472222222222198</v>
      </c>
      <c r="D19">
        <v>0.13041777777777799</v>
      </c>
      <c r="E19" s="1" t="s">
        <v>113</v>
      </c>
      <c r="F19" s="1">
        <f>(C19-'Calibration Data'!$L$29)/'Calibration Data'!$L$30</f>
        <v>0.2969192482384303</v>
      </c>
      <c r="G19" s="16">
        <f>'Calibration Data'!$L$19/ABS('Calibration Data'!$L$30)*SQRT(1/'Calibration Data'!$L$20+1+(F19-AVERAGE('Calibration Data'!$L$3:$L$9))^2/('Calibration Data'!$L$30^2*SUM('Calibration Data'!$J$3:$J$8)))</f>
        <v>0.12664599223852602</v>
      </c>
    </row>
    <row r="20" spans="1:7" x14ac:dyDescent="0.25">
      <c r="A20" s="12" t="s">
        <v>129</v>
      </c>
      <c r="B20" s="12" t="s">
        <v>110</v>
      </c>
      <c r="C20">
        <v>5.0379166666666704</v>
      </c>
      <c r="D20">
        <v>0.18325421875</v>
      </c>
      <c r="E20" s="1" t="s">
        <v>113</v>
      </c>
      <c r="F20" s="1">
        <f>(C20-'Calibration Data'!$L$29)/'Calibration Data'!$L$30</f>
        <v>0.59185856743363718</v>
      </c>
      <c r="G20" s="16">
        <f>'Calibration Data'!$L$19/ABS('Calibration Data'!$L$30)*SQRT(1/'Calibration Data'!$L$20+1+(F20-AVERAGE('Calibration Data'!$L$3:$L$9))^2/('Calibration Data'!$L$30^2*SUM('Calibration Data'!$J$3:$J$8)))</f>
        <v>0.12664305342085061</v>
      </c>
    </row>
    <row r="21" spans="1:7" x14ac:dyDescent="0.25">
      <c r="A21" s="12" t="s">
        <v>130</v>
      </c>
      <c r="B21" s="12" t="s">
        <v>110</v>
      </c>
      <c r="C21">
        <v>8.6120833333333309</v>
      </c>
      <c r="D21">
        <v>0.23941591666666701</v>
      </c>
      <c r="E21" s="1" t="s">
        <v>113</v>
      </c>
      <c r="F21" s="1">
        <f>(C21-'Calibration Data'!$L$29)/'Calibration Data'!$L$30</f>
        <v>1.0150988752554975</v>
      </c>
      <c r="G21" s="16">
        <f>'Calibration Data'!$L$19/ABS('Calibration Data'!$L$30)*SQRT(1/'Calibration Data'!$L$20+1+(F21-AVERAGE('Calibration Data'!$L$3:$L$9))^2/('Calibration Data'!$L$30^2*SUM('Calibration Data'!$J$3:$J$8)))</f>
        <v>0.12663884806303111</v>
      </c>
    </row>
    <row r="22" spans="1:7" x14ac:dyDescent="0.25">
      <c r="A22" s="12" t="s">
        <v>131</v>
      </c>
      <c r="B22" s="12" t="s">
        <v>110</v>
      </c>
      <c r="C22">
        <v>8.5741666666666703</v>
      </c>
      <c r="D22">
        <v>0.23900489583333301</v>
      </c>
      <c r="E22" s="1" t="s">
        <v>113</v>
      </c>
      <c r="F22" s="1">
        <f>(C22-'Calibration Data'!$L$29)/'Calibration Data'!$L$30</f>
        <v>1.0106089162893301</v>
      </c>
      <c r="G22" s="16">
        <f>'Calibration Data'!$L$19/ABS('Calibration Data'!$L$30)*SQRT(1/'Calibration Data'!$L$20+1+(F22-AVERAGE('Calibration Data'!$L$3:$L$9))^2/('Calibration Data'!$L$30^2*SUM('Calibration Data'!$J$3:$J$8)))</f>
        <v>0.12663889260228808</v>
      </c>
    </row>
    <row r="23" spans="1:7" x14ac:dyDescent="0.25">
      <c r="A23" s="12" t="s">
        <v>132</v>
      </c>
      <c r="B23" s="12" t="s">
        <v>110</v>
      </c>
      <c r="C23">
        <v>5.6879166666666698</v>
      </c>
      <c r="D23">
        <v>0.194668947916667</v>
      </c>
      <c r="E23" s="1" t="s">
        <v>113</v>
      </c>
      <c r="F23" s="1">
        <f>(C23-'Calibration Data'!$L$29)/'Calibration Data'!$L$30</f>
        <v>0.66882929256794621</v>
      </c>
      <c r="G23" s="16">
        <f>'Calibration Data'!$L$19/ABS('Calibration Data'!$L$30)*SQRT(1/'Calibration Data'!$L$20+1+(F23-AVERAGE('Calibration Data'!$L$3:$L$9))^2/('Calibration Data'!$L$30^2*SUM('Calibration Data'!$J$3:$J$8)))</f>
        <v>0.12664228759128809</v>
      </c>
    </row>
    <row r="24" spans="1:7" s="20" customFormat="1" x14ac:dyDescent="0.25">
      <c r="A24" s="12" t="s">
        <v>88</v>
      </c>
      <c r="B24" s="13" t="s">
        <v>111</v>
      </c>
      <c r="E24" s="21" t="s">
        <v>142</v>
      </c>
      <c r="F24" s="1"/>
      <c r="G24" s="16"/>
    </row>
    <row r="25" spans="1:7" x14ac:dyDescent="0.25">
      <c r="A25" s="12" t="s">
        <v>89</v>
      </c>
      <c r="B25" s="13" t="s">
        <v>111</v>
      </c>
      <c r="E25" s="21" t="s">
        <v>142</v>
      </c>
      <c r="F25" s="1"/>
      <c r="G25" s="16"/>
    </row>
    <row r="26" spans="1:7" x14ac:dyDescent="0.25">
      <c r="A26" s="12" t="s">
        <v>90</v>
      </c>
      <c r="B26" s="13" t="s">
        <v>111</v>
      </c>
      <c r="E26" s="21" t="s">
        <v>142</v>
      </c>
      <c r="F26" s="1"/>
      <c r="G26" s="16"/>
    </row>
    <row r="27" spans="1:7" x14ac:dyDescent="0.25">
      <c r="A27" s="12" t="s">
        <v>91</v>
      </c>
      <c r="B27" s="13" t="s">
        <v>111</v>
      </c>
      <c r="E27" s="21" t="s">
        <v>142</v>
      </c>
      <c r="F27" s="1">
        <v>2.7749999999999999</v>
      </c>
      <c r="G27" s="16">
        <v>0.25219999999999998</v>
      </c>
    </row>
    <row r="28" spans="1:7" x14ac:dyDescent="0.25">
      <c r="A28" s="12" t="s">
        <v>92</v>
      </c>
      <c r="B28" s="13" t="s">
        <v>111</v>
      </c>
      <c r="E28" s="21" t="s">
        <v>142</v>
      </c>
      <c r="F28" s="1">
        <v>3.2250000000000001</v>
      </c>
      <c r="G28" s="16">
        <v>0.2591</v>
      </c>
    </row>
    <row r="29" spans="1:7" x14ac:dyDescent="0.25">
      <c r="A29" s="12" t="s">
        <v>93</v>
      </c>
      <c r="B29" s="13" t="s">
        <v>111</v>
      </c>
      <c r="E29" s="21" t="s">
        <v>142</v>
      </c>
      <c r="F29" s="1"/>
      <c r="G29" s="16"/>
    </row>
    <row r="30" spans="1:7" x14ac:dyDescent="0.25">
      <c r="A30" s="12" t="s">
        <v>94</v>
      </c>
      <c r="B30" s="13" t="s">
        <v>111</v>
      </c>
      <c r="C30" s="15"/>
      <c r="D30" s="15"/>
      <c r="E30" s="21" t="s">
        <v>142</v>
      </c>
      <c r="F30" s="1">
        <v>6.1120000000000001</v>
      </c>
      <c r="G30" s="16">
        <v>0.32490000000000002</v>
      </c>
    </row>
    <row r="31" spans="1:7" x14ac:dyDescent="0.25">
      <c r="A31" s="12" t="s">
        <v>95</v>
      </c>
      <c r="B31" s="13" t="s">
        <v>111</v>
      </c>
      <c r="C31" s="15"/>
      <c r="D31" s="15"/>
      <c r="E31" s="21" t="s">
        <v>142</v>
      </c>
      <c r="F31" s="1">
        <v>5.9980000000000002</v>
      </c>
      <c r="G31" s="16">
        <v>0.3201</v>
      </c>
    </row>
    <row r="32" spans="1:7" x14ac:dyDescent="0.25">
      <c r="A32" s="12" t="s">
        <v>96</v>
      </c>
      <c r="B32" s="13" t="s">
        <v>111</v>
      </c>
      <c r="C32" s="15"/>
      <c r="D32" s="15"/>
      <c r="E32" s="21" t="s">
        <v>142</v>
      </c>
      <c r="F32" s="1">
        <v>5.6020000000000003</v>
      </c>
      <c r="G32" s="16">
        <v>0.37659999999999999</v>
      </c>
    </row>
    <row r="33" spans="1:7" x14ac:dyDescent="0.25">
      <c r="A33" s="12" t="s">
        <v>97</v>
      </c>
      <c r="B33" s="13" t="s">
        <v>111</v>
      </c>
      <c r="C33" s="15"/>
      <c r="D33" s="15"/>
      <c r="E33" s="21" t="s">
        <v>142</v>
      </c>
      <c r="F33" s="1">
        <v>21.28</v>
      </c>
      <c r="G33" s="16">
        <v>1.0509999999999999</v>
      </c>
    </row>
    <row r="34" spans="1:7" x14ac:dyDescent="0.25">
      <c r="A34" s="12" t="s">
        <v>98</v>
      </c>
      <c r="B34" s="13" t="s">
        <v>111</v>
      </c>
      <c r="C34" s="15"/>
      <c r="D34" s="15"/>
      <c r="E34" s="21" t="s">
        <v>142</v>
      </c>
      <c r="F34" s="1">
        <v>20.83</v>
      </c>
      <c r="G34" s="16">
        <v>0.94069999999999998</v>
      </c>
    </row>
    <row r="35" spans="1:7" x14ac:dyDescent="0.25">
      <c r="A35" s="12" t="s">
        <v>99</v>
      </c>
      <c r="B35" s="13" t="s">
        <v>111</v>
      </c>
      <c r="C35" s="15"/>
      <c r="D35" s="15"/>
      <c r="E35" s="21" t="s">
        <v>142</v>
      </c>
      <c r="F35" s="1">
        <v>21.45</v>
      </c>
      <c r="G35" s="16">
        <v>1.032</v>
      </c>
    </row>
    <row r="36" spans="1:7" x14ac:dyDescent="0.25">
      <c r="A36" s="12" t="s">
        <v>100</v>
      </c>
      <c r="B36" s="13" t="s">
        <v>111</v>
      </c>
      <c r="E36" s="21" t="s">
        <v>142</v>
      </c>
      <c r="F36" s="1">
        <v>38.81</v>
      </c>
      <c r="G36" s="16">
        <v>1.6040000000000001</v>
      </c>
    </row>
    <row r="37" spans="1:7" x14ac:dyDescent="0.25">
      <c r="A37" s="12" t="s">
        <v>101</v>
      </c>
      <c r="B37" s="13" t="s">
        <v>111</v>
      </c>
      <c r="E37" s="21" t="s">
        <v>142</v>
      </c>
      <c r="F37" s="1">
        <v>38.840000000000003</v>
      </c>
      <c r="G37" s="16">
        <v>1.5049999999999999</v>
      </c>
    </row>
    <row r="38" spans="1:7" x14ac:dyDescent="0.25">
      <c r="A38" s="12" t="s">
        <v>102</v>
      </c>
      <c r="B38" s="13" t="s">
        <v>111</v>
      </c>
      <c r="E38" s="21" t="s">
        <v>142</v>
      </c>
      <c r="F38" s="1">
        <v>40.43</v>
      </c>
      <c r="G38" s="16">
        <v>1.591</v>
      </c>
    </row>
    <row r="39" spans="1:7" x14ac:dyDescent="0.25">
      <c r="A39" s="12" t="s">
        <v>103</v>
      </c>
      <c r="B39" s="13" t="s">
        <v>111</v>
      </c>
      <c r="E39" s="21" t="s">
        <v>142</v>
      </c>
      <c r="F39" s="1">
        <v>192.2</v>
      </c>
      <c r="G39" s="16">
        <v>6.4370000000000003</v>
      </c>
    </row>
    <row r="40" spans="1:7" x14ac:dyDescent="0.25">
      <c r="A40" s="12" t="s">
        <v>104</v>
      </c>
      <c r="B40" s="13" t="s">
        <v>111</v>
      </c>
      <c r="E40" s="21" t="s">
        <v>142</v>
      </c>
      <c r="F40" s="1">
        <v>181.3</v>
      </c>
      <c r="G40" s="16">
        <v>6.2560000000000002</v>
      </c>
    </row>
    <row r="41" spans="1:7" x14ac:dyDescent="0.25">
      <c r="A41" s="12" t="s">
        <v>105</v>
      </c>
      <c r="B41" s="13" t="s">
        <v>111</v>
      </c>
      <c r="E41" s="21" t="s">
        <v>142</v>
      </c>
      <c r="F41" s="1">
        <v>197.3</v>
      </c>
      <c r="G41" s="16">
        <v>10.15</v>
      </c>
    </row>
    <row r="42" spans="1:7" x14ac:dyDescent="0.25">
      <c r="A42" s="13" t="s">
        <v>100</v>
      </c>
      <c r="B42" s="13" t="s">
        <v>110</v>
      </c>
      <c r="C42" s="15"/>
      <c r="D42" s="15"/>
      <c r="E42" s="21" t="s">
        <v>142</v>
      </c>
      <c r="F42" s="1"/>
      <c r="G42" s="16"/>
    </row>
    <row r="43" spans="1:7" x14ac:dyDescent="0.25">
      <c r="A43" s="13" t="s">
        <v>114</v>
      </c>
      <c r="B43" s="13" t="s">
        <v>110</v>
      </c>
      <c r="C43" s="15"/>
      <c r="D43" s="15"/>
      <c r="E43" s="21" t="s">
        <v>142</v>
      </c>
      <c r="F43" s="1"/>
      <c r="G43" s="16"/>
    </row>
    <row r="44" spans="1:7" x14ac:dyDescent="0.25">
      <c r="A44" s="13" t="s">
        <v>114</v>
      </c>
      <c r="B44" s="13" t="s">
        <v>111</v>
      </c>
      <c r="E44" s="21" t="s">
        <v>142</v>
      </c>
      <c r="F44" s="1"/>
      <c r="G44" s="1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7"/>
  <sheetViews>
    <sheetView topLeftCell="A31" workbookViewId="0">
      <selection activeCell="K7" sqref="K7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1" width="32.85546875" bestFit="1" customWidth="1"/>
    <col min="12" max="12" width="34.7109375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31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143</v>
      </c>
      <c r="K1" s="2" t="s">
        <v>48</v>
      </c>
      <c r="L1" s="2" t="s">
        <v>49</v>
      </c>
      <c r="M1" s="2"/>
      <c r="N1" s="2"/>
    </row>
    <row r="2" spans="1:31" x14ac:dyDescent="0.25">
      <c r="A2" s="3" t="s">
        <v>50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-2.1646065597239774</v>
      </c>
      <c r="L2">
        <f>D2*$B$30+$B$29</f>
        <v>0.13209164838024126</v>
      </c>
    </row>
    <row r="3" spans="1:31" x14ac:dyDescent="0.25">
      <c r="A3" s="3" t="s">
        <v>36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38">
        <f t="shared" ref="I3:I8" si="1">H3*37000</f>
        <v>0.31819999999999998</v>
      </c>
      <c r="J3" s="5">
        <f>(I3-AVERAGE($I$3:$I$8))^2</f>
        <v>1225.1400040000001</v>
      </c>
      <c r="K3">
        <f>F3*$B$63+$B$62</f>
        <v>-1.2169279363331229</v>
      </c>
      <c r="L3">
        <f t="shared" ref="L3:L10" si="2">D3*$B$30+$B$29</f>
        <v>0.41681673309525025</v>
      </c>
    </row>
    <row r="4" spans="1:31" x14ac:dyDescent="0.25">
      <c r="A4" s="3" t="s">
        <v>37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38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0.6390707787022003</v>
      </c>
      <c r="L4">
        <f t="shared" si="2"/>
        <v>1.6756463301427775</v>
      </c>
    </row>
    <row r="5" spans="1:31" x14ac:dyDescent="0.25">
      <c r="A5" s="3" t="s">
        <v>38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38">
        <f t="shared" si="1"/>
        <v>3.1819999999999999</v>
      </c>
      <c r="J5" s="5">
        <f t="shared" si="3"/>
        <v>1032.8638992399999</v>
      </c>
      <c r="K5">
        <f t="shared" si="4"/>
        <v>2.5382625946651718</v>
      </c>
      <c r="L5">
        <f t="shared" si="2"/>
        <v>3.2236087246307998</v>
      </c>
    </row>
    <row r="6" spans="1:31" x14ac:dyDescent="0.25">
      <c r="A6" s="3" t="s">
        <v>39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38">
        <f t="shared" si="1"/>
        <v>15.91</v>
      </c>
      <c r="J6" s="5">
        <f t="shared" si="3"/>
        <v>376.75586404000001</v>
      </c>
      <c r="K6">
        <f t="shared" si="4"/>
        <v>17.992584891697263</v>
      </c>
      <c r="L6">
        <f t="shared" si="2"/>
        <v>15.781905933869924</v>
      </c>
    </row>
    <row r="7" spans="1:31" x14ac:dyDescent="0.25">
      <c r="A7" s="3" t="s">
        <v>40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38">
        <f t="shared" si="1"/>
        <v>31.82</v>
      </c>
      <c r="J7" s="5">
        <f t="shared" si="3"/>
        <v>12.251400039999996</v>
      </c>
      <c r="K7">
        <f t="shared" si="4"/>
        <v>36.338054252297198</v>
      </c>
      <c r="L7">
        <f t="shared" si="2"/>
        <v>31.685788675267496</v>
      </c>
    </row>
    <row r="8" spans="1:31" x14ac:dyDescent="0.25">
      <c r="A8" s="3" t="s">
        <v>41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38">
        <f t="shared" si="1"/>
        <v>159.1</v>
      </c>
      <c r="J8" s="5">
        <f t="shared" si="3"/>
        <v>15321.438888039998</v>
      </c>
      <c r="K8">
        <f t="shared" si="4"/>
        <v>157.79476197869525</v>
      </c>
      <c r="L8">
        <f t="shared" si="2"/>
        <v>159.1374336029937</v>
      </c>
    </row>
    <row r="9" spans="1:31" x14ac:dyDescent="0.25">
      <c r="A9" s="4" t="s">
        <v>144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777.96958299445589</v>
      </c>
      <c r="L9">
        <f t="shared" si="2"/>
        <v>675.45815221486782</v>
      </c>
    </row>
    <row r="10" spans="1:31" x14ac:dyDescent="0.25">
      <c r="A10" s="4" t="s">
        <v>145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25">
      <c r="A11" s="4"/>
      <c r="F11"/>
      <c r="G11"/>
      <c r="H11" s="5"/>
      <c r="I11" s="5"/>
      <c r="J11" s="5"/>
    </row>
    <row r="12" spans="1:31" s="18" customFormat="1" x14ac:dyDescent="0.25">
      <c r="A12" s="31" t="s">
        <v>51</v>
      </c>
      <c r="B12" s="17"/>
      <c r="C12" s="17"/>
      <c r="D12" s="17"/>
      <c r="E12" s="17"/>
      <c r="F12" s="17"/>
      <c r="G12" s="17"/>
      <c r="H12" s="17"/>
      <c r="I12" s="32"/>
      <c r="J12" s="17"/>
    </row>
    <row r="13" spans="1:31" x14ac:dyDescent="0.25">
      <c r="A13" t="s">
        <v>52</v>
      </c>
      <c r="B13" t="s">
        <v>146</v>
      </c>
      <c r="C13"/>
      <c r="D13"/>
      <c r="E13"/>
      <c r="F13"/>
      <c r="G13"/>
      <c r="H13"/>
      <c r="I13"/>
      <c r="K13" t="s">
        <v>52</v>
      </c>
    </row>
    <row r="14" spans="1:31" ht="15.75" thickBot="1" x14ac:dyDescent="0.3">
      <c r="A14"/>
      <c r="B14"/>
      <c r="C14"/>
      <c r="D14"/>
      <c r="E14"/>
      <c r="F14"/>
      <c r="G14"/>
      <c r="H14"/>
      <c r="I14"/>
    </row>
    <row r="15" spans="1:31" x14ac:dyDescent="0.25">
      <c r="A15" s="6" t="s">
        <v>53</v>
      </c>
      <c r="B15" s="6"/>
      <c r="C15"/>
      <c r="D15"/>
      <c r="E15"/>
      <c r="F15"/>
      <c r="G15"/>
      <c r="H15"/>
      <c r="I15"/>
      <c r="J15" s="33"/>
      <c r="K15" s="6" t="s">
        <v>53</v>
      </c>
      <c r="L15" s="6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</row>
    <row r="16" spans="1:31" x14ac:dyDescent="0.25">
      <c r="A16" s="7" t="s">
        <v>54</v>
      </c>
      <c r="B16" s="7">
        <v>0.99999857522978297</v>
      </c>
      <c r="C16"/>
      <c r="D16"/>
      <c r="E16"/>
      <c r="F16"/>
      <c r="G16"/>
      <c r="H16"/>
      <c r="I16"/>
      <c r="J16" s="33"/>
      <c r="K16" s="7" t="s">
        <v>54</v>
      </c>
      <c r="L16" s="7">
        <v>0.99999857522978297</v>
      </c>
      <c r="T16" s="20"/>
      <c r="U16" s="20"/>
      <c r="V16" s="8"/>
      <c r="W16" s="8"/>
      <c r="X16" s="20"/>
      <c r="Y16" s="20"/>
      <c r="Z16" s="20"/>
      <c r="AA16" s="20"/>
      <c r="AB16" s="20"/>
      <c r="AC16" s="20"/>
      <c r="AD16" s="20"/>
      <c r="AE16" s="20"/>
    </row>
    <row r="17" spans="1:31" x14ac:dyDescent="0.25">
      <c r="A17" s="7" t="s">
        <v>55</v>
      </c>
      <c r="B17" s="7">
        <v>0.99999715046159587</v>
      </c>
      <c r="C17"/>
      <c r="D17"/>
      <c r="E17"/>
      <c r="F17"/>
      <c r="G17"/>
      <c r="H17"/>
      <c r="I17"/>
      <c r="J17" s="33"/>
      <c r="K17" s="7" t="s">
        <v>55</v>
      </c>
      <c r="L17" s="7">
        <v>0.99999715046159587</v>
      </c>
      <c r="T17" s="20"/>
      <c r="U17" s="20"/>
      <c r="V17" s="7"/>
      <c r="W17" s="7"/>
      <c r="X17" s="20"/>
      <c r="Y17" s="20"/>
      <c r="Z17" s="20"/>
      <c r="AA17" s="20"/>
      <c r="AB17" s="20"/>
      <c r="AC17" s="20"/>
      <c r="AD17" s="20"/>
      <c r="AE17" s="20"/>
    </row>
    <row r="18" spans="1:31" x14ac:dyDescent="0.25">
      <c r="A18" s="7" t="s">
        <v>56</v>
      </c>
      <c r="B18" s="7">
        <v>0.99999643807699479</v>
      </c>
      <c r="C18"/>
      <c r="D18"/>
      <c r="E18"/>
      <c r="F18"/>
      <c r="G18"/>
      <c r="H18"/>
      <c r="I18"/>
      <c r="J18" s="33"/>
      <c r="K18" s="7" t="s">
        <v>56</v>
      </c>
      <c r="L18" s="7">
        <v>0.99999643807699479</v>
      </c>
      <c r="T18" s="20"/>
      <c r="U18" s="20"/>
      <c r="V18" s="7"/>
      <c r="W18" s="7"/>
      <c r="X18" s="20"/>
      <c r="Y18" s="20"/>
      <c r="Z18" s="20"/>
      <c r="AA18" s="20"/>
      <c r="AB18" s="20"/>
      <c r="AC18" s="20"/>
      <c r="AD18" s="20"/>
      <c r="AE18" s="20"/>
    </row>
    <row r="19" spans="1:31" x14ac:dyDescent="0.25">
      <c r="A19" s="7" t="s">
        <v>57</v>
      </c>
      <c r="B19" s="7">
        <v>0.11666575259658109</v>
      </c>
      <c r="C19"/>
      <c r="D19"/>
      <c r="E19"/>
      <c r="F19"/>
      <c r="G19"/>
      <c r="H19"/>
      <c r="I19"/>
      <c r="J19" s="33"/>
      <c r="K19" s="7" t="s">
        <v>57</v>
      </c>
      <c r="L19" s="7">
        <v>0.98521674441589902</v>
      </c>
      <c r="T19" s="20"/>
      <c r="U19" s="20"/>
      <c r="V19" s="7"/>
      <c r="W19" s="7"/>
      <c r="X19" s="20"/>
      <c r="Y19" s="20"/>
      <c r="Z19" s="20"/>
      <c r="AA19" s="20"/>
      <c r="AB19" s="20"/>
      <c r="AC19" s="20"/>
      <c r="AD19" s="20"/>
      <c r="AE19" s="20"/>
    </row>
    <row r="20" spans="1:31" ht="15.75" customHeight="1" thickBot="1" x14ac:dyDescent="0.3">
      <c r="A20" s="9" t="s">
        <v>58</v>
      </c>
      <c r="B20" s="9">
        <v>6</v>
      </c>
      <c r="C20"/>
      <c r="D20"/>
      <c r="E20"/>
      <c r="F20"/>
      <c r="G20"/>
      <c r="H20"/>
      <c r="I20"/>
      <c r="J20" s="33"/>
      <c r="K20" s="9" t="s">
        <v>58</v>
      </c>
      <c r="L20" s="9">
        <v>6</v>
      </c>
      <c r="T20" s="20"/>
      <c r="U20" s="20"/>
      <c r="V20" s="7"/>
      <c r="W20" s="7"/>
      <c r="X20" s="20"/>
      <c r="Y20" s="20"/>
      <c r="Z20" s="20"/>
      <c r="AA20" s="20"/>
      <c r="AB20" s="20"/>
      <c r="AC20" s="20"/>
      <c r="AD20" s="20"/>
      <c r="AE20" s="20"/>
    </row>
    <row r="21" spans="1:31" x14ac:dyDescent="0.25">
      <c r="A21"/>
      <c r="B21"/>
      <c r="C21"/>
      <c r="D21"/>
      <c r="E21"/>
      <c r="F21"/>
      <c r="G21"/>
      <c r="H21"/>
      <c r="I21"/>
      <c r="J21" s="33"/>
      <c r="T21" s="20"/>
      <c r="U21" s="20"/>
      <c r="V21" s="7"/>
      <c r="W21" s="7"/>
      <c r="X21" s="20"/>
      <c r="Y21" s="20"/>
      <c r="Z21" s="20"/>
      <c r="AA21" s="20"/>
      <c r="AB21" s="20"/>
      <c r="AC21" s="20"/>
      <c r="AD21" s="20"/>
      <c r="AE21" s="20"/>
    </row>
    <row r="22" spans="1:31" ht="15.75" customHeight="1" thickBot="1" x14ac:dyDescent="0.3">
      <c r="A22" t="s">
        <v>59</v>
      </c>
      <c r="B22"/>
      <c r="C22"/>
      <c r="D22"/>
      <c r="E22"/>
      <c r="F22"/>
      <c r="G22"/>
      <c r="H22"/>
      <c r="I22"/>
      <c r="J22" s="33"/>
      <c r="K22" t="s">
        <v>59</v>
      </c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1" x14ac:dyDescent="0.25">
      <c r="A23" s="10"/>
      <c r="B23" s="10" t="s">
        <v>60</v>
      </c>
      <c r="C23" s="10" t="s">
        <v>61</v>
      </c>
      <c r="D23" s="10" t="s">
        <v>62</v>
      </c>
      <c r="E23" s="10" t="s">
        <v>63</v>
      </c>
      <c r="F23" s="10" t="s">
        <v>64</v>
      </c>
      <c r="G23"/>
      <c r="H23"/>
      <c r="I23"/>
      <c r="J23" s="33"/>
      <c r="K23" s="10"/>
      <c r="L23" s="10" t="s">
        <v>60</v>
      </c>
      <c r="M23" s="10" t="s">
        <v>61</v>
      </c>
      <c r="N23" s="10" t="s">
        <v>62</v>
      </c>
      <c r="O23" s="10" t="s">
        <v>63</v>
      </c>
      <c r="P23" s="10" t="s">
        <v>64</v>
      </c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 spans="1:31" x14ac:dyDescent="0.25">
      <c r="A24" s="7" t="s">
        <v>65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33"/>
      <c r="K24" s="7" t="s">
        <v>65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0"/>
      <c r="U24" s="20"/>
      <c r="V24" s="34"/>
      <c r="W24" s="34"/>
      <c r="X24" s="34"/>
      <c r="Y24" s="34"/>
      <c r="Z24" s="34"/>
      <c r="AA24" s="34"/>
      <c r="AB24" s="20"/>
      <c r="AC24" s="20"/>
      <c r="AD24" s="20"/>
      <c r="AE24" s="20"/>
    </row>
    <row r="25" spans="1:31" x14ac:dyDescent="0.25">
      <c r="A25" s="7" t="s">
        <v>66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33"/>
      <c r="K25" s="7" t="s">
        <v>66</v>
      </c>
      <c r="L25" s="7">
        <v>4</v>
      </c>
      <c r="M25" s="7">
        <v>3.8826081339098519</v>
      </c>
      <c r="N25" s="7">
        <v>0.97065203347746298</v>
      </c>
      <c r="O25" s="7"/>
      <c r="P25" s="7"/>
      <c r="T25" s="20"/>
      <c r="U25" s="20"/>
      <c r="V25" s="7"/>
      <c r="W25" s="7"/>
      <c r="X25" s="7"/>
      <c r="Y25" s="7"/>
      <c r="Z25" s="7"/>
      <c r="AA25" s="7"/>
      <c r="AB25" s="20"/>
      <c r="AC25" s="20"/>
      <c r="AD25" s="20"/>
      <c r="AE25" s="20"/>
    </row>
    <row r="26" spans="1:31" ht="15.75" customHeight="1" thickBot="1" x14ac:dyDescent="0.3">
      <c r="A26" s="9" t="s">
        <v>67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33"/>
      <c r="K26" s="9" t="s">
        <v>67</v>
      </c>
      <c r="L26" s="9">
        <v>5</v>
      </c>
      <c r="M26" s="9">
        <v>1362539.3250423865</v>
      </c>
      <c r="N26" s="9"/>
      <c r="O26" s="9"/>
      <c r="P26" s="9"/>
      <c r="T26" s="20"/>
      <c r="U26" s="20"/>
      <c r="V26" s="7"/>
      <c r="W26" s="7"/>
      <c r="X26" s="7"/>
      <c r="Y26" s="7"/>
      <c r="Z26" s="7"/>
      <c r="AA26" s="7"/>
      <c r="AB26" s="20"/>
      <c r="AC26" s="20"/>
      <c r="AD26" s="20"/>
      <c r="AE26" s="20"/>
    </row>
    <row r="27" spans="1:31" ht="15.75" thickBot="1" x14ac:dyDescent="0.3">
      <c r="A27"/>
      <c r="B27"/>
      <c r="C27"/>
      <c r="D27"/>
      <c r="E27"/>
      <c r="F27"/>
      <c r="G27"/>
      <c r="H27"/>
      <c r="I27"/>
      <c r="J27" s="33"/>
      <c r="T27" s="20"/>
      <c r="U27" s="20"/>
      <c r="V27" s="7"/>
      <c r="W27" s="7"/>
      <c r="X27" s="7"/>
      <c r="Y27" s="7"/>
      <c r="Z27" s="7"/>
      <c r="AA27" s="7"/>
      <c r="AB27" s="20"/>
      <c r="AC27" s="20"/>
      <c r="AD27" s="20"/>
      <c r="AE27" s="20"/>
    </row>
    <row r="28" spans="1:31" x14ac:dyDescent="0.25">
      <c r="A28" s="10"/>
      <c r="B28" s="10" t="s">
        <v>68</v>
      </c>
      <c r="C28" s="10" t="s">
        <v>57</v>
      </c>
      <c r="D28" s="10" t="s">
        <v>69</v>
      </c>
      <c r="E28" s="10" t="s">
        <v>70</v>
      </c>
      <c r="F28" s="10" t="s">
        <v>71</v>
      </c>
      <c r="G28" s="10" t="s">
        <v>72</v>
      </c>
      <c r="H28" s="10" t="s">
        <v>73</v>
      </c>
      <c r="I28" s="10" t="s">
        <v>74</v>
      </c>
      <c r="J28" s="35"/>
      <c r="K28" s="10"/>
      <c r="L28" s="10" t="s">
        <v>68</v>
      </c>
      <c r="M28" s="10" t="s">
        <v>57</v>
      </c>
      <c r="N28" s="10" t="s">
        <v>69</v>
      </c>
      <c r="O28" s="10" t="s">
        <v>70</v>
      </c>
      <c r="P28" s="10" t="s">
        <v>71</v>
      </c>
      <c r="Q28" s="10" t="s">
        <v>72</v>
      </c>
      <c r="R28" s="10" t="s">
        <v>73</v>
      </c>
      <c r="S28" s="10" t="s">
        <v>74</v>
      </c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1" x14ac:dyDescent="0.25">
      <c r="A29" s="7" t="s">
        <v>75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36"/>
      <c r="K29" s="7" t="s">
        <v>75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0"/>
      <c r="U29" s="20"/>
      <c r="V29" s="34"/>
      <c r="W29" s="34"/>
      <c r="X29" s="34"/>
      <c r="Y29" s="34"/>
      <c r="Z29" s="34"/>
      <c r="AA29" s="34"/>
      <c r="AB29" s="34"/>
      <c r="AC29" s="34"/>
      <c r="AD29" s="34"/>
      <c r="AE29" s="20"/>
    </row>
    <row r="30" spans="1:31" ht="15.75" customHeight="1" thickBot="1" x14ac:dyDescent="0.3">
      <c r="A30" s="9" t="s">
        <v>76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36"/>
      <c r="K30" s="9" t="s">
        <v>76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0"/>
      <c r="U30" s="20"/>
      <c r="V30" s="7"/>
      <c r="W30" s="7"/>
      <c r="X30" s="7"/>
      <c r="Y30" s="7"/>
      <c r="Z30" s="7"/>
      <c r="AA30" s="7"/>
      <c r="AB30" s="7"/>
      <c r="AC30" s="7"/>
      <c r="AD30" s="7"/>
      <c r="AE30" s="20"/>
    </row>
    <row r="31" spans="1:31" x14ac:dyDescent="0.25">
      <c r="A31"/>
      <c r="B31"/>
      <c r="C31"/>
      <c r="D31"/>
      <c r="E31"/>
      <c r="F31"/>
      <c r="G31"/>
      <c r="H31"/>
      <c r="I31"/>
      <c r="J31" s="33"/>
      <c r="T31" s="34"/>
      <c r="U31" s="20"/>
      <c r="V31" s="7"/>
      <c r="W31" s="7"/>
      <c r="X31" s="7"/>
      <c r="Y31" s="7"/>
      <c r="Z31" s="7"/>
      <c r="AA31" s="7"/>
      <c r="AB31" s="7"/>
      <c r="AC31" s="7"/>
      <c r="AD31" s="7"/>
      <c r="AE31" s="20"/>
    </row>
    <row r="32" spans="1:31" x14ac:dyDescent="0.25">
      <c r="A32"/>
      <c r="B32"/>
      <c r="C32"/>
      <c r="D32"/>
      <c r="E32"/>
      <c r="F32"/>
      <c r="G32"/>
      <c r="H32"/>
      <c r="I32"/>
      <c r="J32" s="33"/>
      <c r="T32" s="7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</row>
    <row r="33" spans="1:31" x14ac:dyDescent="0.25">
      <c r="A33"/>
      <c r="B33"/>
      <c r="C33"/>
      <c r="D33"/>
      <c r="E33"/>
      <c r="F33"/>
      <c r="G33"/>
      <c r="H33"/>
      <c r="I33"/>
      <c r="J33" s="33"/>
      <c r="T33" s="7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 spans="1:31" x14ac:dyDescent="0.25">
      <c r="A34" t="s">
        <v>77</v>
      </c>
      <c r="B34"/>
      <c r="C34"/>
      <c r="D34"/>
      <c r="E34"/>
      <c r="F34"/>
      <c r="G34"/>
      <c r="H34"/>
      <c r="I34"/>
      <c r="J34" s="33"/>
      <c r="K34" t="s">
        <v>77</v>
      </c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1" ht="15.75" thickBot="1" x14ac:dyDescent="0.3">
      <c r="A35"/>
      <c r="B35"/>
      <c r="C35"/>
      <c r="D35"/>
      <c r="E35"/>
      <c r="F35"/>
      <c r="G35"/>
      <c r="H35"/>
      <c r="I35"/>
      <c r="J35" s="33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1" x14ac:dyDescent="0.25">
      <c r="A36" s="10" t="s">
        <v>78</v>
      </c>
      <c r="B36" s="10" t="s">
        <v>79</v>
      </c>
      <c r="C36" s="10" t="s">
        <v>80</v>
      </c>
      <c r="D36"/>
      <c r="E36"/>
      <c r="F36"/>
      <c r="G36"/>
      <c r="H36"/>
      <c r="I36"/>
      <c r="J36" s="33"/>
      <c r="K36" s="10" t="s">
        <v>78</v>
      </c>
      <c r="L36" s="10" t="s">
        <v>79</v>
      </c>
      <c r="M36" s="10" t="s">
        <v>80</v>
      </c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1" x14ac:dyDescent="0.2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33"/>
      <c r="K37" s="7">
        <v>1</v>
      </c>
      <c r="L37" s="7">
        <v>2.7269332567861202</v>
      </c>
      <c r="M37" s="7">
        <v>0.83195563210276857</v>
      </c>
      <c r="T37" s="20"/>
      <c r="U37" s="20"/>
      <c r="V37" s="34"/>
      <c r="W37" s="34"/>
      <c r="X37" s="34"/>
      <c r="Y37" s="20"/>
      <c r="Z37" s="20"/>
      <c r="AA37" s="20"/>
      <c r="AB37" s="20"/>
      <c r="AC37" s="20"/>
      <c r="AD37" s="20"/>
      <c r="AE37" s="20"/>
    </row>
    <row r="38" spans="1:31" x14ac:dyDescent="0.2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33"/>
      <c r="K38" s="7">
        <v>2</v>
      </c>
      <c r="L38" s="7">
        <v>13.475435347111743</v>
      </c>
      <c r="M38" s="7">
        <v>0.71400909733270268</v>
      </c>
      <c r="T38" s="20"/>
      <c r="U38" s="20"/>
      <c r="V38" s="7"/>
      <c r="W38" s="7"/>
      <c r="X38" s="7"/>
      <c r="Y38" s="20"/>
      <c r="Z38" s="20"/>
      <c r="AA38" s="20"/>
      <c r="AB38" s="20"/>
      <c r="AC38" s="20"/>
      <c r="AD38" s="20"/>
      <c r="AE38" s="20"/>
    </row>
    <row r="39" spans="1:31" x14ac:dyDescent="0.2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33"/>
      <c r="K39" s="7">
        <v>3</v>
      </c>
      <c r="L39" s="7">
        <v>26.911062960018771</v>
      </c>
      <c r="M39" s="7">
        <v>0.35060370664789531</v>
      </c>
      <c r="T39" s="20"/>
      <c r="U39" s="20"/>
      <c r="V39" s="7"/>
      <c r="W39" s="7"/>
      <c r="X39" s="7"/>
      <c r="Y39" s="20"/>
      <c r="Z39" s="20"/>
      <c r="AA39" s="20"/>
      <c r="AB39" s="20"/>
      <c r="AC39" s="20"/>
      <c r="AD39" s="20"/>
      <c r="AE39" s="20"/>
    </row>
    <row r="40" spans="1:31" x14ac:dyDescent="0.2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33"/>
      <c r="K40" s="7">
        <v>4</v>
      </c>
      <c r="L40" s="7">
        <v>134.39608386327501</v>
      </c>
      <c r="M40" s="7">
        <v>-1.0821949743861126</v>
      </c>
      <c r="T40" s="20"/>
      <c r="U40" s="20"/>
      <c r="V40" s="7"/>
      <c r="W40" s="7"/>
      <c r="X40" s="7"/>
      <c r="Y40" s="20"/>
      <c r="Z40" s="20"/>
      <c r="AA40" s="20"/>
      <c r="AB40" s="20"/>
      <c r="AC40" s="20"/>
      <c r="AD40" s="20"/>
      <c r="AE40" s="20"/>
    </row>
    <row r="41" spans="1:31" x14ac:dyDescent="0.2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33"/>
      <c r="K41" s="7">
        <v>5</v>
      </c>
      <c r="L41" s="7">
        <v>268.7523599923453</v>
      </c>
      <c r="M41" s="7">
        <v>-1.1334711034564293</v>
      </c>
      <c r="T41" s="20"/>
      <c r="U41" s="20"/>
      <c r="V41" s="7"/>
      <c r="W41" s="7"/>
      <c r="X41" s="7"/>
      <c r="Y41" s="20"/>
      <c r="Z41" s="20"/>
      <c r="AA41" s="20"/>
      <c r="AB41" s="20"/>
      <c r="AC41" s="20"/>
      <c r="AD41" s="20"/>
      <c r="AE41" s="20"/>
    </row>
    <row r="42" spans="1:31" ht="15.75" customHeight="1" thickBot="1" x14ac:dyDescent="0.3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33"/>
      <c r="K42" s="9">
        <v>6</v>
      </c>
      <c r="L42" s="9">
        <v>1343.6025690249076</v>
      </c>
      <c r="M42" s="9">
        <v>0.31909764175907185</v>
      </c>
      <c r="T42" s="20"/>
      <c r="U42" s="20"/>
      <c r="V42" s="7"/>
      <c r="W42" s="7"/>
      <c r="X42" s="7"/>
      <c r="Y42" s="20"/>
      <c r="Z42" s="20"/>
      <c r="AA42" s="20"/>
      <c r="AB42" s="20"/>
      <c r="AC42" s="20"/>
      <c r="AD42" s="20"/>
      <c r="AE42" s="20"/>
    </row>
    <row r="43" spans="1:31" ht="15.75" customHeight="1" x14ac:dyDescent="0.25">
      <c r="A43" s="36"/>
      <c r="B43" s="36"/>
      <c r="C43" s="36"/>
      <c r="J43" s="33"/>
      <c r="K43" s="7"/>
      <c r="L43" s="7"/>
      <c r="M43" s="7"/>
      <c r="N43" s="7"/>
      <c r="O43" s="20"/>
      <c r="P43" s="20"/>
      <c r="Q43" s="20"/>
      <c r="R43" s="20"/>
      <c r="S43" s="20"/>
      <c r="T43" s="20"/>
      <c r="U43" s="20"/>
      <c r="V43" s="7"/>
      <c r="W43" s="7"/>
      <c r="X43" s="7"/>
      <c r="Y43" s="20"/>
      <c r="Z43" s="20"/>
      <c r="AA43" s="20"/>
      <c r="AB43" s="20"/>
      <c r="AC43" s="20"/>
      <c r="AD43" s="20"/>
      <c r="AE43" s="20"/>
    </row>
    <row r="44" spans="1:31" s="18" customForma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37"/>
      <c r="L44" s="37"/>
      <c r="M44" s="37"/>
      <c r="N44" s="37"/>
      <c r="V44" s="37"/>
      <c r="W44" s="37"/>
      <c r="X44" s="37"/>
    </row>
    <row r="45" spans="1:31" x14ac:dyDescent="0.25">
      <c r="A45" s="11" t="s">
        <v>81</v>
      </c>
      <c r="J45" s="33"/>
      <c r="K45" s="7"/>
      <c r="L45" s="7"/>
      <c r="M45" s="7"/>
      <c r="N45" s="7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</row>
    <row r="46" spans="1:31" x14ac:dyDescent="0.25">
      <c r="A46" t="s">
        <v>52</v>
      </c>
      <c r="B46"/>
      <c r="C46"/>
      <c r="D46"/>
      <c r="E46"/>
      <c r="F46"/>
      <c r="G46"/>
      <c r="H46"/>
      <c r="I46"/>
      <c r="J46" s="33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 spans="1:31" ht="15.75" thickBot="1" x14ac:dyDescent="0.3">
      <c r="A47"/>
      <c r="B47"/>
      <c r="C47"/>
      <c r="D47"/>
      <c r="E47"/>
      <c r="F47"/>
      <c r="G47"/>
      <c r="H47"/>
      <c r="I47"/>
      <c r="J47" s="33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</row>
    <row r="48" spans="1:31" x14ac:dyDescent="0.25">
      <c r="A48" s="6" t="s">
        <v>53</v>
      </c>
      <c r="B48" s="6"/>
      <c r="C48"/>
      <c r="D48"/>
      <c r="E48"/>
      <c r="F48"/>
      <c r="G48"/>
      <c r="H48"/>
      <c r="I48"/>
      <c r="J48" s="33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</row>
    <row r="49" spans="1:31" x14ac:dyDescent="0.25">
      <c r="A49" s="7" t="s">
        <v>54</v>
      </c>
      <c r="B49" s="7">
        <v>0.99913678675732565</v>
      </c>
      <c r="C49"/>
      <c r="D49"/>
      <c r="E49"/>
      <c r="F49"/>
      <c r="G49"/>
      <c r="H49"/>
      <c r="I49"/>
      <c r="J49" s="33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</row>
    <row r="50" spans="1:31" x14ac:dyDescent="0.25">
      <c r="A50" s="7" t="s">
        <v>55</v>
      </c>
      <c r="B50" s="7">
        <v>0.99827431865175353</v>
      </c>
      <c r="C50"/>
      <c r="D50"/>
      <c r="E50"/>
      <c r="F50"/>
      <c r="G50"/>
      <c r="H50"/>
      <c r="I50"/>
      <c r="J50" s="33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</row>
    <row r="51" spans="1:31" x14ac:dyDescent="0.25">
      <c r="A51" s="7" t="s">
        <v>56</v>
      </c>
      <c r="B51" s="7">
        <v>0.99792918238210437</v>
      </c>
      <c r="C51"/>
      <c r="D51"/>
      <c r="E51"/>
      <c r="F51"/>
      <c r="G51"/>
      <c r="H51"/>
      <c r="I51"/>
      <c r="J51" s="33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 spans="1:31" x14ac:dyDescent="0.25">
      <c r="A52" s="7" t="s">
        <v>57</v>
      </c>
      <c r="B52" s="7">
        <v>2.6387999840376106</v>
      </c>
      <c r="C52"/>
      <c r="D52"/>
      <c r="E52"/>
      <c r="F52"/>
      <c r="G52"/>
      <c r="H52"/>
      <c r="I52"/>
      <c r="J52" s="33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 spans="1:31" ht="15.75" customHeight="1" thickBot="1" x14ac:dyDescent="0.3">
      <c r="A53" s="9" t="s">
        <v>58</v>
      </c>
      <c r="B53" s="9">
        <v>7</v>
      </c>
      <c r="C53"/>
      <c r="D53"/>
      <c r="E53"/>
      <c r="F53"/>
      <c r="G53"/>
      <c r="H53"/>
      <c r="I53"/>
      <c r="J53" s="33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 spans="1:31" x14ac:dyDescent="0.25">
      <c r="A54"/>
      <c r="B54"/>
      <c r="C54"/>
      <c r="D54"/>
      <c r="E54"/>
      <c r="F54"/>
      <c r="G54"/>
      <c r="H54"/>
      <c r="I54"/>
      <c r="J54" s="33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</row>
    <row r="55" spans="1:31" ht="15.75" customHeight="1" thickBot="1" x14ac:dyDescent="0.3">
      <c r="A55" t="s">
        <v>59</v>
      </c>
      <c r="B55"/>
      <c r="C55"/>
      <c r="D55"/>
      <c r="E55"/>
      <c r="F55"/>
      <c r="G55"/>
      <c r="H55"/>
      <c r="I55"/>
      <c r="J55" s="33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</row>
    <row r="56" spans="1:31" x14ac:dyDescent="0.25">
      <c r="A56" s="10"/>
      <c r="B56" s="10" t="s">
        <v>60</v>
      </c>
      <c r="C56" s="10" t="s">
        <v>61</v>
      </c>
      <c r="D56" s="10" t="s">
        <v>62</v>
      </c>
      <c r="E56" s="10" t="s">
        <v>63</v>
      </c>
      <c r="F56" s="10" t="s">
        <v>64</v>
      </c>
      <c r="G56"/>
      <c r="H56"/>
      <c r="I56"/>
      <c r="J56" s="33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</row>
    <row r="57" spans="1:31" x14ac:dyDescent="0.25">
      <c r="A57" s="7" t="s">
        <v>65</v>
      </c>
      <c r="B57" s="7">
        <v>1</v>
      </c>
      <c r="C57" s="7">
        <v>20140.592542398361</v>
      </c>
      <c r="D57" s="7">
        <v>20140.592542398361</v>
      </c>
      <c r="E57" s="7">
        <v>2892.4062940883168</v>
      </c>
      <c r="F57" s="7">
        <v>4.2028918326297353E-8</v>
      </c>
      <c r="G57"/>
      <c r="H57"/>
      <c r="I57"/>
      <c r="J57" s="33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</row>
    <row r="58" spans="1:31" x14ac:dyDescent="0.25">
      <c r="A58" s="7" t="s">
        <v>66</v>
      </c>
      <c r="B58" s="7">
        <v>5</v>
      </c>
      <c r="C58" s="7">
        <v>34.816326778784465</v>
      </c>
      <c r="D58" s="7">
        <v>6.9632653557568931</v>
      </c>
      <c r="E58" s="7"/>
      <c r="F58" s="7"/>
      <c r="G58"/>
      <c r="H58"/>
      <c r="I58"/>
      <c r="J58" s="33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</row>
    <row r="59" spans="1:31" ht="15.75" customHeight="1" thickBot="1" x14ac:dyDescent="0.3">
      <c r="A59" s="9" t="s">
        <v>67</v>
      </c>
      <c r="B59" s="9">
        <v>6</v>
      </c>
      <c r="C59" s="9">
        <v>20175.408869177147</v>
      </c>
      <c r="D59" s="9"/>
      <c r="E59" s="9"/>
      <c r="F59" s="9"/>
      <c r="G59"/>
      <c r="H59"/>
      <c r="I59"/>
      <c r="J59" s="33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</row>
    <row r="60" spans="1:31" ht="15.75" thickBot="1" x14ac:dyDescent="0.3">
      <c r="A60"/>
      <c r="B60"/>
      <c r="C60"/>
      <c r="D60"/>
      <c r="E60"/>
      <c r="F60"/>
      <c r="G60"/>
      <c r="H60"/>
      <c r="I60"/>
      <c r="J60" s="33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</row>
    <row r="61" spans="1:31" x14ac:dyDescent="0.25">
      <c r="A61" s="10"/>
      <c r="B61" s="10" t="s">
        <v>68</v>
      </c>
      <c r="C61" s="10" t="s">
        <v>57</v>
      </c>
      <c r="D61" s="10" t="s">
        <v>69</v>
      </c>
      <c r="E61" s="10" t="s">
        <v>70</v>
      </c>
      <c r="F61" s="10" t="s">
        <v>71</v>
      </c>
      <c r="G61" s="10" t="s">
        <v>72</v>
      </c>
      <c r="H61" s="10" t="s">
        <v>73</v>
      </c>
      <c r="I61" s="10" t="s">
        <v>74</v>
      </c>
      <c r="J61" s="35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</row>
    <row r="62" spans="1:31" x14ac:dyDescent="0.25">
      <c r="A62" s="7" t="s">
        <v>75</v>
      </c>
      <c r="B62" s="7">
        <v>-2.6401241688634265</v>
      </c>
      <c r="C62" s="7">
        <v>1.1701746549167438</v>
      </c>
      <c r="D62" s="7">
        <v>-2.2561795863295875</v>
      </c>
      <c r="E62" s="7">
        <v>7.3703712687859205E-2</v>
      </c>
      <c r="F62" s="7">
        <v>-5.6481538813144017</v>
      </c>
      <c r="G62" s="7">
        <v>0.36790554358754823</v>
      </c>
      <c r="H62" s="7">
        <v>-5.6481538813144017</v>
      </c>
      <c r="I62" s="7">
        <v>0.36790554358754823</v>
      </c>
      <c r="J62" s="36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</row>
    <row r="63" spans="1:31" ht="15.75" customHeight="1" thickBot="1" x14ac:dyDescent="0.3">
      <c r="A63" s="9" t="s">
        <v>76</v>
      </c>
      <c r="B63" s="9">
        <v>410.84721429648386</v>
      </c>
      <c r="C63" s="9">
        <v>7.6392495569503653</v>
      </c>
      <c r="D63" s="9">
        <v>53.781096066260275</v>
      </c>
      <c r="E63" s="9">
        <v>4.2028918326297353E-8</v>
      </c>
      <c r="F63" s="9">
        <v>391.20989814749447</v>
      </c>
      <c r="G63" s="9">
        <v>430.48453044547324</v>
      </c>
      <c r="H63" s="9">
        <v>391.20989814749447</v>
      </c>
      <c r="I63" s="9">
        <v>430.48453044547324</v>
      </c>
      <c r="J63" s="36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</row>
    <row r="64" spans="1:31" x14ac:dyDescent="0.25">
      <c r="A64"/>
      <c r="B64"/>
      <c r="C64"/>
      <c r="D64"/>
      <c r="E64"/>
      <c r="F64"/>
      <c r="G64"/>
      <c r="H64"/>
      <c r="I64"/>
      <c r="J64" s="33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</row>
    <row r="65" spans="1:31" x14ac:dyDescent="0.25">
      <c r="A65"/>
      <c r="B65"/>
      <c r="C65"/>
      <c r="D65"/>
      <c r="E65"/>
      <c r="F65"/>
      <c r="G65"/>
      <c r="H65"/>
      <c r="I65"/>
      <c r="J65" s="33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</row>
    <row r="66" spans="1:31" x14ac:dyDescent="0.25">
      <c r="A66"/>
      <c r="B66"/>
      <c r="C66"/>
      <c r="D66"/>
      <c r="E66"/>
      <c r="F66"/>
      <c r="G66"/>
      <c r="H66"/>
      <c r="I66"/>
      <c r="J66" s="33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</row>
    <row r="67" spans="1:31" x14ac:dyDescent="0.25">
      <c r="A67" t="s">
        <v>77</v>
      </c>
      <c r="B67"/>
      <c r="C67"/>
      <c r="D67"/>
      <c r="E67"/>
      <c r="F67"/>
      <c r="G67"/>
      <c r="H67"/>
      <c r="I67"/>
      <c r="J67" s="33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</row>
    <row r="68" spans="1:31" ht="15.75" thickBot="1" x14ac:dyDescent="0.3">
      <c r="A68"/>
      <c r="B68"/>
      <c r="C68"/>
      <c r="D68"/>
      <c r="E68"/>
      <c r="F68"/>
      <c r="G68"/>
      <c r="H68"/>
      <c r="I68"/>
      <c r="J68" s="33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</row>
    <row r="69" spans="1:31" x14ac:dyDescent="0.25">
      <c r="A69" s="10" t="s">
        <v>78</v>
      </c>
      <c r="B69" s="10" t="s">
        <v>79</v>
      </c>
      <c r="C69" s="10" t="s">
        <v>80</v>
      </c>
      <c r="D69"/>
      <c r="E69"/>
      <c r="F69"/>
      <c r="G69"/>
      <c r="H69"/>
      <c r="I69"/>
      <c r="J69" s="33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</row>
    <row r="70" spans="1:31" x14ac:dyDescent="0.25">
      <c r="A70" s="7">
        <v>1</v>
      </c>
      <c r="B70" s="7">
        <v>-2.1646065597239774</v>
      </c>
      <c r="C70" s="7">
        <v>2.1646065597239774</v>
      </c>
      <c r="D70"/>
      <c r="E70"/>
      <c r="F70"/>
      <c r="G70"/>
      <c r="H70"/>
      <c r="I70"/>
      <c r="J70" s="33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</row>
    <row r="71" spans="1:31" x14ac:dyDescent="0.25">
      <c r="A71" s="7">
        <v>2</v>
      </c>
      <c r="B71" s="7">
        <v>-1.2169279363331229</v>
      </c>
      <c r="C71" s="7">
        <v>1.5351279363331229</v>
      </c>
      <c r="D71"/>
      <c r="E71"/>
      <c r="F71"/>
      <c r="G71"/>
      <c r="H71"/>
      <c r="I71"/>
      <c r="J71" s="33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</row>
    <row r="72" spans="1:31" x14ac:dyDescent="0.25">
      <c r="A72" s="7">
        <v>3</v>
      </c>
      <c r="B72" s="7">
        <v>0.6390707787022003</v>
      </c>
      <c r="C72" s="7">
        <v>0.95192922129779967</v>
      </c>
      <c r="D72"/>
      <c r="E72"/>
      <c r="F72"/>
      <c r="G72"/>
      <c r="H72"/>
      <c r="I72"/>
    </row>
    <row r="73" spans="1:31" x14ac:dyDescent="0.25">
      <c r="A73" s="7">
        <v>4</v>
      </c>
      <c r="B73" s="7">
        <v>2.5382625946651718</v>
      </c>
      <c r="C73" s="7">
        <v>0.64373740533482815</v>
      </c>
      <c r="D73"/>
      <c r="E73"/>
      <c r="F73"/>
      <c r="G73"/>
      <c r="H73"/>
      <c r="I73"/>
    </row>
    <row r="74" spans="1:31" x14ac:dyDescent="0.25">
      <c r="A74" s="7">
        <v>5</v>
      </c>
      <c r="B74" s="7">
        <v>17.992584891697263</v>
      </c>
      <c r="C74" s="7">
        <v>-2.0825848916972625</v>
      </c>
      <c r="D74"/>
      <c r="E74"/>
      <c r="F74"/>
      <c r="G74"/>
      <c r="H74"/>
      <c r="I74"/>
    </row>
    <row r="75" spans="1:31" ht="15.75" customHeight="1" x14ac:dyDescent="0.25">
      <c r="A75" s="7">
        <v>6</v>
      </c>
      <c r="B75" s="7">
        <v>36.338054252297198</v>
      </c>
      <c r="C75" s="7">
        <v>-4.5180542522971976</v>
      </c>
      <c r="D75"/>
      <c r="E75"/>
      <c r="F75"/>
      <c r="G75"/>
      <c r="H75"/>
      <c r="I75"/>
    </row>
    <row r="76" spans="1:31" ht="15.75" thickBot="1" x14ac:dyDescent="0.3">
      <c r="A76" s="9">
        <v>7</v>
      </c>
      <c r="B76" s="9">
        <v>157.79476197869525</v>
      </c>
      <c r="C76" s="9">
        <v>1.3052380213047456</v>
      </c>
      <c r="D76"/>
      <c r="E76"/>
      <c r="F76"/>
      <c r="G76"/>
      <c r="H76"/>
      <c r="I76"/>
    </row>
    <row r="77" spans="1:31" x14ac:dyDescent="0.25">
      <c r="A77" s="33"/>
      <c r="B77" s="33"/>
      <c r="C77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tabSelected="1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O17" sqref="O17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7109375" bestFit="1" customWidth="1"/>
    <col min="10" max="11" width="24.7109375" bestFit="1" customWidth="1"/>
    <col min="12" max="12" width="29.85546875" bestFit="1" customWidth="1"/>
    <col min="13" max="13" width="16.85546875" bestFit="1" customWidth="1"/>
    <col min="14" max="14" width="21.85546875" bestFit="1" customWidth="1"/>
    <col min="15" max="15" width="21.5703125" bestFit="1" customWidth="1"/>
    <col min="16" max="16" width="26.5703125" bestFit="1" customWidth="1"/>
    <col min="17" max="17" width="19.5703125" bestFit="1" customWidth="1"/>
    <col min="18" max="18" width="20.7109375" bestFit="1" customWidth="1"/>
    <col min="19" max="19" width="17.28515625" bestFit="1" customWidth="1"/>
    <col min="20" max="20" width="18.42578125" bestFit="1" customWidth="1"/>
    <col min="21" max="21" width="16.85546875" bestFit="1" customWidth="1"/>
    <col min="22" max="22" width="18.140625" bestFit="1" customWidth="1"/>
    <col min="23" max="23" width="9" bestFit="1" customWidth="1"/>
    <col min="24" max="24" width="10.140625" bestFit="1" customWidth="1"/>
    <col min="25" max="25" width="13.140625" bestFit="1" customWidth="1"/>
    <col min="26" max="26" width="14.28515625" bestFit="1" customWidth="1"/>
  </cols>
  <sheetData>
    <row r="1" spans="1:28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82</v>
      </c>
      <c r="H1" t="s">
        <v>83</v>
      </c>
      <c r="I1" t="s">
        <v>115</v>
      </c>
      <c r="J1" t="s">
        <v>116</v>
      </c>
      <c r="K1" t="s">
        <v>84</v>
      </c>
      <c r="L1" t="s">
        <v>85</v>
      </c>
      <c r="M1" t="s">
        <v>117</v>
      </c>
      <c r="N1" t="s">
        <v>118</v>
      </c>
      <c r="O1" t="s">
        <v>86</v>
      </c>
      <c r="P1" t="s">
        <v>87</v>
      </c>
      <c r="Q1" t="s">
        <v>119</v>
      </c>
      <c r="R1" t="s">
        <v>120</v>
      </c>
      <c r="S1" t="s">
        <v>121</v>
      </c>
      <c r="T1" t="s">
        <v>122</v>
      </c>
      <c r="U1" t="s">
        <v>33</v>
      </c>
      <c r="V1" t="s">
        <v>34</v>
      </c>
      <c r="W1" t="s">
        <v>29</v>
      </c>
      <c r="X1" t="s">
        <v>30</v>
      </c>
      <c r="Y1" t="s">
        <v>31</v>
      </c>
      <c r="Z1" t="s">
        <v>32</v>
      </c>
      <c r="AA1" t="s">
        <v>124</v>
      </c>
      <c r="AB1" t="s">
        <v>138</v>
      </c>
    </row>
    <row r="2" spans="1:28" x14ac:dyDescent="0.25">
      <c r="A2" s="14" t="s">
        <v>88</v>
      </c>
      <c r="B2">
        <v>0</v>
      </c>
      <c r="C2">
        <v>0</v>
      </c>
      <c r="D2">
        <v>8.9600000000000009</v>
      </c>
      <c r="E2" s="1">
        <v>0.03</v>
      </c>
      <c r="F2" s="15">
        <v>9.0000000000000006E-5</v>
      </c>
      <c r="G2" s="1">
        <v>100</v>
      </c>
      <c r="H2" s="1">
        <v>5</v>
      </c>
      <c r="I2" s="1">
        <f>'Count-&gt;Actual Activity'!F2</f>
        <v>0.13863585962890326</v>
      </c>
      <c r="J2" s="1">
        <f>'Count-&gt;Actual Activity'!G2</f>
        <v>0.1266475721979699</v>
      </c>
      <c r="K2">
        <v>10</v>
      </c>
      <c r="L2">
        <v>0.02</v>
      </c>
      <c r="M2" s="1">
        <f>'Count-&gt;Actual Activity'!F24</f>
        <v>0</v>
      </c>
      <c r="N2" s="1">
        <f>'Count-&gt;Actual Activity'!G24</f>
        <v>0</v>
      </c>
      <c r="O2" s="1"/>
      <c r="P2" s="1"/>
      <c r="Q2">
        <f>I2/K2</f>
        <v>1.3863585962890326E-2</v>
      </c>
      <c r="R2">
        <f>Q2*SQRT((J2/I2)^2+(L2/K2)^2)</f>
        <v>1.2664787571549038E-2</v>
      </c>
      <c r="S2" t="e">
        <f>M2/O2</f>
        <v>#DIV/0!</v>
      </c>
      <c r="T2" t="e">
        <f>S2*SQRT((N2/M2)^2+(P2/O2))</f>
        <v>#DIV/0!</v>
      </c>
      <c r="U2">
        <f>Parameters!$B$6*'Bottle Results'!B2</f>
        <v>0</v>
      </c>
      <c r="V2" t="e">
        <f>SQRT((C2/B2)^2+(Parameters!$C$6/Parameters!$B$6))</f>
        <v>#DIV/0!</v>
      </c>
      <c r="W2">
        <f>Q2</f>
        <v>1.3863585962890326E-2</v>
      </c>
      <c r="X2">
        <v>2.3297918868665893E-2</v>
      </c>
      <c r="Y2">
        <f>(U2-Q2*G2)/E2</f>
        <v>-46.211953209634423</v>
      </c>
      <c r="AA2" t="s">
        <v>123</v>
      </c>
      <c r="AB2" t="e">
        <f>Y2*E2/U2</f>
        <v>#DIV/0!</v>
      </c>
    </row>
    <row r="3" spans="1:28" x14ac:dyDescent="0.25">
      <c r="A3" s="14" t="s">
        <v>89</v>
      </c>
      <c r="B3">
        <v>0</v>
      </c>
      <c r="C3">
        <v>0</v>
      </c>
      <c r="D3">
        <v>8.9499999999999993</v>
      </c>
      <c r="E3" s="1">
        <v>0.03</v>
      </c>
      <c r="F3" s="15">
        <v>9.0000000000000006E-5</v>
      </c>
      <c r="G3" s="1">
        <v>100</v>
      </c>
      <c r="H3" s="1">
        <v>5</v>
      </c>
      <c r="I3" s="1">
        <f>'Count-&gt;Actual Activity'!F3</f>
        <v>0.14271465019157553</v>
      </c>
      <c r="J3" s="1">
        <f>'Count-&gt;Actual Activity'!G3</f>
        <v>0.12664753145957777</v>
      </c>
      <c r="K3">
        <v>10</v>
      </c>
      <c r="L3">
        <v>0.02</v>
      </c>
      <c r="M3" s="1">
        <f>'Count-&gt;Actual Activity'!F25</f>
        <v>0</v>
      </c>
      <c r="N3" s="1">
        <f>'Count-&gt;Actual Activity'!G25</f>
        <v>0</v>
      </c>
      <c r="O3" s="1"/>
      <c r="P3" s="1"/>
      <c r="Q3">
        <f t="shared" ref="Q3:Q23" si="0">I3/K3</f>
        <v>1.4271465019157553E-2</v>
      </c>
      <c r="R3">
        <f t="shared" ref="R3:R23" si="1">Q3*SQRT((J3/I3)^2+(L3/K3)^2)</f>
        <v>1.2664785309941206E-2</v>
      </c>
      <c r="S3" t="e">
        <f t="shared" ref="S3:S20" si="2">M3/O3</f>
        <v>#DIV/0!</v>
      </c>
      <c r="T3" t="e">
        <f t="shared" ref="T3:T20" si="3">S3*SQRT((N3/M3)^2+(P3/O3))</f>
        <v>#DIV/0!</v>
      </c>
      <c r="U3">
        <f>Parameters!$B$6*'Bottle Results'!B3</f>
        <v>0</v>
      </c>
      <c r="V3" t="e">
        <f>SQRT((C3/B3)^2+(Parameters!$C$6/Parameters!$B$6))</f>
        <v>#DIV/0!</v>
      </c>
      <c r="W3">
        <f t="shared" ref="W3:W23" si="4">Q3</f>
        <v>1.4271465019157553E-2</v>
      </c>
      <c r="X3">
        <v>2.3297922254460427E-2</v>
      </c>
      <c r="Y3">
        <f t="shared" ref="Y3:Y7" si="5">(U3-Q3*G3)/E3</f>
        <v>-47.57155006385851</v>
      </c>
      <c r="AA3" t="s">
        <v>123</v>
      </c>
      <c r="AB3" t="e">
        <f t="shared" ref="AB3:AB23" si="6">Y3*E3/U3</f>
        <v>#DIV/0!</v>
      </c>
    </row>
    <row r="4" spans="1:28" x14ac:dyDescent="0.25">
      <c r="A4" s="14" t="s">
        <v>90</v>
      </c>
      <c r="B4">
        <v>0</v>
      </c>
      <c r="C4">
        <v>0</v>
      </c>
      <c r="D4">
        <v>8.93</v>
      </c>
      <c r="E4" s="1">
        <v>0.03</v>
      </c>
      <c r="F4" s="15">
        <v>9.0000000000000006E-5</v>
      </c>
      <c r="G4" s="1">
        <v>100</v>
      </c>
      <c r="H4" s="1">
        <v>5</v>
      </c>
      <c r="I4" s="1">
        <f>'Count-&gt;Actual Activity'!F4</f>
        <v>0.13435970823255169</v>
      </c>
      <c r="J4" s="1">
        <f>'Count-&gt;Actual Activity'!G4</f>
        <v>0.12664761490896947</v>
      </c>
      <c r="K4">
        <v>10</v>
      </c>
      <c r="L4">
        <v>0.02</v>
      </c>
      <c r="M4" s="1">
        <f>'Count-&gt;Actual Activity'!F26</f>
        <v>0</v>
      </c>
      <c r="N4" s="1">
        <f>'Count-&gt;Actual Activity'!G26</f>
        <v>0</v>
      </c>
      <c r="O4" s="1"/>
      <c r="P4" s="1"/>
      <c r="Q4">
        <f t="shared" si="0"/>
        <v>1.3435970823255169E-2</v>
      </c>
      <c r="R4">
        <f t="shared" si="1"/>
        <v>1.2664789999149379E-2</v>
      </c>
      <c r="S4" t="e">
        <f t="shared" si="2"/>
        <v>#DIV/0!</v>
      </c>
      <c r="T4" t="e">
        <f t="shared" si="3"/>
        <v>#DIV/0!</v>
      </c>
      <c r="U4">
        <f>Parameters!$B$6*'Bottle Results'!B4</f>
        <v>0</v>
      </c>
      <c r="V4" t="e">
        <f>SQRT((C4/B4)^2+(Parameters!$C$6/Parameters!$B$6))</f>
        <v>#DIV/0!</v>
      </c>
      <c r="W4">
        <f t="shared" si="4"/>
        <v>1.3435970823255169E-2</v>
      </c>
      <c r="X4">
        <v>2.3297915424772112E-2</v>
      </c>
      <c r="Y4">
        <f t="shared" si="5"/>
        <v>-44.786569410850568</v>
      </c>
      <c r="AA4" t="s">
        <v>123</v>
      </c>
      <c r="AB4" t="e">
        <f t="shared" si="6"/>
        <v>#DIV/0!</v>
      </c>
    </row>
    <row r="5" spans="1:28" x14ac:dyDescent="0.25">
      <c r="A5" s="14" t="s">
        <v>91</v>
      </c>
      <c r="B5">
        <v>7.92E-3</v>
      </c>
      <c r="C5">
        <v>1E-3</v>
      </c>
      <c r="D5">
        <v>8.92</v>
      </c>
      <c r="E5" s="1">
        <v>0.03</v>
      </c>
      <c r="F5" s="15">
        <v>9.0000000000000006E-5</v>
      </c>
      <c r="G5" s="1">
        <v>100</v>
      </c>
      <c r="H5" s="1">
        <v>5</v>
      </c>
      <c r="I5" s="1">
        <f>'Count-&gt;Actual Activity'!F5</f>
        <v>0.13482021684446649</v>
      </c>
      <c r="J5" s="1">
        <f>'Count-&gt;Actual Activity'!G5</f>
        <v>0.12664761030925478</v>
      </c>
      <c r="K5">
        <v>10</v>
      </c>
      <c r="L5">
        <v>0.02</v>
      </c>
      <c r="M5" s="1">
        <f>'Count-&gt;Actual Activity'!F27</f>
        <v>2.7749999999999999</v>
      </c>
      <c r="N5" s="1">
        <f>'Count-&gt;Actual Activity'!G27</f>
        <v>0.25219999999999998</v>
      </c>
      <c r="O5" s="1">
        <v>2.1999999999999999E-2</v>
      </c>
      <c r="P5" s="1"/>
      <c r="Q5">
        <f t="shared" si="0"/>
        <v>1.3482021684446649E-2</v>
      </c>
      <c r="R5">
        <f t="shared" si="1"/>
        <v>1.2664789734933755E-2</v>
      </c>
      <c r="S5">
        <f t="shared" si="2"/>
        <v>126.13636363636364</v>
      </c>
      <c r="T5">
        <f t="shared" si="3"/>
        <v>11.463636363636363</v>
      </c>
      <c r="U5">
        <f>Parameters!$B$6*'Bottle Results'!B5</f>
        <v>2.7062351729187553</v>
      </c>
      <c r="V5">
        <f>SQRT((C5/B5)^2+(Parameters!$C$6/Parameters!$B$6))</f>
        <v>0.12773550438019637</v>
      </c>
      <c r="W5" s="23">
        <f>(U5-S5*O5)/G5</f>
        <v>-6.8764827081244648E-4</v>
      </c>
      <c r="X5">
        <v>2.3297915790452959E-2</v>
      </c>
      <c r="Y5">
        <f t="shared" si="5"/>
        <v>45.267766815803007</v>
      </c>
      <c r="AA5" t="s">
        <v>123</v>
      </c>
      <c r="AB5">
        <f t="shared" si="6"/>
        <v>0.50181633069583198</v>
      </c>
    </row>
    <row r="6" spans="1:28" x14ac:dyDescent="0.25">
      <c r="A6" s="14" t="s">
        <v>92</v>
      </c>
      <c r="B6">
        <v>7.92E-3</v>
      </c>
      <c r="C6">
        <v>1E-3</v>
      </c>
      <c r="D6">
        <v>8.9</v>
      </c>
      <c r="E6" s="1">
        <v>0.03</v>
      </c>
      <c r="F6" s="15">
        <v>9.0000000000000006E-5</v>
      </c>
      <c r="G6" s="1">
        <v>100</v>
      </c>
      <c r="H6" s="1">
        <v>5</v>
      </c>
      <c r="I6" s="1">
        <f>'Count-&gt;Actual Activity'!F6</f>
        <v>0.13916215518537664</v>
      </c>
      <c r="J6" s="1">
        <f>'Count-&gt;Actual Activity'!G6</f>
        <v>0.1266475669413302</v>
      </c>
      <c r="K6">
        <v>10</v>
      </c>
      <c r="L6">
        <v>0.02</v>
      </c>
      <c r="M6" s="1">
        <f>'Count-&gt;Actual Activity'!F28</f>
        <v>3.2250000000000001</v>
      </c>
      <c r="N6" s="1">
        <f>'Count-&gt;Actual Activity'!G28</f>
        <v>0.2591</v>
      </c>
      <c r="O6" s="1">
        <v>2.1999999999999999E-2</v>
      </c>
      <c r="P6" s="1"/>
      <c r="Q6">
        <f t="shared" si="0"/>
        <v>1.3916215518537663E-2</v>
      </c>
      <c r="R6">
        <f t="shared" si="1"/>
        <v>1.2664787276768787E-2</v>
      </c>
      <c r="S6">
        <f t="shared" si="2"/>
        <v>146.59090909090909</v>
      </c>
      <c r="T6">
        <f t="shared" si="3"/>
        <v>11.777272727272726</v>
      </c>
      <c r="U6">
        <f>Parameters!$B$6*'Bottle Results'!B6</f>
        <v>2.7062351729187553</v>
      </c>
      <c r="V6">
        <f>SQRT((C6/B6)^2+(Parameters!$C$6/Parameters!$B$6))</f>
        <v>0.12773550438019637</v>
      </c>
      <c r="W6" s="23">
        <f t="shared" ref="W6:W16" si="7">(U6-S6*O6)/G6</f>
        <v>-5.1876482708124484E-3</v>
      </c>
      <c r="X6">
        <v>2.3297919300009583E-2</v>
      </c>
      <c r="Y6">
        <f t="shared" si="5"/>
        <v>43.820454035499637</v>
      </c>
      <c r="AA6" t="s">
        <v>123</v>
      </c>
      <c r="AB6">
        <f t="shared" si="6"/>
        <v>0.48577212883059939</v>
      </c>
    </row>
    <row r="7" spans="1:28" x14ac:dyDescent="0.25">
      <c r="A7" s="14" t="s">
        <v>93</v>
      </c>
      <c r="B7">
        <v>7.92E-3</v>
      </c>
      <c r="C7">
        <v>1E-3</v>
      </c>
      <c r="D7">
        <v>8.93</v>
      </c>
      <c r="E7" s="1">
        <v>0.03</v>
      </c>
      <c r="F7" s="15">
        <v>9.0000000000000006E-5</v>
      </c>
      <c r="G7" s="1">
        <v>100</v>
      </c>
      <c r="H7" s="1">
        <v>5</v>
      </c>
      <c r="I7" s="1">
        <f>'Count-&gt;Actual Activity'!F7</f>
        <v>0.13087300017091258</v>
      </c>
      <c r="J7" s="1">
        <f>'Count-&gt;Actual Activity'!G7</f>
        <v>0.12664764973591827</v>
      </c>
      <c r="K7">
        <v>10</v>
      </c>
      <c r="L7">
        <v>0.02</v>
      </c>
      <c r="M7" s="1">
        <f>'Count-&gt;Actual Activity'!F29</f>
        <v>0</v>
      </c>
      <c r="N7" s="1">
        <f>'Count-&gt;Actual Activity'!G29</f>
        <v>0</v>
      </c>
      <c r="O7" s="1">
        <v>2.1999999999999999E-2</v>
      </c>
      <c r="P7" s="1"/>
      <c r="Q7">
        <f t="shared" si="0"/>
        <v>1.3087300017091259E-2</v>
      </c>
      <c r="R7">
        <f t="shared" si="1"/>
        <v>1.2664792021427172E-2</v>
      </c>
      <c r="S7">
        <f t="shared" si="2"/>
        <v>0</v>
      </c>
      <c r="T7" t="e">
        <f t="shared" si="3"/>
        <v>#DIV/0!</v>
      </c>
      <c r="U7">
        <f>Parameters!$B$6*'Bottle Results'!B7</f>
        <v>2.7062351729187553</v>
      </c>
      <c r="V7">
        <f>SQRT((C7/B7)^2+(Parameters!$C$6/Parameters!$B$6))</f>
        <v>0.12773550438019637</v>
      </c>
      <c r="W7" s="23">
        <f t="shared" si="7"/>
        <v>2.7062351729187552E-2</v>
      </c>
      <c r="X7">
        <v>2.3297912696774961E-2</v>
      </c>
      <c r="Y7">
        <f t="shared" si="5"/>
        <v>46.583505706987644</v>
      </c>
      <c r="AA7" t="s">
        <v>123</v>
      </c>
      <c r="AB7">
        <f t="shared" si="6"/>
        <v>0.51640196875513167</v>
      </c>
    </row>
    <row r="8" spans="1:28" s="23" customFormat="1" ht="15.75" customHeight="1" x14ac:dyDescent="0.25">
      <c r="A8" s="22" t="s">
        <v>94</v>
      </c>
      <c r="B8" s="23">
        <v>1.5800000000000002E-2</v>
      </c>
      <c r="C8" s="23">
        <v>1E-3</v>
      </c>
      <c r="D8" s="23">
        <v>8.92</v>
      </c>
      <c r="E8" s="24">
        <v>0.03</v>
      </c>
      <c r="F8" s="25">
        <v>9.0000000000000006E-5</v>
      </c>
      <c r="G8" s="24">
        <v>100</v>
      </c>
      <c r="H8" s="24">
        <v>5</v>
      </c>
      <c r="I8" s="1">
        <f>'Count-&gt;Actual Activity'!F8</f>
        <v>0.13251767378489365</v>
      </c>
      <c r="J8" s="1">
        <f>'Count-&gt;Actual Activity'!G8</f>
        <v>0.12664763330799395</v>
      </c>
      <c r="K8" s="23">
        <v>10</v>
      </c>
      <c r="L8" s="23">
        <v>0.02</v>
      </c>
      <c r="M8" s="1">
        <f>'Count-&gt;Actual Activity'!F30</f>
        <v>6.1120000000000001</v>
      </c>
      <c r="N8" s="1">
        <f>'Count-&gt;Actual Activity'!G30</f>
        <v>0.32490000000000002</v>
      </c>
      <c r="O8" s="1">
        <v>2.1999999999999999E-2</v>
      </c>
      <c r="P8" s="23">
        <v>9.0000000000000006E-5</v>
      </c>
      <c r="Q8" s="23">
        <f t="shared" si="0"/>
        <v>1.3251767378489366E-2</v>
      </c>
      <c r="R8" s="23">
        <f t="shared" si="1"/>
        <v>1.2664791062726444E-2</v>
      </c>
      <c r="S8" s="23">
        <f t="shared" si="2"/>
        <v>277.81818181818181</v>
      </c>
      <c r="T8" s="23">
        <f t="shared" si="3"/>
        <v>23.105142153086835</v>
      </c>
      <c r="U8" s="23">
        <f>Parameters!$B$6*'Bottle Results'!B8</f>
        <v>5.3988024914288308</v>
      </c>
      <c r="V8" s="23">
        <f>SQRT((C8/B8)^2+(Parameters!$C$6/Parameters!$B$6))</f>
        <v>6.6180636102176282E-2</v>
      </c>
      <c r="W8" s="23">
        <f t="shared" si="7"/>
        <v>-7.1319750857116839E-3</v>
      </c>
      <c r="X8" s="23">
        <v>2.3297913974600508E-2</v>
      </c>
      <c r="Y8" s="23">
        <f t="shared" ref="Y8:Y19" si="8">S8</f>
        <v>277.81818181818181</v>
      </c>
      <c r="AA8" s="23">
        <f>(Q8*G8+S8*E8-U8)/U8</f>
        <v>0.78923422513237329</v>
      </c>
      <c r="AB8" s="23">
        <f t="shared" si="6"/>
        <v>1.5437766926605345</v>
      </c>
    </row>
    <row r="9" spans="1:28" s="23" customFormat="1" x14ac:dyDescent="0.25">
      <c r="A9" s="22" t="s">
        <v>95</v>
      </c>
      <c r="B9" s="23">
        <v>1.5800000000000002E-2</v>
      </c>
      <c r="C9" s="23">
        <v>1E-3</v>
      </c>
      <c r="D9" s="23">
        <v>8.9</v>
      </c>
      <c r="E9" s="24">
        <v>0.03</v>
      </c>
      <c r="F9" s="25">
        <v>9.0000000000000006E-5</v>
      </c>
      <c r="G9" s="24">
        <v>100</v>
      </c>
      <c r="H9" s="24">
        <v>5</v>
      </c>
      <c r="I9" s="1">
        <f>'Count-&gt;Actual Activity'!F9</f>
        <v>0.13620174268021087</v>
      </c>
      <c r="J9" s="1">
        <f>'Count-&gt;Actual Activity'!G9</f>
        <v>0.12664759651021001</v>
      </c>
      <c r="K9" s="23">
        <v>10</v>
      </c>
      <c r="L9" s="23">
        <v>0.02</v>
      </c>
      <c r="M9" s="1">
        <f>'Count-&gt;Actual Activity'!F31</f>
        <v>5.9980000000000002</v>
      </c>
      <c r="N9" s="1">
        <f>'Count-&gt;Actual Activity'!G31</f>
        <v>0.3201</v>
      </c>
      <c r="O9" s="1">
        <v>2.1999999999999999E-2</v>
      </c>
      <c r="P9" s="23">
        <v>9.0000000000000006E-5</v>
      </c>
      <c r="Q9" s="23">
        <f t="shared" si="0"/>
        <v>1.3620174268021087E-2</v>
      </c>
      <c r="R9" s="23">
        <f t="shared" si="1"/>
        <v>1.2664788946315605E-2</v>
      </c>
      <c r="S9" s="23">
        <f t="shared" si="2"/>
        <v>272.63636363636368</v>
      </c>
      <c r="T9" s="23">
        <f t="shared" si="3"/>
        <v>22.710838231515403</v>
      </c>
      <c r="U9" s="23">
        <f>Parameters!$B$6*'Bottle Results'!B9</f>
        <v>5.3988024914288308</v>
      </c>
      <c r="V9" s="23">
        <f>SQRT((C9/B9)^2+(Parameters!$C$6/Parameters!$B$6))</f>
        <v>6.6180636102176282E-2</v>
      </c>
      <c r="W9" s="23">
        <f t="shared" si="7"/>
        <v>-5.9919750857117026E-3</v>
      </c>
      <c r="X9" s="23">
        <v>2.3297916895026565E-2</v>
      </c>
      <c r="Y9" s="23">
        <f t="shared" si="8"/>
        <v>272.63636363636368</v>
      </c>
      <c r="AA9" s="23">
        <f t="shared" ref="AA9:AA19" si="9">(Q9*G9+S9*E9-U9)/U9</f>
        <v>0.76726382397587889</v>
      </c>
      <c r="AB9" s="23">
        <f t="shared" si="6"/>
        <v>1.514982428432246</v>
      </c>
    </row>
    <row r="10" spans="1:28" s="23" customFormat="1" x14ac:dyDescent="0.25">
      <c r="A10" s="22" t="s">
        <v>96</v>
      </c>
      <c r="B10" s="23">
        <v>1.5800000000000002E-2</v>
      </c>
      <c r="C10" s="23">
        <v>1E-3</v>
      </c>
      <c r="D10" s="23">
        <v>8.9</v>
      </c>
      <c r="E10" s="24">
        <v>0.03</v>
      </c>
      <c r="F10" s="25">
        <v>9.0000000000000006E-5</v>
      </c>
      <c r="G10" s="24">
        <v>100</v>
      </c>
      <c r="H10" s="24">
        <v>5</v>
      </c>
      <c r="I10" s="1">
        <f>'Count-&gt;Actual Activity'!F10</f>
        <v>0.1394910899081731</v>
      </c>
      <c r="J10" s="1">
        <f>'Count-&gt;Actual Activity'!G10</f>
        <v>0.12664756365594135</v>
      </c>
      <c r="K10" s="23">
        <v>10</v>
      </c>
      <c r="L10" s="23">
        <v>0.02</v>
      </c>
      <c r="M10" s="1">
        <f>'Count-&gt;Actual Activity'!F32</f>
        <v>5.6020000000000003</v>
      </c>
      <c r="N10" s="1">
        <f>'Count-&gt;Actual Activity'!G32</f>
        <v>0.37659999999999999</v>
      </c>
      <c r="O10" s="1">
        <v>2.1999999999999999E-2</v>
      </c>
      <c r="P10" s="23">
        <v>9.0000000000000006E-5</v>
      </c>
      <c r="Q10" s="23">
        <f t="shared" si="0"/>
        <v>1.394910899081731E-2</v>
      </c>
      <c r="R10" s="23">
        <f t="shared" si="1"/>
        <v>1.2664787092976483E-2</v>
      </c>
      <c r="S10" s="23">
        <f t="shared" si="2"/>
        <v>254.63636363636365</v>
      </c>
      <c r="T10" s="23">
        <f t="shared" si="3"/>
        <v>23.628063307376685</v>
      </c>
      <c r="U10" s="23">
        <f>Parameters!$B$6*'Bottle Results'!B10</f>
        <v>5.3988024914288308</v>
      </c>
      <c r="V10" s="23">
        <f>SQRT((C10/B10)^2+(Parameters!$C$6/Parameters!$B$6))</f>
        <v>6.6180636102176282E-2</v>
      </c>
      <c r="W10" s="23">
        <f t="shared" si="7"/>
        <v>-2.0319750857116948E-3</v>
      </c>
      <c r="X10" s="23">
        <v>2.3297919570431896E-2</v>
      </c>
      <c r="Y10" s="23">
        <f t="shared" si="8"/>
        <v>254.63636363636365</v>
      </c>
      <c r="AA10" s="23">
        <f t="shared" si="9"/>
        <v>0.67333437785788086</v>
      </c>
      <c r="AB10" s="23">
        <f t="shared" si="6"/>
        <v>1.4149602474287164</v>
      </c>
    </row>
    <row r="11" spans="1:28" s="23" customFormat="1" x14ac:dyDescent="0.25">
      <c r="A11" s="22" t="s">
        <v>97</v>
      </c>
      <c r="B11" s="23">
        <v>7.9100000000000004E-2</v>
      </c>
      <c r="C11" s="23">
        <v>2E-3</v>
      </c>
      <c r="D11" s="23">
        <v>8.94</v>
      </c>
      <c r="E11" s="24">
        <v>0.03</v>
      </c>
      <c r="F11" s="25">
        <v>9.0000000000000006E-5</v>
      </c>
      <c r="G11" s="24">
        <v>100</v>
      </c>
      <c r="H11" s="24">
        <v>5</v>
      </c>
      <c r="I11" s="1">
        <f>'Count-&gt;Actual Activity'!F11</f>
        <v>0.13909636824081686</v>
      </c>
      <c r="J11" s="1">
        <f>'Count-&gt;Actual Activity'!G11</f>
        <v>0.12664756759840898</v>
      </c>
      <c r="K11" s="23">
        <v>10</v>
      </c>
      <c r="L11" s="23">
        <v>0.02</v>
      </c>
      <c r="M11" s="1">
        <f>'Count-&gt;Actual Activity'!F33</f>
        <v>21.28</v>
      </c>
      <c r="N11" s="1">
        <f>'Count-&gt;Actual Activity'!G33</f>
        <v>1.0509999999999999</v>
      </c>
      <c r="O11" s="1">
        <v>2.1999999999999999E-2</v>
      </c>
      <c r="P11" s="24"/>
      <c r="Q11" s="23">
        <f t="shared" si="0"/>
        <v>1.3909636824081686E-2</v>
      </c>
      <c r="R11" s="23">
        <f t="shared" si="1"/>
        <v>1.2664787313568357E-2</v>
      </c>
      <c r="S11" s="23">
        <f t="shared" si="2"/>
        <v>967.27272727272737</v>
      </c>
      <c r="T11" s="23">
        <f t="shared" si="3"/>
        <v>47.772727272727273</v>
      </c>
      <c r="U11" s="23">
        <f>Parameters!$B$6*'Bottle Results'!B11</f>
        <v>27.028182093165853</v>
      </c>
      <c r="V11" s="23">
        <f>SQRT((C11/B11)^2+(Parameters!$C$6/Parameters!$B$6))</f>
        <v>3.1834127968683831E-2</v>
      </c>
      <c r="W11" s="23">
        <f t="shared" si="7"/>
        <v>5.7481820931658517E-2</v>
      </c>
      <c r="X11" s="23">
        <v>2.3297919246001962E-2</v>
      </c>
      <c r="Y11" s="23">
        <f t="shared" si="8"/>
        <v>967.27272727272737</v>
      </c>
      <c r="AA11" s="23">
        <f t="shared" si="9"/>
        <v>0.12509030003460803</v>
      </c>
      <c r="AB11" s="23">
        <f t="shared" si="6"/>
        <v>1.0736268432022715</v>
      </c>
    </row>
    <row r="12" spans="1:28" s="23" customFormat="1" x14ac:dyDescent="0.25">
      <c r="A12" s="22" t="s">
        <v>98</v>
      </c>
      <c r="B12" s="23">
        <v>7.9100000000000004E-2</v>
      </c>
      <c r="C12" s="23">
        <v>2E-3</v>
      </c>
      <c r="D12" s="23">
        <v>8.89</v>
      </c>
      <c r="E12" s="24">
        <v>0.03</v>
      </c>
      <c r="F12" s="25">
        <v>9.0000000000000006E-5</v>
      </c>
      <c r="G12" s="24">
        <v>100</v>
      </c>
      <c r="H12" s="24">
        <v>5</v>
      </c>
      <c r="I12" s="1">
        <f>'Count-&gt;Actual Activity'!F12</f>
        <v>0.13718854684859907</v>
      </c>
      <c r="J12" s="1">
        <f>'Count-&gt;Actual Activity'!G12</f>
        <v>0.12664758665384068</v>
      </c>
      <c r="K12" s="23">
        <v>10</v>
      </c>
      <c r="L12" s="23">
        <v>0.02</v>
      </c>
      <c r="M12" s="1">
        <f>'Count-&gt;Actual Activity'!F34</f>
        <v>20.83</v>
      </c>
      <c r="N12" s="1">
        <f>'Count-&gt;Actual Activity'!G34</f>
        <v>0.94069999999999998</v>
      </c>
      <c r="O12" s="1">
        <v>2.1999999999999999E-2</v>
      </c>
      <c r="P12" s="24"/>
      <c r="Q12" s="23">
        <f t="shared" si="0"/>
        <v>1.3718854684859907E-2</v>
      </c>
      <c r="R12" s="23">
        <f t="shared" si="1"/>
        <v>1.2664788386716783E-2</v>
      </c>
      <c r="S12" s="23">
        <f t="shared" si="2"/>
        <v>946.81818181818176</v>
      </c>
      <c r="T12" s="23">
        <f t="shared" si="3"/>
        <v>42.759090909090908</v>
      </c>
      <c r="U12" s="23">
        <f>Parameters!$B$6*'Bottle Results'!B12</f>
        <v>27.028182093165853</v>
      </c>
      <c r="V12" s="23">
        <f>SQRT((C12/B12)^2+(Parameters!$C$6/Parameters!$B$6))</f>
        <v>3.1834127968683831E-2</v>
      </c>
      <c r="W12" s="23">
        <f t="shared" si="7"/>
        <v>6.1981820931658549E-2</v>
      </c>
      <c r="X12" s="23">
        <v>2.3297917690924E-2</v>
      </c>
      <c r="Y12" s="23">
        <f t="shared" si="8"/>
        <v>946.81818181818176</v>
      </c>
      <c r="AA12" s="23">
        <f t="shared" si="9"/>
        <v>0.10168086112459977</v>
      </c>
      <c r="AB12" s="23">
        <f t="shared" si="6"/>
        <v>1.0509232680405693</v>
      </c>
    </row>
    <row r="13" spans="1:28" s="23" customFormat="1" x14ac:dyDescent="0.25">
      <c r="A13" s="22" t="s">
        <v>99</v>
      </c>
      <c r="B13" s="23">
        <v>7.9100000000000004E-2</v>
      </c>
      <c r="C13" s="23">
        <v>2E-3</v>
      </c>
      <c r="D13" s="23">
        <v>8.92</v>
      </c>
      <c r="E13" s="24">
        <v>0.03</v>
      </c>
      <c r="F13" s="25">
        <v>9.0000000000000006E-5</v>
      </c>
      <c r="G13" s="24">
        <v>100</v>
      </c>
      <c r="H13" s="24">
        <v>5</v>
      </c>
      <c r="I13" s="1">
        <f>'Count-&gt;Actual Activity'!F13</f>
        <v>0.14014895935376481</v>
      </c>
      <c r="J13" s="1">
        <f>'Count-&gt;Actual Activity'!G13</f>
        <v>0.12664755708518899</v>
      </c>
      <c r="K13" s="23">
        <v>10</v>
      </c>
      <c r="L13" s="23">
        <v>0.02</v>
      </c>
      <c r="M13" s="1">
        <f>'Count-&gt;Actual Activity'!F35</f>
        <v>21.45</v>
      </c>
      <c r="N13" s="1">
        <f>'Count-&gt;Actual Activity'!G35</f>
        <v>1.032</v>
      </c>
      <c r="O13" s="1">
        <v>2.1999999999999999E-2</v>
      </c>
      <c r="P13" s="24"/>
      <c r="Q13" s="23">
        <f t="shared" si="0"/>
        <v>1.4014895935376481E-2</v>
      </c>
      <c r="R13" s="23">
        <f t="shared" si="1"/>
        <v>1.2664786726419609E-2</v>
      </c>
      <c r="S13" s="23">
        <f t="shared" si="2"/>
        <v>975</v>
      </c>
      <c r="T13" s="23">
        <f t="shared" si="3"/>
        <v>46.909090909090914</v>
      </c>
      <c r="U13" s="23">
        <f>Parameters!$B$6*'Bottle Results'!B13</f>
        <v>27.028182093165853</v>
      </c>
      <c r="V13" s="23">
        <f>SQRT((C13/B13)^2+(Parameters!$C$6/Parameters!$B$6))</f>
        <v>3.1834127968683831E-2</v>
      </c>
      <c r="W13" s="23">
        <f t="shared" si="7"/>
        <v>5.5781820931658538E-2</v>
      </c>
      <c r="X13" s="23">
        <v>2.3297920113197729E-2</v>
      </c>
      <c r="Y13" s="23">
        <f t="shared" si="8"/>
        <v>975</v>
      </c>
      <c r="AA13" s="23">
        <f t="shared" si="9"/>
        <v>0.13405664827483743</v>
      </c>
      <c r="AB13" s="23">
        <f t="shared" si="6"/>
        <v>1.0822037493744701</v>
      </c>
    </row>
    <row r="14" spans="1:28" s="23" customFormat="1" x14ac:dyDescent="0.25">
      <c r="A14" s="22" t="s">
        <v>100</v>
      </c>
      <c r="B14" s="23">
        <v>0.158</v>
      </c>
      <c r="C14" s="23">
        <v>2E-3</v>
      </c>
      <c r="D14" s="23">
        <v>8.81</v>
      </c>
      <c r="E14" s="24">
        <v>0.03</v>
      </c>
      <c r="F14" s="25">
        <v>9.0000000000000006E-5</v>
      </c>
      <c r="G14" s="24">
        <v>100</v>
      </c>
      <c r="H14" s="24">
        <v>5</v>
      </c>
      <c r="I14" s="1">
        <f>'Count-&gt;Actual Activity'!F14</f>
        <v>0.14685922769880755</v>
      </c>
      <c r="J14" s="1">
        <f>'Count-&gt;Actual Activity'!G14</f>
        <v>0.12664749006544551</v>
      </c>
      <c r="K14" s="23">
        <v>10</v>
      </c>
      <c r="L14" s="23">
        <v>0.02</v>
      </c>
      <c r="M14" s="1">
        <f>'Count-&gt;Actual Activity'!F36</f>
        <v>38.81</v>
      </c>
      <c r="N14" s="1">
        <f>'Count-&gt;Actual Activity'!G36</f>
        <v>1.6040000000000001</v>
      </c>
      <c r="O14" s="1">
        <v>2.1999999999999999E-2</v>
      </c>
      <c r="P14" s="24"/>
      <c r="Q14" s="23">
        <f t="shared" si="0"/>
        <v>1.4685922769880755E-2</v>
      </c>
      <c r="R14" s="23">
        <f t="shared" si="1"/>
        <v>1.2664783065812127E-2</v>
      </c>
      <c r="S14" s="23">
        <f t="shared" si="2"/>
        <v>1764.0909090909092</v>
      </c>
      <c r="T14" s="23">
        <f t="shared" si="3"/>
        <v>72.909090909090907</v>
      </c>
      <c r="U14" s="23">
        <f>Parameters!$B$6*'Bottle Results'!B14</f>
        <v>53.988024914288303</v>
      </c>
      <c r="V14" s="23">
        <f>SQRT((C14/B14)^2+(Parameters!$C$6/Parameters!$B$6))</f>
        <v>2.3115774284716652E-2</v>
      </c>
      <c r="W14" s="23">
        <f t="shared" si="7"/>
        <v>0.15178024914288302</v>
      </c>
      <c r="X14" s="23">
        <v>2.3297925795726985E-2</v>
      </c>
      <c r="Y14" s="23">
        <f t="shared" si="8"/>
        <v>1764.0909090909092</v>
      </c>
      <c r="AA14" s="23">
        <f t="shared" si="9"/>
        <v>7.4700757448956118E-3</v>
      </c>
      <c r="AB14" s="23">
        <f t="shared" si="6"/>
        <v>0.98026789008762027</v>
      </c>
    </row>
    <row r="15" spans="1:28" s="23" customFormat="1" x14ac:dyDescent="0.25">
      <c r="A15" s="22" t="s">
        <v>101</v>
      </c>
      <c r="B15" s="23">
        <v>0.158</v>
      </c>
      <c r="C15" s="23">
        <v>2E-3</v>
      </c>
      <c r="D15" s="23">
        <v>8.8699999999999992</v>
      </c>
      <c r="E15" s="24">
        <v>0.03</v>
      </c>
      <c r="F15" s="25">
        <v>9.0000000000000006E-5</v>
      </c>
      <c r="G15" s="24">
        <v>100</v>
      </c>
      <c r="H15" s="24">
        <v>5</v>
      </c>
      <c r="I15" s="1">
        <f>'Count-&gt;Actual Activity'!F15</f>
        <v>0.14863547520190695</v>
      </c>
      <c r="J15" s="1">
        <f>'Count-&gt;Actual Activity'!G15</f>
        <v>0.12664747232551371</v>
      </c>
      <c r="K15" s="23">
        <v>10</v>
      </c>
      <c r="L15" s="23">
        <v>0.02</v>
      </c>
      <c r="M15" s="1">
        <f>'Count-&gt;Actual Activity'!F37</f>
        <v>38.840000000000003</v>
      </c>
      <c r="N15" s="1">
        <f>'Count-&gt;Actual Activity'!G37</f>
        <v>1.5049999999999999</v>
      </c>
      <c r="O15" s="1">
        <v>2.1999999999999999E-2</v>
      </c>
      <c r="P15" s="24"/>
      <c r="Q15" s="23">
        <f t="shared" si="0"/>
        <v>1.4863547520190696E-2</v>
      </c>
      <c r="R15" s="23">
        <f t="shared" si="1"/>
        <v>1.2664782120691899E-2</v>
      </c>
      <c r="S15" s="23">
        <f t="shared" si="2"/>
        <v>1765.4545454545457</v>
      </c>
      <c r="T15" s="23">
        <f t="shared" si="3"/>
        <v>68.409090909090907</v>
      </c>
      <c r="U15" s="23">
        <f>Parameters!$B$6*'Bottle Results'!B15</f>
        <v>53.988024914288303</v>
      </c>
      <c r="V15" s="23">
        <f>SQRT((C15/B15)^2+(Parameters!$C$6/Parameters!$B$6))</f>
        <v>2.3115774284716652E-2</v>
      </c>
      <c r="W15" s="23">
        <f t="shared" si="7"/>
        <v>0.15148024914288299</v>
      </c>
      <c r="X15" s="23">
        <v>2.329792734453592E-2</v>
      </c>
      <c r="Y15" s="23">
        <f t="shared" si="8"/>
        <v>1765.4545454545457</v>
      </c>
      <c r="AA15" s="23">
        <f t="shared" si="9"/>
        <v>8.5568272241956112E-3</v>
      </c>
      <c r="AB15" s="23">
        <f t="shared" si="6"/>
        <v>0.98102563388310171</v>
      </c>
    </row>
    <row r="16" spans="1:28" x14ac:dyDescent="0.25">
      <c r="A16" s="22" t="s">
        <v>102</v>
      </c>
      <c r="B16" s="23">
        <v>0.158</v>
      </c>
      <c r="C16" s="23">
        <v>2E-3</v>
      </c>
      <c r="D16" s="23">
        <v>8.91</v>
      </c>
      <c r="E16" s="24">
        <v>0.03</v>
      </c>
      <c r="F16" s="25">
        <v>9.0000000000000006E-5</v>
      </c>
      <c r="G16" s="24">
        <v>100</v>
      </c>
      <c r="H16" s="24">
        <v>5</v>
      </c>
      <c r="I16" s="1">
        <f>'Count-&gt;Actual Activity'!F16</f>
        <v>0.15166167465163247</v>
      </c>
      <c r="J16" s="1">
        <f>'Count-&gt;Actual Activity'!G16</f>
        <v>0.12664744210249368</v>
      </c>
      <c r="K16" s="23">
        <v>10</v>
      </c>
      <c r="L16" s="23">
        <v>0.02</v>
      </c>
      <c r="M16" s="1">
        <f>'Count-&gt;Actual Activity'!F38</f>
        <v>40.43</v>
      </c>
      <c r="N16" s="1">
        <f>'Count-&gt;Actual Activity'!G38</f>
        <v>1.591</v>
      </c>
      <c r="O16" s="1">
        <v>2.1999999999999999E-2</v>
      </c>
      <c r="P16" s="24"/>
      <c r="Q16" s="23">
        <f t="shared" si="0"/>
        <v>1.5166167465163246E-2</v>
      </c>
      <c r="R16" s="23">
        <f t="shared" si="1"/>
        <v>1.2664780533494735E-2</v>
      </c>
      <c r="S16" s="23">
        <f t="shared" si="2"/>
        <v>1837.7272727272727</v>
      </c>
      <c r="T16" s="23">
        <f t="shared" si="3"/>
        <v>72.318181818181827</v>
      </c>
      <c r="U16" s="23">
        <f>Parameters!$B$6*'Bottle Results'!B16</f>
        <v>53.988024914288303</v>
      </c>
      <c r="V16" s="23">
        <f>SQRT((C16/B16)^2+(Parameters!$C$6/Parameters!$B$6))</f>
        <v>2.3115774284716652E-2</v>
      </c>
      <c r="W16" s="23">
        <f t="shared" si="7"/>
        <v>0.13558024914288302</v>
      </c>
      <c r="X16" s="23">
        <v>2.3297930026256426E-2</v>
      </c>
      <c r="Y16" s="23">
        <f t="shared" si="8"/>
        <v>1837.7272727272727</v>
      </c>
      <c r="Z16" s="23"/>
      <c r="AA16" s="23">
        <f t="shared" si="9"/>
        <v>4.9277779994172571E-2</v>
      </c>
      <c r="AB16" s="23">
        <f>Y16*E16/U16</f>
        <v>1.0211860550436096</v>
      </c>
    </row>
    <row r="17" spans="1:29" s="23" customFormat="1" x14ac:dyDescent="0.25">
      <c r="A17" s="22" t="s">
        <v>103</v>
      </c>
      <c r="B17" s="23">
        <v>0.79200000000000004</v>
      </c>
      <c r="C17" s="23">
        <v>2E-3</v>
      </c>
      <c r="D17" s="23">
        <v>8.9</v>
      </c>
      <c r="E17" s="24">
        <v>0.03</v>
      </c>
      <c r="F17" s="25">
        <v>9.0000000000000006E-5</v>
      </c>
      <c r="G17" s="24">
        <v>100</v>
      </c>
      <c r="H17" s="24">
        <v>5</v>
      </c>
      <c r="I17" s="1">
        <f>'Count-&gt;Actual Activity'!F17</f>
        <v>0.35829846751220068</v>
      </c>
      <c r="J17" s="1">
        <f>'Count-&gt;Actual Activity'!G17</f>
        <v>0.12664538008742116</v>
      </c>
      <c r="K17" s="23">
        <v>10</v>
      </c>
      <c r="L17" s="23">
        <v>0.02</v>
      </c>
      <c r="M17" s="1">
        <f>'Count-&gt;Actual Activity'!F39</f>
        <v>192.2</v>
      </c>
      <c r="N17" s="1">
        <f>'Count-&gt;Actual Activity'!G39</f>
        <v>6.4370000000000003</v>
      </c>
      <c r="O17" s="1">
        <v>2.1999999999999999E-2</v>
      </c>
      <c r="P17" s="23">
        <v>9.0000000000000006E-5</v>
      </c>
      <c r="Q17" s="23">
        <f t="shared" si="0"/>
        <v>3.5829846751220071E-2</v>
      </c>
      <c r="R17" s="23">
        <f t="shared" si="1"/>
        <v>1.2664740742966144E-2</v>
      </c>
      <c r="S17" s="23">
        <f t="shared" si="2"/>
        <v>8736.363636363636</v>
      </c>
      <c r="T17" s="23">
        <f t="shared" si="3"/>
        <v>630.7489107340466</v>
      </c>
      <c r="U17" s="23">
        <f>Parameters!$B$6*'Bottle Results'!B17</f>
        <v>270.62351729187554</v>
      </c>
      <c r="V17" s="23">
        <f>SQRT((C17/B17)^2+(Parameters!$C$6/Parameters!$B$6))</f>
        <v>1.9506029550982833E-2</v>
      </c>
      <c r="W17" s="23">
        <f>Q17</f>
        <v>3.5829846751220071E-2</v>
      </c>
      <c r="X17" s="23">
        <v>2.3298241351735846E-2</v>
      </c>
      <c r="Y17" s="23">
        <f t="shared" si="8"/>
        <v>8736.363636363636</v>
      </c>
      <c r="Z17" s="23">
        <v>750.18565608355891</v>
      </c>
      <c r="AA17" s="23">
        <f t="shared" si="9"/>
        <v>-1.8289702149226528E-2</v>
      </c>
      <c r="AB17" s="23">
        <f t="shared" si="6"/>
        <v>0.96847055907649071</v>
      </c>
      <c r="AC17" s="23">
        <f>(U17-Q17*G17)/U17</f>
        <v>0.98676026122571725</v>
      </c>
    </row>
    <row r="18" spans="1:29" s="23" customFormat="1" x14ac:dyDescent="0.25">
      <c r="A18" s="22" t="s">
        <v>104</v>
      </c>
      <c r="B18" s="23">
        <v>0.79200000000000004</v>
      </c>
      <c r="C18" s="23">
        <v>2E-3</v>
      </c>
      <c r="D18" s="23">
        <v>8.9</v>
      </c>
      <c r="E18" s="24">
        <v>0.03</v>
      </c>
      <c r="F18" s="25">
        <v>9.0000000000000006E-5</v>
      </c>
      <c r="G18" s="24">
        <v>100</v>
      </c>
      <c r="H18" s="24">
        <v>5</v>
      </c>
      <c r="I18" s="1">
        <f>'Count-&gt;Actual Activity'!F18</f>
        <v>0.29856392185241143</v>
      </c>
      <c r="J18" s="1">
        <f>'Count-&gt;Actual Activity'!G18</f>
        <v>0.1266459758319273</v>
      </c>
      <c r="K18" s="23">
        <v>10</v>
      </c>
      <c r="L18" s="23">
        <v>0.02</v>
      </c>
      <c r="M18" s="1">
        <f>'Count-&gt;Actual Activity'!F40</f>
        <v>181.3</v>
      </c>
      <c r="N18" s="1">
        <f>'Count-&gt;Actual Activity'!G40</f>
        <v>6.2560000000000002</v>
      </c>
      <c r="O18" s="1">
        <v>2.1999999999999999E-2</v>
      </c>
      <c r="P18" s="23">
        <v>9.0000000000000006E-5</v>
      </c>
      <c r="Q18" s="23">
        <f t="shared" si="0"/>
        <v>2.9856392185241144E-2</v>
      </c>
      <c r="R18" s="23">
        <f t="shared" si="1"/>
        <v>1.2664738353429511E-2</v>
      </c>
      <c r="S18" s="23">
        <f t="shared" si="2"/>
        <v>8240.9090909090919</v>
      </c>
      <c r="T18" s="23">
        <f t="shared" si="3"/>
        <v>598.90473317045542</v>
      </c>
      <c r="U18" s="23">
        <f>Parameters!$B$6*'Bottle Results'!B18</f>
        <v>270.62351729187554</v>
      </c>
      <c r="V18" s="23">
        <f>SQRT((C18/B18)^2+(Parameters!$C$6/Parameters!$B$6))</f>
        <v>1.9506029550982833E-2</v>
      </c>
      <c r="W18" s="23">
        <f>Q18</f>
        <v>2.9856392185241144E-2</v>
      </c>
      <c r="X18" s="23">
        <v>2.3298125385430756E-2</v>
      </c>
      <c r="Y18" s="23">
        <f t="shared" si="8"/>
        <v>8240.9090909090919</v>
      </c>
      <c r="Z18" s="23">
        <v>696.13408835057783</v>
      </c>
      <c r="AA18" s="23">
        <f t="shared" si="9"/>
        <v>-7.5420663918373487E-2</v>
      </c>
      <c r="AB18" s="23">
        <f t="shared" si="6"/>
        <v>0.91354689053365146</v>
      </c>
      <c r="AC18" s="23">
        <f>(U18-Q18*G18)/U18</f>
        <v>0.98896755445202489</v>
      </c>
    </row>
    <row r="19" spans="1:29" s="23" customFormat="1" x14ac:dyDescent="0.25">
      <c r="A19" s="22" t="s">
        <v>105</v>
      </c>
      <c r="B19" s="23">
        <v>0.79200000000000004</v>
      </c>
      <c r="C19" s="23">
        <v>2E-3</v>
      </c>
      <c r="D19" s="23">
        <v>8.94</v>
      </c>
      <c r="E19" s="24">
        <v>0.03</v>
      </c>
      <c r="F19" s="25">
        <v>9.0000000000000006E-5</v>
      </c>
      <c r="G19" s="24">
        <v>100</v>
      </c>
      <c r="H19" s="24">
        <v>5</v>
      </c>
      <c r="I19" s="1">
        <f>'Count-&gt;Actual Activity'!F19</f>
        <v>0.2969192482384303</v>
      </c>
      <c r="J19" s="1">
        <f>'Count-&gt;Actual Activity'!G19</f>
        <v>0.12664599223852602</v>
      </c>
      <c r="K19" s="23">
        <v>10</v>
      </c>
      <c r="L19" s="23">
        <v>0.02</v>
      </c>
      <c r="M19" s="1">
        <f>'Count-&gt;Actual Activity'!F41</f>
        <v>197.3</v>
      </c>
      <c r="N19" s="1">
        <f>'Count-&gt;Actual Activity'!G41</f>
        <v>10.15</v>
      </c>
      <c r="O19" s="1">
        <v>2.1999999999999999E-2</v>
      </c>
      <c r="P19" s="23">
        <v>9.0000000000000006E-5</v>
      </c>
      <c r="Q19" s="23">
        <f t="shared" si="0"/>
        <v>2.969192482384303E-2</v>
      </c>
      <c r="R19" s="23">
        <f t="shared" si="1"/>
        <v>1.2664738447453501E-2</v>
      </c>
      <c r="S19" s="23">
        <f t="shared" si="2"/>
        <v>8968.1818181818198</v>
      </c>
      <c r="T19" s="23">
        <f t="shared" si="3"/>
        <v>736.12580972177761</v>
      </c>
      <c r="U19" s="23">
        <f>Parameters!$B$6*'Bottle Results'!B19</f>
        <v>270.62351729187554</v>
      </c>
      <c r="V19" s="23">
        <f>SQRT((C19/B19)^2+(Parameters!$C$6/Parameters!$B$6))</f>
        <v>1.9506029550982833E-2</v>
      </c>
      <c r="W19" s="23">
        <f>Q19</f>
        <v>2.969192482384303E-2</v>
      </c>
      <c r="X19" s="23">
        <v>2.3298122491261654E-2</v>
      </c>
      <c r="Y19" s="23">
        <f t="shared" si="8"/>
        <v>8968.1818181818198</v>
      </c>
      <c r="AA19" s="23">
        <f t="shared" si="9"/>
        <v>5.1404613681927105E-3</v>
      </c>
      <c r="AB19" s="23">
        <f t="shared" si="6"/>
        <v>0.99416878931213137</v>
      </c>
      <c r="AC19" s="23">
        <f>(U19-Q19*G19)/U19</f>
        <v>0.98902832794393869</v>
      </c>
    </row>
    <row r="20" spans="1:29" s="28" customFormat="1" x14ac:dyDescent="0.25">
      <c r="A20" s="27" t="s">
        <v>114</v>
      </c>
      <c r="B20" s="28">
        <v>0.79200000000000004</v>
      </c>
      <c r="C20" s="28">
        <v>2E-3</v>
      </c>
      <c r="D20" s="28">
        <v>9</v>
      </c>
      <c r="E20" s="29">
        <v>0.03</v>
      </c>
      <c r="F20" s="30">
        <v>9.0000000000000006E-5</v>
      </c>
      <c r="G20" s="29">
        <v>100</v>
      </c>
      <c r="H20" s="29">
        <v>5</v>
      </c>
      <c r="I20" s="29"/>
      <c r="J20" s="29"/>
      <c r="K20" s="28">
        <v>10</v>
      </c>
      <c r="L20" s="28">
        <v>0.02</v>
      </c>
      <c r="M20" s="1">
        <f>'Count-&gt;Actual Activity'!F42</f>
        <v>0</v>
      </c>
      <c r="N20" s="1">
        <f>'Count-&gt;Actual Activity'!G42</f>
        <v>0</v>
      </c>
      <c r="O20" s="28">
        <v>0.03</v>
      </c>
      <c r="P20" s="28">
        <v>9.0000000000000006E-5</v>
      </c>
      <c r="Q20" s="28">
        <f t="shared" si="0"/>
        <v>0</v>
      </c>
      <c r="R20" s="28" t="e">
        <f t="shared" si="1"/>
        <v>#DIV/0!</v>
      </c>
      <c r="S20" s="28">
        <f t="shared" si="2"/>
        <v>0</v>
      </c>
      <c r="T20" s="28" t="e">
        <f t="shared" si="3"/>
        <v>#DIV/0!</v>
      </c>
      <c r="U20" s="28">
        <f>Parameters!$B$6*'Bottle Results'!B20</f>
        <v>270.62351729187554</v>
      </c>
      <c r="V20" s="28">
        <f>SQRT((C20/B20)^2+(Parameters!$C$6/Parameters!$B$6))</f>
        <v>1.9506029550982833E-2</v>
      </c>
      <c r="W20" s="28">
        <f t="shared" si="4"/>
        <v>0</v>
      </c>
      <c r="X20" s="28">
        <v>2.330092730933234E-2</v>
      </c>
      <c r="Y20" s="28">
        <f>(U20-Q20*G20)/E20</f>
        <v>9020.7839097291853</v>
      </c>
      <c r="AB20" s="28">
        <f t="shared" si="6"/>
        <v>1</v>
      </c>
    </row>
    <row r="21" spans="1:29" s="28" customFormat="1" x14ac:dyDescent="0.25">
      <c r="A21" s="27" t="s">
        <v>129</v>
      </c>
      <c r="B21" s="28">
        <v>0.79200000000000004</v>
      </c>
      <c r="C21" s="28">
        <v>2E-3</v>
      </c>
      <c r="D21" s="28">
        <v>9</v>
      </c>
      <c r="E21" s="29">
        <v>0.03</v>
      </c>
      <c r="F21" s="30">
        <v>9.0000000000000006E-5</v>
      </c>
      <c r="G21" s="29">
        <v>100</v>
      </c>
      <c r="H21" s="29">
        <v>5</v>
      </c>
      <c r="I21" s="29">
        <f>'Count-&gt;Actual Activity'!F20</f>
        <v>0.59185856743363718</v>
      </c>
      <c r="J21" s="29">
        <f>'Count-&gt;Actual Activity'!G20</f>
        <v>0.12664305342085061</v>
      </c>
      <c r="K21" s="28">
        <v>10</v>
      </c>
      <c r="L21" s="28">
        <v>0.02</v>
      </c>
      <c r="M21" s="1">
        <f>'Count-&gt;Actual Activity'!F43</f>
        <v>0</v>
      </c>
      <c r="N21" s="1">
        <f>'Count-&gt;Actual Activity'!G43</f>
        <v>0</v>
      </c>
      <c r="O21" s="28">
        <v>0.03</v>
      </c>
      <c r="P21" s="28">
        <v>9.0000000000000006E-5</v>
      </c>
      <c r="Q21" s="28">
        <f t="shared" si="0"/>
        <v>5.918585674336372E-2</v>
      </c>
      <c r="R21" s="28">
        <f t="shared" si="1"/>
        <v>1.2664858532969012E-2</v>
      </c>
      <c r="U21" s="28">
        <f>Parameters!$B$6*'Bottle Results'!B21</f>
        <v>270.62351729187554</v>
      </c>
      <c r="V21" s="28">
        <f>SQRT((C21/B21)^2+(Parameters!$C$6/Parameters!$B$6))</f>
        <v>1.9506029550982833E-2</v>
      </c>
      <c r="W21" s="28">
        <f t="shared" si="4"/>
        <v>5.918585674336372E-2</v>
      </c>
      <c r="X21" s="28">
        <v>2.3298893977915368E-2</v>
      </c>
      <c r="Y21" s="28">
        <f>(U21-Q21*G21)/E21</f>
        <v>8823.497720584639</v>
      </c>
      <c r="AB21" s="28">
        <f t="shared" si="6"/>
        <v>0.97812981763904494</v>
      </c>
    </row>
    <row r="22" spans="1:29" s="28" customFormat="1" x14ac:dyDescent="0.25">
      <c r="A22" s="27" t="s">
        <v>133</v>
      </c>
      <c r="B22" s="28">
        <v>0.79200000000000004</v>
      </c>
      <c r="C22" s="28">
        <v>2E-3</v>
      </c>
      <c r="D22" s="28">
        <v>8.94</v>
      </c>
      <c r="E22" s="29">
        <v>0.03</v>
      </c>
      <c r="F22" s="30">
        <v>9.0000000000000006E-5</v>
      </c>
      <c r="G22" s="29">
        <v>100</v>
      </c>
      <c r="H22" s="29">
        <v>5</v>
      </c>
      <c r="I22" s="29"/>
      <c r="J22" s="29"/>
      <c r="K22" s="28">
        <v>10</v>
      </c>
      <c r="L22" s="28">
        <v>0.02</v>
      </c>
      <c r="M22" s="1">
        <f>'Count-&gt;Actual Activity'!F44</f>
        <v>0</v>
      </c>
      <c r="N22" s="1">
        <f>'Count-&gt;Actual Activity'!G44</f>
        <v>0</v>
      </c>
      <c r="O22" s="28">
        <v>0.03</v>
      </c>
      <c r="P22" s="28">
        <v>9.0000000000000006E-5</v>
      </c>
      <c r="Q22" s="28">
        <f t="shared" si="0"/>
        <v>0</v>
      </c>
      <c r="R22" s="28" t="e">
        <f t="shared" si="1"/>
        <v>#DIV/0!</v>
      </c>
      <c r="U22" s="28">
        <f>Parameters!$B$6*'Bottle Results'!B22</f>
        <v>270.62351729187554</v>
      </c>
      <c r="V22" s="28">
        <f>SQRT((C22/B22)^2+(Parameters!$C$6/Parameters!$B$6))</f>
        <v>1.9506029550982833E-2</v>
      </c>
      <c r="W22" s="28">
        <f t="shared" si="4"/>
        <v>0</v>
      </c>
      <c r="X22" s="28">
        <v>2.3300879553606872E-2</v>
      </c>
      <c r="Y22" s="28">
        <f>(U22-Q22*G22)/E22</f>
        <v>9020.7839097291853</v>
      </c>
      <c r="AB22" s="28">
        <f t="shared" si="6"/>
        <v>1</v>
      </c>
    </row>
    <row r="23" spans="1:29" s="28" customFormat="1" x14ac:dyDescent="0.25">
      <c r="A23" s="27" t="s">
        <v>134</v>
      </c>
      <c r="B23" s="28">
        <v>0.79200000000000004</v>
      </c>
      <c r="C23" s="28">
        <v>2E-3</v>
      </c>
      <c r="D23" s="28">
        <v>8.99</v>
      </c>
      <c r="E23" s="29">
        <v>0.03</v>
      </c>
      <c r="F23" s="30">
        <v>9.0000000000000006E-5</v>
      </c>
      <c r="G23" s="29">
        <v>100</v>
      </c>
      <c r="H23" s="29">
        <v>5</v>
      </c>
      <c r="I23" s="29"/>
      <c r="J23" s="29"/>
      <c r="K23" s="28">
        <v>10</v>
      </c>
      <c r="L23" s="28">
        <v>0.02</v>
      </c>
      <c r="M23" s="1">
        <f>'Count-&gt;Actual Activity'!F45</f>
        <v>0</v>
      </c>
      <c r="N23" s="1">
        <f>'Count-&gt;Actual Activity'!G45</f>
        <v>0</v>
      </c>
      <c r="O23" s="28">
        <v>0.03</v>
      </c>
      <c r="P23" s="28">
        <v>9.0000000000000006E-5</v>
      </c>
      <c r="Q23" s="28">
        <f t="shared" si="0"/>
        <v>0</v>
      </c>
      <c r="R23" s="28" t="e">
        <f t="shared" si="1"/>
        <v>#DIV/0!</v>
      </c>
      <c r="U23" s="28">
        <f>Parameters!$B$6*'Bottle Results'!B23</f>
        <v>270.62351729187554</v>
      </c>
      <c r="V23" s="28">
        <f>SQRT((C23/B23)^2+(Parameters!$C$6/Parameters!$B$6))</f>
        <v>1.9506029550982833E-2</v>
      </c>
      <c r="W23" s="28">
        <f t="shared" si="4"/>
        <v>0</v>
      </c>
      <c r="X23" s="28">
        <v>2.3299183599979709E-2</v>
      </c>
      <c r="Y23" s="28">
        <f>(U23-Q23*G23)/E23</f>
        <v>9020.7839097291853</v>
      </c>
      <c r="AB23" s="28">
        <f t="shared" si="6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5" sqref="F5"/>
    </sheetView>
  </sheetViews>
  <sheetFormatPr defaultRowHeight="15" x14ac:dyDescent="0.25"/>
  <cols>
    <col min="1" max="1" width="12.5703125" bestFit="1" customWidth="1"/>
    <col min="2" max="2" width="11.28515625" bestFit="1" customWidth="1"/>
    <col min="4" max="4" width="10.7109375" bestFit="1" customWidth="1"/>
  </cols>
  <sheetData>
    <row r="1" spans="1:9" x14ac:dyDescent="0.25">
      <c r="A1" t="s">
        <v>135</v>
      </c>
      <c r="B1" t="s">
        <v>29</v>
      </c>
      <c r="C1" t="s">
        <v>136</v>
      </c>
      <c r="D1" t="s">
        <v>31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</row>
    <row r="2" spans="1:9" x14ac:dyDescent="0.25">
      <c r="A2" s="14">
        <v>0</v>
      </c>
      <c r="B2">
        <f>AVERAGE('Bottle Results'!W2:W4)</f>
        <v>1.3857007268434349E-2</v>
      </c>
      <c r="C2">
        <f>_xlfn.STDEV.S('Bottle Results'!W2:W4)</f>
        <v>4.1778594670261653E-4</v>
      </c>
      <c r="D2">
        <f>AVERAGE('Bottle Results'!Y2:Y4)</f>
        <v>-46.190024228114503</v>
      </c>
      <c r="E2">
        <f>_xlfn.STDEV.S('Bottle Results'!Y2:Y4)</f>
        <v>1.3926198223420532</v>
      </c>
      <c r="F2" t="e">
        <f>AVERAGE('Bottle Results'!AB2:AB4)</f>
        <v>#DIV/0!</v>
      </c>
      <c r="G2" t="e">
        <f>_xlfn.STDEV.S('Bottle Results'!AB2:AB4)</f>
        <v>#DIV/0!</v>
      </c>
      <c r="H2">
        <f>AVERAGE('Bottle Results'!D2:D4)</f>
        <v>8.9466666666666672</v>
      </c>
      <c r="I2">
        <f>_xlfn.STDEV.S('Bottle Results'!D2:D4)</f>
        <v>1.5275252316519917E-2</v>
      </c>
    </row>
    <row r="3" spans="1:9" x14ac:dyDescent="0.25">
      <c r="A3" s="14">
        <v>5</v>
      </c>
      <c r="B3">
        <f>AVERAGE('Bottle Results'!W5:W7)</f>
        <v>7.0623517291875521E-3</v>
      </c>
      <c r="C3">
        <f>_xlfn.STDEV.S('Bottle Results'!W5:W7)</f>
        <v>1.7466038474708571E-2</v>
      </c>
      <c r="D3">
        <f>AVERAGE('Bottle Results'!Y5:Y7)</f>
        <v>45.223908852763429</v>
      </c>
      <c r="E3">
        <f>_xlfn.STDEV.S('Bottle Results'!Y5:Y7)</f>
        <v>1.3820478557270199</v>
      </c>
      <c r="F3">
        <f>AVERAGE('Bottle Results'!AB5:AB7)</f>
        <v>0.50133014276052101</v>
      </c>
      <c r="G3">
        <f>_xlfn.STDEV.S('Bottle Results'!AB5:AB7)</f>
        <v>1.532070682057291E-2</v>
      </c>
      <c r="H3">
        <f>AVERAGE('Bottle Results'!D5:D7)</f>
        <v>8.9166666666666661</v>
      </c>
      <c r="I3">
        <f>_xlfn.STDEV.S('Bottle Results'!D5:D7)</f>
        <v>1.527525231651914E-2</v>
      </c>
    </row>
    <row r="4" spans="1:9" x14ac:dyDescent="0.25">
      <c r="A4" s="14">
        <v>10</v>
      </c>
      <c r="B4">
        <f>AVERAGE('Bottle Results'!W8:W10)</f>
        <v>-5.051975085711694E-3</v>
      </c>
      <c r="C4">
        <f>_xlfn.STDEV.S('Bottle Results'!W8:W10)</f>
        <v>2.6767891213168031E-3</v>
      </c>
      <c r="D4">
        <f>AVERAGE('Bottle Results'!Y8:Y10)</f>
        <v>268.36363636363637</v>
      </c>
      <c r="E4">
        <f>_xlfn.STDEV.S('Bottle Results'!Y8:Y10)</f>
        <v>12.167223278712751</v>
      </c>
      <c r="F4">
        <f>AVERAGE('Bottle Results'!AB8:AB10)</f>
        <v>1.4912397895071656</v>
      </c>
      <c r="G4">
        <f>_xlfn.STDEV.S('Bottle Results'!AB8:AB10)</f>
        <v>6.7610678282986877E-2</v>
      </c>
      <c r="H4">
        <f>AVERAGE('Bottle Results'!D8:D10)</f>
        <v>8.9066666666666663</v>
      </c>
      <c r="I4">
        <f>_xlfn.STDEV.S('Bottle Results'!D8:D10)</f>
        <v>1.154700538379227E-2</v>
      </c>
    </row>
    <row r="5" spans="1:9" x14ac:dyDescent="0.25">
      <c r="A5" s="14">
        <v>50</v>
      </c>
      <c r="B5">
        <f>AVERAGE('Bottle Results'!W11:W13)</f>
        <v>5.8415154264991866E-2</v>
      </c>
      <c r="C5">
        <f>_xlfn.STDEV.S('Bottle Results'!W11:W13)</f>
        <v>3.2036437588054936E-3</v>
      </c>
      <c r="D5">
        <f>AVERAGE('Bottle Results'!Y11:Y13)</f>
        <v>963.030303030303</v>
      </c>
      <c r="E5">
        <f>_xlfn.STDEV.S('Bottle Results'!Y11:Y13)</f>
        <v>14.562017085479523</v>
      </c>
      <c r="F5">
        <f>AVERAGE('Bottle Results'!AB11:AB13)</f>
        <v>1.0689179535391036</v>
      </c>
      <c r="G5">
        <f>_xlfn.STDEV.S('Bottle Results'!AB11:AB13)</f>
        <v>1.6163148193190729E-2</v>
      </c>
      <c r="H5">
        <f>AVERAGE('Bottle Results'!D11:D13)</f>
        <v>8.9166666666666661</v>
      </c>
      <c r="I5">
        <f>_xlfn.STDEV.S('Bottle Results'!D11:D13)</f>
        <v>2.5166114784235295E-2</v>
      </c>
    </row>
    <row r="6" spans="1:9" x14ac:dyDescent="0.25">
      <c r="A6" s="14">
        <v>100</v>
      </c>
      <c r="B6">
        <f>AVERAGE('Bottle Results'!W14:W16)</f>
        <v>0.14628024914288301</v>
      </c>
      <c r="C6">
        <f>_xlfn.STDEV.S('Bottle Results'!W14:W16)</f>
        <v>9.2676857952781171E-3</v>
      </c>
      <c r="D6">
        <f>AVERAGE('Bottle Results'!Y14:Y16)</f>
        <v>1789.0909090909092</v>
      </c>
      <c r="E6">
        <f>_xlfn.STDEV.S('Bottle Results'!Y14:Y16)</f>
        <v>42.12584452399139</v>
      </c>
      <c r="F6">
        <f>AVERAGE('Bottle Results'!AB14:AB16)</f>
        <v>0.99415985967144371</v>
      </c>
      <c r="G6">
        <f>_xlfn.STDEV.S('Bottle Results'!AB14:AB16)</f>
        <v>2.3408438032806719E-2</v>
      </c>
      <c r="H6">
        <f>AVERAGE('Bottle Results'!D14:D16)</f>
        <v>8.8633333333333333</v>
      </c>
      <c r="I6">
        <f>_xlfn.STDEV.S('Bottle Results'!D14:D16)</f>
        <v>5.0332229568471415E-2</v>
      </c>
    </row>
    <row r="7" spans="1:9" x14ac:dyDescent="0.25">
      <c r="A7" s="14">
        <v>500</v>
      </c>
      <c r="B7">
        <f>AVERAGE('Bottle Results'!W17:W19,'Bottle Results'!W21)</f>
        <v>3.8641005125916991E-2</v>
      </c>
      <c r="C7">
        <f>_xlfn.STDEV.S('Bottle Results'!W17:W19,'Bottle Results'!W21)</f>
        <v>1.3991056693009167E-2</v>
      </c>
      <c r="D7">
        <f>AVERAGE('Bottle Results'!Y17:Y19,'Bottle Results'!Y21)</f>
        <v>8692.2380665097971</v>
      </c>
      <c r="E7">
        <f>_xlfn.STDEV.S('Bottle Results'!Y17:Y19,'Bottle Results'!Y21)</f>
        <v>315.71028966780398</v>
      </c>
      <c r="F7">
        <f>AVERAGE('Bottle Results'!AB17:AB19,'Bottle Results'!AB21)</f>
        <v>0.96357901414032965</v>
      </c>
      <c r="G7">
        <f>_xlfn.STDEV.S('Bottle Results'!AB17:AB19,'Bottle Results'!AB21)</f>
        <v>3.499809914826809E-2</v>
      </c>
      <c r="H7">
        <f>AVERAGE('Bottle Results'!D17:D19,'Bottle Results'!D21)</f>
        <v>8.9350000000000005</v>
      </c>
      <c r="I7">
        <f>_xlfn.STDEV.S('Bottle Results'!D17:D19,'Bottle Results'!D21)</f>
        <v>4.7258156262525892E-2</v>
      </c>
    </row>
    <row r="8" spans="1:9" x14ac:dyDescent="0.25">
      <c r="A8" s="14"/>
    </row>
    <row r="9" spans="1:9" x14ac:dyDescent="0.25">
      <c r="A9" s="14"/>
    </row>
    <row r="10" spans="1:9" x14ac:dyDescent="0.25">
      <c r="A10" s="14"/>
    </row>
    <row r="11" spans="1:9" x14ac:dyDescent="0.25">
      <c r="A11" s="14"/>
    </row>
    <row r="12" spans="1:9" x14ac:dyDescent="0.25">
      <c r="A12" s="14"/>
    </row>
    <row r="13" spans="1:9" x14ac:dyDescent="0.25">
      <c r="A13" s="14"/>
    </row>
    <row r="14" spans="1:9" x14ac:dyDescent="0.25">
      <c r="A14" s="14"/>
    </row>
    <row r="15" spans="1:9" x14ac:dyDescent="0.25">
      <c r="A15" s="14"/>
    </row>
    <row r="16" spans="1:9" x14ac:dyDescent="0.25">
      <c r="A16" s="14"/>
    </row>
    <row r="17" spans="1:1" x14ac:dyDescent="0.25">
      <c r="A17" s="14"/>
    </row>
    <row r="18" spans="1:1" x14ac:dyDescent="0.25">
      <c r="A18" s="14"/>
    </row>
    <row r="19" spans="1:1" x14ac:dyDescent="0.25">
      <c r="A19" s="14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Count-&gt;Actual Activity</vt:lpstr>
      <vt:lpstr>Calibration Data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2016-05-23T15:28:05Z</dcterms:modified>
</cp:coreProperties>
</file>