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PYR_pH5\"/>
    </mc:Choice>
  </mc:AlternateContent>
  <bookViews>
    <workbookView xWindow="0" yWindow="0" windowWidth="7470" windowHeight="12285" activeTab="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8" l="1"/>
  <c r="J6" i="8"/>
  <c r="J5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G11" i="2" s="1"/>
  <c r="J11" i="5" s="1"/>
  <c r="F12" i="2"/>
  <c r="G12" i="2" s="1"/>
  <c r="J12" i="5" s="1"/>
  <c r="F13" i="2"/>
  <c r="F14" i="2"/>
  <c r="F15" i="2"/>
  <c r="F16" i="2"/>
  <c r="F17" i="2"/>
  <c r="G17" i="2" s="1"/>
  <c r="J17" i="5" s="1"/>
  <c r="F18" i="2"/>
  <c r="F19" i="2"/>
  <c r="W10" i="5" l="1"/>
  <c r="F4" i="8"/>
  <c r="U10" i="5"/>
  <c r="F6" i="8"/>
  <c r="F3" i="8"/>
  <c r="F2" i="8"/>
  <c r="F5" i="8"/>
  <c r="F7" i="8"/>
  <c r="G18" i="2"/>
  <c r="J18" i="5" s="1"/>
  <c r="R18" i="5" s="1"/>
  <c r="I18" i="5"/>
  <c r="Q18" i="5" s="1"/>
  <c r="U18" i="5" s="1"/>
  <c r="G10" i="2"/>
  <c r="J10" i="5" s="1"/>
  <c r="R10" i="5" s="1"/>
  <c r="G19" i="2"/>
  <c r="J19" i="5" s="1"/>
  <c r="I19" i="5"/>
  <c r="Q19" i="5" s="1"/>
  <c r="U19" i="5" s="1"/>
  <c r="G3" i="2"/>
  <c r="J3" i="5" s="1"/>
  <c r="I3" i="5"/>
  <c r="Q3" i="5" s="1"/>
  <c r="U3" i="5" s="1"/>
  <c r="G9" i="2"/>
  <c r="J9" i="5" s="1"/>
  <c r="I9" i="5"/>
  <c r="Q9" i="5" s="1"/>
  <c r="U9" i="5" s="1"/>
  <c r="I16" i="5"/>
  <c r="Q16" i="5" s="1"/>
  <c r="W16" i="5" s="1"/>
  <c r="G16" i="2"/>
  <c r="J16" i="5" s="1"/>
  <c r="R16" i="5" s="1"/>
  <c r="I8" i="5"/>
  <c r="Q8" i="5" s="1"/>
  <c r="G8" i="2"/>
  <c r="J8" i="5" s="1"/>
  <c r="R8" i="5" s="1"/>
  <c r="G15" i="2"/>
  <c r="J15" i="5" s="1"/>
  <c r="I15" i="5"/>
  <c r="Q15" i="5" s="1"/>
  <c r="U15" i="5" s="1"/>
  <c r="G7" i="2"/>
  <c r="J7" i="5" s="1"/>
  <c r="I7" i="5"/>
  <c r="Q7" i="5" s="1"/>
  <c r="W7" i="5" s="1"/>
  <c r="I14" i="5"/>
  <c r="Q14" i="5" s="1"/>
  <c r="G14" i="2"/>
  <c r="J14" i="5" s="1"/>
  <c r="R14" i="5" s="1"/>
  <c r="G6" i="2"/>
  <c r="J6" i="5" s="1"/>
  <c r="I6" i="5"/>
  <c r="Q6" i="5" s="1"/>
  <c r="U6" i="5" s="1"/>
  <c r="G13" i="2"/>
  <c r="J13" i="5" s="1"/>
  <c r="I13" i="5"/>
  <c r="Q13" i="5" s="1"/>
  <c r="W13" i="5" s="1"/>
  <c r="G5" i="2"/>
  <c r="J5" i="5" s="1"/>
  <c r="I5" i="5"/>
  <c r="Q5" i="5" s="1"/>
  <c r="W5" i="5" s="1"/>
  <c r="I4" i="5"/>
  <c r="Q4" i="5" s="1"/>
  <c r="U4" i="5" s="1"/>
  <c r="G4" i="2"/>
  <c r="J4" i="5" s="1"/>
  <c r="R4" i="5" s="1"/>
  <c r="I17" i="5"/>
  <c r="Q17" i="5" s="1"/>
  <c r="I12" i="5"/>
  <c r="Q12" i="5" s="1"/>
  <c r="U12" i="5" s="1"/>
  <c r="I11" i="5"/>
  <c r="Q11" i="5" s="1"/>
  <c r="W11" i="5" s="1"/>
  <c r="F2" i="2"/>
  <c r="G2" i="2" s="1"/>
  <c r="J2" i="5" s="1"/>
  <c r="R17" i="5" l="1"/>
  <c r="R13" i="5"/>
  <c r="R12" i="5"/>
  <c r="R15" i="5"/>
  <c r="R6" i="5"/>
  <c r="R19" i="5"/>
  <c r="R5" i="5"/>
  <c r="R7" i="5"/>
  <c r="R9" i="5"/>
  <c r="R11" i="5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B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O43" i="7"/>
  <c r="O42" i="7"/>
  <c r="O41" i="7"/>
  <c r="O40" i="7"/>
  <c r="O39" i="7"/>
  <c r="O38" i="7"/>
  <c r="L8" i="7"/>
  <c r="K8" i="7"/>
  <c r="H8" i="7"/>
  <c r="I8" i="7" s="1"/>
  <c r="E8" i="7"/>
  <c r="D8" i="7"/>
  <c r="L7" i="7"/>
  <c r="K7" i="7"/>
  <c r="I7" i="7"/>
  <c r="E7" i="7"/>
  <c r="D7" i="7"/>
  <c r="L6" i="7"/>
  <c r="K6" i="7"/>
  <c r="I6" i="7"/>
  <c r="J6" i="7" s="1"/>
  <c r="H6" i="7"/>
  <c r="E6" i="7"/>
  <c r="D6" i="7"/>
  <c r="K5" i="7"/>
  <c r="I5" i="7"/>
  <c r="H5" i="7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H5" i="8" l="1"/>
  <c r="G3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E2" i="8" l="1"/>
  <c r="D2" i="8"/>
  <c r="N6" i="7"/>
  <c r="J9" i="7"/>
  <c r="N5" i="7"/>
  <c r="N3" i="7"/>
  <c r="N7" i="7"/>
</calcChain>
</file>

<file path=xl/sharedStrings.xml><?xml version="1.0" encoding="utf-8"?>
<sst xmlns="http://schemas.openxmlformats.org/spreadsheetml/2006/main" count="375" uniqueCount="152">
  <si>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</si>
  <si>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</si>
  <si>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</si>
  <si>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</si>
  <si>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</si>
  <si>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</si>
  <si>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</si>
  <si>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</si>
  <si>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</si>
  <si>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</si>
  <si>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</si>
  <si>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</si>
  <si>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</si>
  <si>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</si>
  <si>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</si>
  <si>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</si>
  <si>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</si>
  <si>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</si>
  <si>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</si>
  <si>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</si>
  <si>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</si>
  <si>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</si>
  <si>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</si>
  <si>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</si>
  <si>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</si>
  <si>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</si>
  <si>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</si>
  <si>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</si>
  <si>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</si>
  <si>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</si>
  <si>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</si>
  <si>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</si>
  <si>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</si>
  <si>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</si>
  <si>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</si>
  <si>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</si>
  <si>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</si>
  <si>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</si>
  <si>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</si>
  <si>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</si>
  <si>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</si>
  <si>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</si>
  <si>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</si>
  <si>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</si>
  <si>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</si>
  <si>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</si>
  <si>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</si>
  <si>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</si>
  <si>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</si>
  <si>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</si>
  <si>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</si>
  <si>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</si>
  <si>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</si>
  <si>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</si>
  <si>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</si>
  <si>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</si>
  <si>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</si>
  <si>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</si>
  <si>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</si>
  <si>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</si>
  <si>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</si>
  <si>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</si>
  <si>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</si>
  <si>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</si>
  <si>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</si>
  <si>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</si>
  <si>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</si>
  <si>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</si>
  <si>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</si>
  <si>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</si>
  <si>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</si>
  <si>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</si>
  <si>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</si>
  <si>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</si>
  <si>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</si>
  <si>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</si>
  <si>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</si>
  <si>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</si>
  <si>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</si>
  <si>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</si>
  <si>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</si>
  <si>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</si>
  <si>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</si>
  <si>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</si>
  <si>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</si>
  <si>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</si>
  <si>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</si>
  <si>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</si>
  <si>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</si>
  <si>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</si>
  <si>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</si>
  <si>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</si>
  <si>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</si>
  <si>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</si>
  <si>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</si>
  <si>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</si>
  <si>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</si>
  <si>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</si>
  <si>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</si>
  <si>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</si>
  <si>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</si>
  <si>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</si>
  <si>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</si>
  <si>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</si>
  <si>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</si>
  <si>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</si>
  <si>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</si>
  <si>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</si>
  <si>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</si>
  <si>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</si>
  <si>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</si>
  <si>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</si>
  <si>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</si>
  <si>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</si>
  <si>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</si>
  <si>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</si>
  <si>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</si>
  <si>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</si>
  <si>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</si>
  <si>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</si>
  <si>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</si>
  <si>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</si>
  <si>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</si>
  <si>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</si>
  <si>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</si>
  <si>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</si>
  <si>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</si>
  <si>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</si>
  <si>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</si>
  <si>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</si>
  <si>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</si>
  <si>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</si>
  <si>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</si>
  <si>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</si>
  <si>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</si>
  <si>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</si>
  <si>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</si>
  <si>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</si>
  <si>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</si>
  <si>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</si>
  <si>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</si>
  <si>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</si>
  <si>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</si>
  <si>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sCw (Bq/mL)</t>
  </si>
  <si>
    <t>sCs (Bq/g)</t>
  </si>
  <si>
    <t>TotAct</t>
  </si>
  <si>
    <t>fSorb</t>
  </si>
  <si>
    <t>sfsorb</t>
  </si>
  <si>
    <t>pH</t>
  </si>
  <si>
    <t>spH</t>
  </si>
  <si>
    <t>Pyrite</t>
  </si>
  <si>
    <t>Ra_Stock_5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</si>
</sst>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42468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150</v>
      </c>
    </row>
    <row r="5" spans="1:5" x14ac:dyDescent="0.25">
      <c r="A5" t="s">
        <v>22</v>
      </c>
      <c r="B5" t="s">
        <v>151</v>
      </c>
    </row>
    <row r="6" spans="1:5" x14ac:dyDescent="0.25">
      <c r="A6" t="s">
        <v>6</v>
      </c>
      <c r="B6">
        <v>1438.3391127455641</v>
      </c>
      <c r="C6">
        <v>7.1916955637278202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selection activeCell="B19" sqref="B19:C19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23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54</v>
      </c>
      <c r="I10" s="5"/>
    </row>
    <row r="11" spans="1:23" x14ac:dyDescent="0.25">
      <c r="A11" t="s">
        <v>55</v>
      </c>
      <c r="B11" t="s">
        <v>56</v>
      </c>
      <c r="C11" s="2" t="s">
        <v>57</v>
      </c>
      <c r="K11" s="7" t="s">
        <v>54</v>
      </c>
    </row>
    <row r="12" spans="1:23" ht="15.75" thickBot="1" x14ac:dyDescent="0.3">
      <c r="K12" t="s">
        <v>58</v>
      </c>
      <c r="M12" t="s">
        <v>57</v>
      </c>
      <c r="V12" t="s">
        <v>55</v>
      </c>
    </row>
    <row r="13" spans="1:23" ht="15.75" thickBot="1" x14ac:dyDescent="0.3">
      <c r="A13" s="8" t="s">
        <v>59</v>
      </c>
      <c r="B13" s="8"/>
    </row>
    <row r="14" spans="1:23" x14ac:dyDescent="0.25">
      <c r="A14" s="9" t="s">
        <v>60</v>
      </c>
      <c r="B14" s="9">
        <v>0.99999857522978297</v>
      </c>
      <c r="K14" t="s">
        <v>55</v>
      </c>
      <c r="V14" s="10" t="s">
        <v>59</v>
      </c>
      <c r="W14" s="10"/>
    </row>
    <row r="15" spans="1:23" ht="15.75" thickBot="1" x14ac:dyDescent="0.3">
      <c r="A15" s="9" t="s">
        <v>61</v>
      </c>
      <c r="B15" s="9">
        <v>0.99999715046159587</v>
      </c>
      <c r="V15" s="11" t="s">
        <v>60</v>
      </c>
      <c r="W15" s="11">
        <v>0.99999829960800468</v>
      </c>
    </row>
    <row r="16" spans="1:23" x14ac:dyDescent="0.25">
      <c r="A16" s="9" t="s">
        <v>62</v>
      </c>
      <c r="B16" s="9">
        <v>0.99999643807699479</v>
      </c>
      <c r="K16" s="10" t="s">
        <v>59</v>
      </c>
      <c r="L16" s="10"/>
      <c r="M16" s="12"/>
      <c r="V16" s="11" t="s">
        <v>61</v>
      </c>
      <c r="W16" s="11">
        <v>0.99999659921890061</v>
      </c>
    </row>
    <row r="17" spans="1:30" x14ac:dyDescent="0.25">
      <c r="A17" s="9" t="s">
        <v>63</v>
      </c>
      <c r="B17" s="9">
        <v>0.2156959844518157</v>
      </c>
      <c r="K17" s="11" t="s">
        <v>60</v>
      </c>
      <c r="L17" s="11">
        <v>0.99999857522978297</v>
      </c>
      <c r="M17" s="11"/>
      <c r="V17" s="11" t="s">
        <v>62</v>
      </c>
      <c r="W17" s="11">
        <v>0.9999959190626807</v>
      </c>
    </row>
    <row r="18" spans="1:30" ht="15.75" customHeight="1" thickBot="1" x14ac:dyDescent="0.3">
      <c r="A18" s="13" t="s">
        <v>64</v>
      </c>
      <c r="B18" s="13">
        <v>6</v>
      </c>
      <c r="K18" s="11" t="s">
        <v>61</v>
      </c>
      <c r="L18" s="11">
        <v>0.99999715046159587</v>
      </c>
      <c r="M18" s="11"/>
      <c r="V18" s="11" t="s">
        <v>63</v>
      </c>
      <c r="W18" s="11">
        <v>0.21657792198407996</v>
      </c>
    </row>
    <row r="19" spans="1:30" ht="15.75" thickBot="1" x14ac:dyDescent="0.3">
      <c r="K19" s="11" t="s">
        <v>62</v>
      </c>
      <c r="L19" s="11">
        <v>0.99999643807699479</v>
      </c>
      <c r="M19" s="11"/>
      <c r="V19" s="14" t="s">
        <v>64</v>
      </c>
      <c r="W19" s="14">
        <v>7</v>
      </c>
    </row>
    <row r="20" spans="1:30" ht="15.75" customHeight="1" thickBot="1" x14ac:dyDescent="0.3">
      <c r="A20" t="s">
        <v>65</v>
      </c>
      <c r="K20" s="11" t="s">
        <v>63</v>
      </c>
      <c r="L20" s="11">
        <v>0.98521674441591967</v>
      </c>
      <c r="M20" t="s">
        <v>66</v>
      </c>
    </row>
    <row r="21" spans="1:3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K21" s="14" t="s">
        <v>64</v>
      </c>
      <c r="L21" s="14">
        <v>6</v>
      </c>
      <c r="M21" s="11"/>
      <c r="V21" t="s">
        <v>65</v>
      </c>
    </row>
    <row r="22" spans="1:3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</row>
    <row r="23" spans="1:3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65</v>
      </c>
      <c r="V23" s="11" t="s">
        <v>72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  <c r="V24" s="11" t="s">
        <v>73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74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7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75</v>
      </c>
      <c r="X27" s="16" t="s">
        <v>63</v>
      </c>
      <c r="Y27" s="16" t="s">
        <v>76</v>
      </c>
      <c r="Z27" s="16" t="s">
        <v>77</v>
      </c>
      <c r="AA27" s="16" t="s">
        <v>78</v>
      </c>
      <c r="AB27" s="16" t="s">
        <v>79</v>
      </c>
      <c r="AC27" s="16" t="s">
        <v>80</v>
      </c>
      <c r="AD27" s="16" t="s">
        <v>81</v>
      </c>
    </row>
    <row r="28" spans="1:3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82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  <c r="V29" s="14" t="s">
        <v>83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84</v>
      </c>
    </row>
    <row r="33" spans="1:24" ht="15.75" thickBot="1" x14ac:dyDescent="0.3">
      <c r="V33" t="s">
        <v>84</v>
      </c>
    </row>
    <row r="34" spans="1:24" ht="15.75" thickBot="1" x14ac:dyDescent="0.3">
      <c r="A34" s="15" t="s">
        <v>85</v>
      </c>
      <c r="B34" s="15" t="s">
        <v>86</v>
      </c>
      <c r="C34" s="15" t="s">
        <v>87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84</v>
      </c>
      <c r="V35" s="16" t="s">
        <v>85</v>
      </c>
      <c r="W35" s="16" t="s">
        <v>86</v>
      </c>
      <c r="X35" s="16" t="s">
        <v>87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85</v>
      </c>
      <c r="L37" s="16" t="s">
        <v>86</v>
      </c>
      <c r="M37" s="16"/>
      <c r="N37" s="16" t="s">
        <v>87</v>
      </c>
      <c r="O37" s="19" t="s">
        <v>88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89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55</v>
      </c>
      <c r="B44" t="s">
        <v>90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59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60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61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62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63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64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65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67</v>
      </c>
      <c r="C54" s="16" t="s">
        <v>68</v>
      </c>
      <c r="D54" s="16" t="s">
        <v>69</v>
      </c>
      <c r="E54" s="16" t="s">
        <v>70</v>
      </c>
      <c r="F54" s="16" t="s">
        <v>71</v>
      </c>
      <c r="G54"/>
      <c r="H54"/>
      <c r="I54"/>
    </row>
    <row r="55" spans="1:10" x14ac:dyDescent="0.25">
      <c r="A55" s="11" t="s">
        <v>72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73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74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75</v>
      </c>
      <c r="C59" s="16" t="s">
        <v>63</v>
      </c>
      <c r="D59" s="16" t="s">
        <v>76</v>
      </c>
      <c r="E59" s="16" t="s">
        <v>77</v>
      </c>
      <c r="F59" s="16" t="s">
        <v>78</v>
      </c>
      <c r="G59" s="16" t="s">
        <v>79</v>
      </c>
      <c r="H59" s="16" t="s">
        <v>80</v>
      </c>
      <c r="I59" s="16" t="s">
        <v>81</v>
      </c>
      <c r="J59" s="17"/>
    </row>
    <row r="60" spans="1:10" x14ac:dyDescent="0.25">
      <c r="A60" s="11" t="s">
        <v>82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83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84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85</v>
      </c>
      <c r="B67" s="16" t="s">
        <v>86</v>
      </c>
      <c r="C67" s="16" t="s">
        <v>87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N37" sqref="N37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42502.436805555553</v>
      </c>
      <c r="B2" t="s">
        <v>125</v>
      </c>
      <c r="C2">
        <v>103.3</v>
      </c>
      <c r="D2">
        <v>6.22</v>
      </c>
      <c r="E2">
        <v>0.09</v>
      </c>
      <c r="F2">
        <v>202.07</v>
      </c>
    </row>
    <row r="3" spans="1:6" x14ac:dyDescent="0.25">
      <c r="A3" s="24">
        <v>42502.436805555553</v>
      </c>
      <c r="B3" t="s">
        <v>126</v>
      </c>
      <c r="C3">
        <v>79.5</v>
      </c>
      <c r="D3">
        <v>7.09</v>
      </c>
      <c r="E3">
        <v>0.11</v>
      </c>
      <c r="F3">
        <v>212.71</v>
      </c>
    </row>
    <row r="4" spans="1:6" x14ac:dyDescent="0.25">
      <c r="A4" s="24">
        <v>42502.436805497688</v>
      </c>
      <c r="B4" t="s">
        <v>127</v>
      </c>
      <c r="C4">
        <v>89.5</v>
      </c>
      <c r="D4">
        <v>6.69</v>
      </c>
      <c r="E4">
        <v>0.1</v>
      </c>
      <c r="F4">
        <v>223.34</v>
      </c>
    </row>
    <row r="5" spans="1:6" x14ac:dyDescent="0.25">
      <c r="A5" s="24">
        <v>42502.436805497688</v>
      </c>
      <c r="B5" t="s">
        <v>128</v>
      </c>
      <c r="C5">
        <v>268.60000000000002</v>
      </c>
      <c r="D5">
        <v>3.86</v>
      </c>
      <c r="E5">
        <v>0.03</v>
      </c>
      <c r="F5">
        <v>233.97</v>
      </c>
    </row>
    <row r="6" spans="1:6" x14ac:dyDescent="0.25">
      <c r="A6" s="24">
        <v>42502.436805497688</v>
      </c>
      <c r="B6" t="s">
        <v>129</v>
      </c>
      <c r="C6">
        <v>282.10000000000002</v>
      </c>
      <c r="D6">
        <v>3.77</v>
      </c>
      <c r="E6">
        <v>0.03</v>
      </c>
      <c r="F6">
        <v>244.61</v>
      </c>
    </row>
    <row r="7" spans="1:6" x14ac:dyDescent="0.25">
      <c r="A7" s="24">
        <v>42502.436805497688</v>
      </c>
      <c r="B7" t="s">
        <v>130</v>
      </c>
      <c r="C7">
        <v>284</v>
      </c>
      <c r="D7">
        <v>3.75</v>
      </c>
      <c r="E7">
        <v>0.02</v>
      </c>
      <c r="F7">
        <v>255.24</v>
      </c>
    </row>
    <row r="8" spans="1:6" x14ac:dyDescent="0.25">
      <c r="A8" s="24">
        <v>42502.436805497688</v>
      </c>
      <c r="B8" t="s">
        <v>131</v>
      </c>
      <c r="C8">
        <v>1139.0999999999999</v>
      </c>
      <c r="D8">
        <v>1.87</v>
      </c>
      <c r="E8">
        <v>0.01</v>
      </c>
      <c r="F8">
        <v>265.95999999999998</v>
      </c>
    </row>
    <row r="9" spans="1:6" x14ac:dyDescent="0.25">
      <c r="A9" s="24">
        <v>42502.436805497688</v>
      </c>
      <c r="B9" t="s">
        <v>132</v>
      </c>
      <c r="C9">
        <v>1156.0999999999999</v>
      </c>
      <c r="D9">
        <v>1.86</v>
      </c>
      <c r="E9">
        <v>0.01</v>
      </c>
      <c r="F9">
        <v>276.58999999999997</v>
      </c>
    </row>
    <row r="10" spans="1:6" x14ac:dyDescent="0.25">
      <c r="A10" s="24">
        <v>42502.436805497688</v>
      </c>
      <c r="B10" t="s">
        <v>133</v>
      </c>
      <c r="C10">
        <v>1186.7</v>
      </c>
      <c r="D10">
        <v>1.84</v>
      </c>
      <c r="E10">
        <v>0.01</v>
      </c>
      <c r="F10">
        <v>287.23</v>
      </c>
    </row>
    <row r="11" spans="1:6" x14ac:dyDescent="0.25">
      <c r="A11" s="24">
        <v>42502.436805497688</v>
      </c>
      <c r="B11" t="s">
        <v>134</v>
      </c>
      <c r="C11">
        <v>2244.9</v>
      </c>
      <c r="D11">
        <v>1.33</v>
      </c>
      <c r="E11">
        <v>0</v>
      </c>
      <c r="F11">
        <v>297.87</v>
      </c>
    </row>
    <row r="12" spans="1:6" x14ac:dyDescent="0.25">
      <c r="A12" s="24">
        <v>42502.436805497688</v>
      </c>
      <c r="B12" t="s">
        <v>135</v>
      </c>
      <c r="C12">
        <v>2270.5</v>
      </c>
      <c r="D12">
        <v>1.33</v>
      </c>
      <c r="E12">
        <v>0</v>
      </c>
      <c r="F12">
        <v>308.5</v>
      </c>
    </row>
    <row r="13" spans="1:6" x14ac:dyDescent="0.25">
      <c r="A13" s="24">
        <v>42502.436805497688</v>
      </c>
      <c r="B13" t="s">
        <v>136</v>
      </c>
      <c r="C13">
        <v>2222.9</v>
      </c>
      <c r="D13">
        <v>1.34</v>
      </c>
      <c r="E13">
        <v>0</v>
      </c>
      <c r="F13">
        <v>319.14999999999998</v>
      </c>
    </row>
    <row r="14" spans="1:6" x14ac:dyDescent="0.25">
      <c r="A14" s="24">
        <v>42502.436805497688</v>
      </c>
      <c r="B14" t="s">
        <v>137</v>
      </c>
      <c r="C14">
        <v>5654.1</v>
      </c>
      <c r="D14">
        <v>0.84</v>
      </c>
      <c r="E14">
        <v>0</v>
      </c>
      <c r="F14">
        <v>329.8</v>
      </c>
    </row>
    <row r="15" spans="1:6" x14ac:dyDescent="0.25">
      <c r="A15" s="24">
        <v>42502.436805497688</v>
      </c>
      <c r="B15" t="s">
        <v>138</v>
      </c>
      <c r="C15">
        <v>5477.7</v>
      </c>
      <c r="D15">
        <v>0.85</v>
      </c>
      <c r="E15">
        <v>0</v>
      </c>
      <c r="F15">
        <v>340.44</v>
      </c>
    </row>
    <row r="16" spans="1:6" x14ac:dyDescent="0.25">
      <c r="A16" s="24">
        <v>42502.436805497688</v>
      </c>
      <c r="B16" t="s">
        <v>139</v>
      </c>
      <c r="C16">
        <v>5581.4</v>
      </c>
      <c r="D16">
        <v>0.85</v>
      </c>
      <c r="E16">
        <v>0</v>
      </c>
      <c r="F16">
        <v>351.1</v>
      </c>
    </row>
    <row r="17" spans="1:6" x14ac:dyDescent="0.25">
      <c r="A17" s="24">
        <v>42502.436805497688</v>
      </c>
      <c r="B17" t="s">
        <v>140</v>
      </c>
      <c r="C17">
        <v>10696.2</v>
      </c>
      <c r="D17">
        <v>0.61</v>
      </c>
      <c r="E17">
        <v>0</v>
      </c>
      <c r="F17">
        <v>361.77</v>
      </c>
    </row>
    <row r="18" spans="1:6" x14ac:dyDescent="0.25">
      <c r="A18" s="24">
        <v>42502.436805497688</v>
      </c>
      <c r="B18" t="s">
        <v>141</v>
      </c>
      <c r="C18">
        <v>10663</v>
      </c>
      <c r="D18">
        <v>0.61</v>
      </c>
      <c r="E18">
        <v>0</v>
      </c>
      <c r="F18">
        <v>372.43</v>
      </c>
    </row>
    <row r="19" spans="1:6" x14ac:dyDescent="0.25">
      <c r="A19" s="24">
        <v>42502.436805497688</v>
      </c>
      <c r="B19" t="s">
        <v>142</v>
      </c>
      <c r="C19">
        <v>10513.5</v>
      </c>
      <c r="D19">
        <v>0.62</v>
      </c>
      <c r="E19">
        <v>0</v>
      </c>
      <c r="F19">
        <v>383.1</v>
      </c>
    </row>
    <row r="20" spans="1:6" x14ac:dyDescent="0.25">
      <c r="A20" s="24">
        <v>42505.584722222222</v>
      </c>
      <c r="B20" t="s">
        <v>125</v>
      </c>
      <c r="C20">
        <v>96.4</v>
      </c>
      <c r="D20">
        <v>6.44</v>
      </c>
      <c r="E20">
        <v>0.11</v>
      </c>
      <c r="F20">
        <v>202.08</v>
      </c>
    </row>
    <row r="21" spans="1:6" x14ac:dyDescent="0.25">
      <c r="A21" s="24">
        <v>42505.584722222222</v>
      </c>
      <c r="B21" t="s">
        <v>126</v>
      </c>
      <c r="C21">
        <v>82.2</v>
      </c>
      <c r="D21">
        <v>6.98</v>
      </c>
      <c r="E21">
        <v>0.09</v>
      </c>
      <c r="F21">
        <v>212.69</v>
      </c>
    </row>
    <row r="22" spans="1:6" x14ac:dyDescent="0.25">
      <c r="A22" s="24">
        <v>42505.584722164349</v>
      </c>
      <c r="B22" t="s">
        <v>127</v>
      </c>
      <c r="C22">
        <v>84.3</v>
      </c>
      <c r="D22">
        <v>6.89</v>
      </c>
      <c r="E22">
        <v>0.09</v>
      </c>
      <c r="F22">
        <v>223.32</v>
      </c>
    </row>
    <row r="23" spans="1:6" x14ac:dyDescent="0.25">
      <c r="A23" s="24">
        <v>42505.584722164349</v>
      </c>
      <c r="B23" t="s">
        <v>128</v>
      </c>
      <c r="C23">
        <v>272.8</v>
      </c>
      <c r="D23">
        <v>3.83</v>
      </c>
      <c r="E23">
        <v>0.03</v>
      </c>
      <c r="F23">
        <v>233.94</v>
      </c>
    </row>
    <row r="24" spans="1:6" x14ac:dyDescent="0.25">
      <c r="A24" s="24">
        <v>42505.584722164349</v>
      </c>
      <c r="B24" t="s">
        <v>129</v>
      </c>
      <c r="C24">
        <v>282</v>
      </c>
      <c r="D24">
        <v>3.77</v>
      </c>
      <c r="E24">
        <v>0.03</v>
      </c>
      <c r="F24">
        <v>244.58</v>
      </c>
    </row>
    <row r="25" spans="1:6" x14ac:dyDescent="0.25">
      <c r="A25" s="24">
        <v>42505.584722164349</v>
      </c>
      <c r="B25" t="s">
        <v>130</v>
      </c>
      <c r="C25">
        <v>302.5</v>
      </c>
      <c r="D25">
        <v>3.64</v>
      </c>
      <c r="E25">
        <v>0.03</v>
      </c>
      <c r="F25">
        <v>255.21</v>
      </c>
    </row>
    <row r="26" spans="1:6" x14ac:dyDescent="0.25">
      <c r="A26" s="24">
        <v>42505.584722164349</v>
      </c>
      <c r="B26" t="s">
        <v>131</v>
      </c>
      <c r="C26">
        <v>1142.0999999999999</v>
      </c>
      <c r="D26">
        <v>1.87</v>
      </c>
      <c r="E26">
        <v>0.01</v>
      </c>
      <c r="F26">
        <v>265.94</v>
      </c>
    </row>
    <row r="27" spans="1:6" x14ac:dyDescent="0.25">
      <c r="A27" s="24">
        <v>42505.584722164349</v>
      </c>
      <c r="B27" t="s">
        <v>132</v>
      </c>
      <c r="C27">
        <v>1144.2</v>
      </c>
      <c r="D27">
        <v>1.87</v>
      </c>
      <c r="E27">
        <v>0.01</v>
      </c>
      <c r="F27">
        <v>276.57</v>
      </c>
    </row>
    <row r="28" spans="1:6" x14ac:dyDescent="0.25">
      <c r="A28" s="24">
        <v>42505.584722164349</v>
      </c>
      <c r="B28" t="s">
        <v>133</v>
      </c>
      <c r="C28">
        <v>1178.9000000000001</v>
      </c>
      <c r="D28">
        <v>1.84</v>
      </c>
      <c r="E28">
        <v>0.01</v>
      </c>
      <c r="F28">
        <v>287.20999999999998</v>
      </c>
    </row>
    <row r="29" spans="1:6" x14ac:dyDescent="0.25">
      <c r="A29" s="24">
        <v>42505.584722164349</v>
      </c>
      <c r="B29" t="s">
        <v>134</v>
      </c>
      <c r="C29">
        <v>2196.1999999999998</v>
      </c>
      <c r="D29">
        <v>1.35</v>
      </c>
      <c r="E29">
        <v>0</v>
      </c>
      <c r="F29">
        <v>297.85000000000002</v>
      </c>
    </row>
    <row r="30" spans="1:6" x14ac:dyDescent="0.25">
      <c r="A30" s="24">
        <v>42505.584722164349</v>
      </c>
      <c r="B30" t="s">
        <v>135</v>
      </c>
      <c r="C30">
        <v>2205</v>
      </c>
      <c r="D30">
        <v>1.35</v>
      </c>
      <c r="E30">
        <v>0</v>
      </c>
      <c r="F30">
        <v>308.48</v>
      </c>
    </row>
    <row r="31" spans="1:6" x14ac:dyDescent="0.25">
      <c r="A31" s="24">
        <v>42505.584722164349</v>
      </c>
      <c r="B31" t="s">
        <v>136</v>
      </c>
      <c r="C31">
        <v>2180.4</v>
      </c>
      <c r="D31">
        <v>1.35</v>
      </c>
      <c r="E31">
        <v>0</v>
      </c>
      <c r="F31">
        <v>319.11</v>
      </c>
    </row>
    <row r="32" spans="1:6" x14ac:dyDescent="0.25">
      <c r="A32" s="24">
        <v>42505.584722164349</v>
      </c>
      <c r="B32" t="s">
        <v>137</v>
      </c>
      <c r="C32">
        <v>5547.1</v>
      </c>
      <c r="D32">
        <v>0.85</v>
      </c>
      <c r="E32">
        <v>0</v>
      </c>
      <c r="F32">
        <v>329.76</v>
      </c>
    </row>
    <row r="33" spans="1:6" x14ac:dyDescent="0.25">
      <c r="A33" s="24">
        <v>42505.584722164349</v>
      </c>
      <c r="B33" t="s">
        <v>138</v>
      </c>
      <c r="C33">
        <v>5360.7</v>
      </c>
      <c r="D33">
        <v>0.86</v>
      </c>
      <c r="E33">
        <v>0</v>
      </c>
      <c r="F33">
        <v>340.41</v>
      </c>
    </row>
    <row r="34" spans="1:6" x14ac:dyDescent="0.25">
      <c r="A34" s="24">
        <v>42505.584722164349</v>
      </c>
      <c r="B34" t="s">
        <v>139</v>
      </c>
      <c r="C34">
        <v>5502.7</v>
      </c>
      <c r="D34">
        <v>0.85</v>
      </c>
      <c r="E34">
        <v>0</v>
      </c>
      <c r="F34">
        <v>351.04</v>
      </c>
    </row>
    <row r="35" spans="1:6" x14ac:dyDescent="0.25">
      <c r="A35" s="24">
        <v>42505.584722164349</v>
      </c>
      <c r="B35" t="s">
        <v>140</v>
      </c>
      <c r="C35">
        <v>10416.4</v>
      </c>
      <c r="D35">
        <v>0.62</v>
      </c>
      <c r="E35">
        <v>0</v>
      </c>
      <c r="F35">
        <v>361.71</v>
      </c>
    </row>
    <row r="36" spans="1:6" x14ac:dyDescent="0.25">
      <c r="A36" s="24">
        <v>42505.584722164349</v>
      </c>
      <c r="B36" t="s">
        <v>141</v>
      </c>
      <c r="C36">
        <v>10464.1</v>
      </c>
      <c r="D36">
        <v>0.62</v>
      </c>
      <c r="E36">
        <v>0</v>
      </c>
      <c r="F36">
        <v>372.38</v>
      </c>
    </row>
    <row r="37" spans="1:6" x14ac:dyDescent="0.25">
      <c r="A37" s="24">
        <v>42505.584722164349</v>
      </c>
      <c r="B37" t="s">
        <v>142</v>
      </c>
      <c r="C37">
        <v>10405.5</v>
      </c>
      <c r="D37">
        <v>0.62</v>
      </c>
      <c r="E37">
        <v>0</v>
      </c>
      <c r="F37">
        <v>383.04</v>
      </c>
    </row>
    <row r="38" spans="1:6" x14ac:dyDescent="0.25">
      <c r="A38" s="24">
        <v>42506.541666666664</v>
      </c>
      <c r="B38" t="s">
        <v>125</v>
      </c>
      <c r="C38">
        <v>94.1</v>
      </c>
      <c r="D38">
        <v>6.52</v>
      </c>
      <c r="E38">
        <v>0.08</v>
      </c>
      <c r="F38">
        <v>202.07</v>
      </c>
    </row>
    <row r="39" spans="1:6" x14ac:dyDescent="0.25">
      <c r="A39" s="24">
        <v>42506.541666666664</v>
      </c>
      <c r="B39" t="s">
        <v>126</v>
      </c>
      <c r="C39">
        <v>80.400000000000006</v>
      </c>
      <c r="D39">
        <v>7.05</v>
      </c>
      <c r="E39">
        <v>0.09</v>
      </c>
      <c r="F39">
        <v>212.71</v>
      </c>
    </row>
    <row r="40" spans="1:6" x14ac:dyDescent="0.25">
      <c r="A40" s="24">
        <v>42506.541666666664</v>
      </c>
      <c r="B40" t="s">
        <v>127</v>
      </c>
      <c r="C40">
        <v>84.7</v>
      </c>
      <c r="D40">
        <v>6.87</v>
      </c>
      <c r="E40">
        <v>0.1</v>
      </c>
      <c r="F40">
        <v>223.34</v>
      </c>
    </row>
    <row r="41" spans="1:6" x14ac:dyDescent="0.25">
      <c r="A41" s="24">
        <v>42506.541666666664</v>
      </c>
      <c r="B41" t="s">
        <v>128</v>
      </c>
      <c r="C41">
        <v>266.60000000000002</v>
      </c>
      <c r="D41">
        <v>3.87</v>
      </c>
      <c r="E41">
        <v>0.03</v>
      </c>
      <c r="F41">
        <v>233.97</v>
      </c>
    </row>
    <row r="42" spans="1:6" x14ac:dyDescent="0.25">
      <c r="A42" s="24">
        <v>42506.541666666664</v>
      </c>
      <c r="B42" t="s">
        <v>129</v>
      </c>
      <c r="C42">
        <v>276.39999999999998</v>
      </c>
      <c r="D42">
        <v>3.8</v>
      </c>
      <c r="E42">
        <v>0.03</v>
      </c>
      <c r="F42">
        <v>244.61</v>
      </c>
    </row>
    <row r="43" spans="1:6" x14ac:dyDescent="0.25">
      <c r="A43" s="24">
        <v>42506.541666666664</v>
      </c>
      <c r="B43" t="s">
        <v>130</v>
      </c>
      <c r="C43">
        <v>283.2</v>
      </c>
      <c r="D43">
        <v>3.76</v>
      </c>
      <c r="E43">
        <v>0.03</v>
      </c>
      <c r="F43">
        <v>255.24</v>
      </c>
    </row>
    <row r="44" spans="1:6" x14ac:dyDescent="0.25">
      <c r="A44" s="24">
        <v>42506.541666666664</v>
      </c>
      <c r="B44" t="s">
        <v>131</v>
      </c>
      <c r="C44">
        <v>1130</v>
      </c>
      <c r="D44">
        <v>1.88</v>
      </c>
      <c r="E44">
        <v>0.01</v>
      </c>
      <c r="F44">
        <v>265.98</v>
      </c>
    </row>
    <row r="45" spans="1:6" x14ac:dyDescent="0.25">
      <c r="A45" s="24">
        <v>42506.541666666664</v>
      </c>
      <c r="B45" t="s">
        <v>132</v>
      </c>
      <c r="C45">
        <v>1116.3</v>
      </c>
      <c r="D45">
        <v>1.89</v>
      </c>
      <c r="E45">
        <v>0.01</v>
      </c>
      <c r="F45">
        <v>276.61</v>
      </c>
    </row>
    <row r="46" spans="1:6" x14ac:dyDescent="0.25">
      <c r="A46" s="24">
        <v>42506.541666666664</v>
      </c>
      <c r="B46" t="s">
        <v>133</v>
      </c>
      <c r="C46">
        <v>1151.9000000000001</v>
      </c>
      <c r="D46">
        <v>1.86</v>
      </c>
      <c r="E46">
        <v>0.01</v>
      </c>
      <c r="F46">
        <v>287.25</v>
      </c>
    </row>
    <row r="47" spans="1:6" x14ac:dyDescent="0.25">
      <c r="A47" s="24">
        <v>42506.541666666664</v>
      </c>
      <c r="B47" t="s">
        <v>134</v>
      </c>
      <c r="C47">
        <v>2188.4</v>
      </c>
      <c r="D47">
        <v>1.35</v>
      </c>
      <c r="E47">
        <v>0</v>
      </c>
      <c r="F47">
        <v>297.88</v>
      </c>
    </row>
    <row r="48" spans="1:6" x14ac:dyDescent="0.25">
      <c r="A48" s="24">
        <v>42506.541666666664</v>
      </c>
      <c r="B48" t="s">
        <v>135</v>
      </c>
      <c r="C48">
        <v>2134.6999999999998</v>
      </c>
      <c r="D48">
        <v>1.37</v>
      </c>
      <c r="E48">
        <v>0</v>
      </c>
      <c r="F48">
        <v>308.52999999999997</v>
      </c>
    </row>
    <row r="49" spans="1:6" x14ac:dyDescent="0.25">
      <c r="A49" s="24">
        <v>42506.541666666664</v>
      </c>
      <c r="B49" t="s">
        <v>136</v>
      </c>
      <c r="C49">
        <v>2142.3000000000002</v>
      </c>
      <c r="D49">
        <v>1.37</v>
      </c>
      <c r="E49">
        <v>0</v>
      </c>
      <c r="F49">
        <v>319.17</v>
      </c>
    </row>
    <row r="50" spans="1:6" x14ac:dyDescent="0.25">
      <c r="A50" s="24">
        <v>42506.541666666664</v>
      </c>
      <c r="B50" t="s">
        <v>137</v>
      </c>
      <c r="C50">
        <v>5497</v>
      </c>
      <c r="D50">
        <v>0.85</v>
      </c>
      <c r="E50">
        <v>0</v>
      </c>
      <c r="F50">
        <v>329.81</v>
      </c>
    </row>
    <row r="51" spans="1:6" x14ac:dyDescent="0.25">
      <c r="A51" s="24">
        <v>42506.541666666664</v>
      </c>
      <c r="B51" t="s">
        <v>138</v>
      </c>
      <c r="C51">
        <v>5333.2</v>
      </c>
      <c r="D51">
        <v>0.87</v>
      </c>
      <c r="E51">
        <v>0</v>
      </c>
      <c r="F51">
        <v>340.46</v>
      </c>
    </row>
    <row r="52" spans="1:6" x14ac:dyDescent="0.25">
      <c r="A52" s="24">
        <v>42506.541666666664</v>
      </c>
      <c r="B52" t="s">
        <v>139</v>
      </c>
      <c r="C52">
        <v>5445.9</v>
      </c>
      <c r="D52">
        <v>0.86</v>
      </c>
      <c r="E52">
        <v>0</v>
      </c>
      <c r="F52">
        <v>351.12</v>
      </c>
    </row>
    <row r="53" spans="1:6" x14ac:dyDescent="0.25">
      <c r="A53" s="24">
        <v>42506.541666666664</v>
      </c>
      <c r="B53" t="s">
        <v>140</v>
      </c>
      <c r="C53">
        <v>10396.4</v>
      </c>
      <c r="D53">
        <v>0.62</v>
      </c>
      <c r="E53">
        <v>0</v>
      </c>
      <c r="F53">
        <v>361.79</v>
      </c>
    </row>
    <row r="54" spans="1:6" x14ac:dyDescent="0.25">
      <c r="A54" s="24">
        <v>42506.541666666664</v>
      </c>
      <c r="B54" t="s">
        <v>141</v>
      </c>
      <c r="C54">
        <v>10552.3</v>
      </c>
      <c r="D54">
        <v>0.62</v>
      </c>
      <c r="E54">
        <v>0</v>
      </c>
      <c r="F54">
        <v>372.46</v>
      </c>
    </row>
    <row r="55" spans="1:6" x14ac:dyDescent="0.25">
      <c r="A55" s="24">
        <v>42506.541666666664</v>
      </c>
      <c r="B55" t="s">
        <v>142</v>
      </c>
      <c r="C55">
        <v>10413.4</v>
      </c>
      <c r="D55">
        <v>0.62</v>
      </c>
      <c r="E55">
        <v>0</v>
      </c>
      <c r="F55">
        <v>383.13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2" sqref="C2:D19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122</v>
      </c>
      <c r="C1" t="s">
        <v>23</v>
      </c>
      <c r="D1" t="s">
        <v>21</v>
      </c>
      <c r="E1" t="s">
        <v>119</v>
      </c>
      <c r="F1" t="s">
        <v>120</v>
      </c>
      <c r="G1" t="s">
        <v>121</v>
      </c>
    </row>
    <row r="2" spans="1:7" x14ac:dyDescent="0.25">
      <c r="A2" t="s">
        <v>125</v>
      </c>
      <c r="B2" s="21" t="s">
        <v>123</v>
      </c>
      <c r="C2">
        <v>1.63222222222222</v>
      </c>
      <c r="D2">
        <v>0.10435340740740701</v>
      </c>
      <c r="E2" s="1" t="s">
        <v>54</v>
      </c>
      <c r="F2" s="1">
        <f>'Calibration Data'!$B$28*'Count-&gt;Actual Activity'!C2+'Calibration Data'!$B$27</f>
        <v>0.34881689834741997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0.23297862754643522</v>
      </c>
    </row>
    <row r="3" spans="1:7" x14ac:dyDescent="0.25">
      <c r="A3" t="s">
        <v>126</v>
      </c>
      <c r="B3" s="21" t="s">
        <v>123</v>
      </c>
      <c r="C3">
        <v>1.345</v>
      </c>
      <c r="D3">
        <v>9.4687999999999994E-2</v>
      </c>
      <c r="E3" s="1" t="s">
        <v>54</v>
      </c>
      <c r="F3" s="1">
        <f>'Calibration Data'!$B$28*'Count-&gt;Actual Activity'!C3+'Calibration Data'!$B$27</f>
        <v>0.28593470307266039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0.23297862548107512</v>
      </c>
    </row>
    <row r="4" spans="1:7" x14ac:dyDescent="0.25">
      <c r="A4" t="s">
        <v>127</v>
      </c>
      <c r="B4" s="21" t="s">
        <v>123</v>
      </c>
      <c r="C4">
        <v>1.43611111111111</v>
      </c>
      <c r="D4">
        <v>9.7894907407407403E-2</v>
      </c>
      <c r="E4" s="1" t="s">
        <v>54</v>
      </c>
      <c r="F4" s="1">
        <f>'Calibration Data'!$B$28*'Count-&gt;Actual Activity'!C4+'Calibration Data'!$B$27</f>
        <v>0.30588185979424748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0.2329786260734775</v>
      </c>
    </row>
    <row r="5" spans="1:7" x14ac:dyDescent="0.25">
      <c r="A5" t="s">
        <v>128</v>
      </c>
      <c r="B5" s="21" t="s">
        <v>123</v>
      </c>
      <c r="C5">
        <v>4.4888888888888898</v>
      </c>
      <c r="D5">
        <v>0.17297185185185199</v>
      </c>
      <c r="E5" s="1" t="s">
        <v>54</v>
      </c>
      <c r="F5" s="1">
        <f>'Calibration Data'!$B$28*'Count-&gt;Actual Activity'!C5+'Calibration Data'!$B$27</f>
        <v>0.97423323897182323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0.23297867963368274</v>
      </c>
    </row>
    <row r="6" spans="1:7" x14ac:dyDescent="0.25">
      <c r="A6" t="s">
        <v>129</v>
      </c>
      <c r="B6" s="21" t="s">
        <v>123</v>
      </c>
      <c r="C6">
        <v>4.6694444444444398</v>
      </c>
      <c r="D6">
        <v>0.176505</v>
      </c>
      <c r="E6" s="1" t="s">
        <v>54</v>
      </c>
      <c r="F6" s="1">
        <f>'Calibration Data'!$B$28*'Count-&gt;Actual Activity'!C6+'Calibration Data'!$B$27</f>
        <v>1.0137626654017968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0.23297868485204121</v>
      </c>
    </row>
    <row r="7" spans="1:7" x14ac:dyDescent="0.25">
      <c r="A7" t="s">
        <v>130</v>
      </c>
      <c r="B7" s="21" t="s">
        <v>123</v>
      </c>
      <c r="C7">
        <v>4.8316666666666697</v>
      </c>
      <c r="D7">
        <v>0.179576944444444</v>
      </c>
      <c r="E7" s="1" t="s">
        <v>54</v>
      </c>
      <c r="F7" s="1">
        <f>'Calibration Data'!$B$28*'Count-&gt;Actual Activity'!C7+'Calibration Data'!$B$27</f>
        <v>1.0492783346865759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0.23297868973584956</v>
      </c>
    </row>
    <row r="8" spans="1:7" ht="15.75" customHeight="1" x14ac:dyDescent="0.25">
      <c r="A8" t="s">
        <v>131</v>
      </c>
      <c r="B8" s="21" t="s">
        <v>123</v>
      </c>
      <c r="C8">
        <v>18.9511111111111</v>
      </c>
      <c r="D8">
        <v>0.35501748148148099</v>
      </c>
      <c r="E8" s="1" t="s">
        <v>54</v>
      </c>
      <c r="F8" s="1">
        <f>'Calibration Data'!$B$28*'Count-&gt;Actual Activity'!C8+'Calibration Data'!$B$27</f>
        <v>4.1404794815106083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0.23297982309197329</v>
      </c>
    </row>
    <row r="9" spans="1:7" x14ac:dyDescent="0.25">
      <c r="A9" t="s">
        <v>132</v>
      </c>
      <c r="B9" s="21" t="s">
        <v>123</v>
      </c>
      <c r="C9">
        <v>18.981111111111101</v>
      </c>
      <c r="D9">
        <v>0.355579481481481</v>
      </c>
      <c r="E9" s="1" t="s">
        <v>54</v>
      </c>
      <c r="F9" s="1">
        <f>'Calibration Data'!$B$28*'Count-&gt;Actual Activity'!C9+'Calibration Data'!$B$27</f>
        <v>4.1470474477482044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0.23297982699101361</v>
      </c>
    </row>
    <row r="10" spans="1:7" x14ac:dyDescent="0.25">
      <c r="A10" t="s">
        <v>133</v>
      </c>
      <c r="B10" s="21" t="s">
        <v>123</v>
      </c>
      <c r="C10">
        <v>19.5416666666667</v>
      </c>
      <c r="D10">
        <v>0.36086944444444502</v>
      </c>
      <c r="E10" s="1" t="s">
        <v>54</v>
      </c>
      <c r="F10" s="1">
        <f>'Calibration Data'!$B$28*'Count-&gt;Actual Activity'!C10+'Calibration Data'!$B$27</f>
        <v>4.2697711131877361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0.23297990100804566</v>
      </c>
    </row>
    <row r="11" spans="1:7" x14ac:dyDescent="0.25">
      <c r="A11" t="s">
        <v>134</v>
      </c>
      <c r="B11" s="21" t="s">
        <v>123</v>
      </c>
      <c r="C11">
        <v>36.830555555555598</v>
      </c>
      <c r="D11">
        <v>0.49475712962962998</v>
      </c>
      <c r="E11" s="1" t="s">
        <v>54</v>
      </c>
      <c r="F11" s="1">
        <f>'Calibration Data'!$B$28*'Count-&gt;Actual Activity'!C11+'Calibration Data'!$B$27</f>
        <v>8.0548657301133328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0.23298326777502382</v>
      </c>
    </row>
    <row r="12" spans="1:7" x14ac:dyDescent="0.25">
      <c r="A12" t="s">
        <v>135</v>
      </c>
      <c r="B12" s="21" t="s">
        <v>123</v>
      </c>
      <c r="C12">
        <v>36.723333333333301</v>
      </c>
      <c r="D12">
        <v>0.49576500000000001</v>
      </c>
      <c r="E12" s="1" t="s">
        <v>54</v>
      </c>
      <c r="F12" s="1">
        <f>'Calibration Data'!$B$28*'Count-&gt;Actual Activity'!C12+'Calibration Data'!$B$27</f>
        <v>8.0313913322641319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0.23298324042444502</v>
      </c>
    </row>
    <row r="13" spans="1:7" x14ac:dyDescent="0.25">
      <c r="A13" t="s">
        <v>136</v>
      </c>
      <c r="B13" s="21" t="s">
        <v>123</v>
      </c>
      <c r="C13">
        <v>36.364444444444501</v>
      </c>
      <c r="D13">
        <v>0.49213214814814799</v>
      </c>
      <c r="E13" s="1" t="s">
        <v>54</v>
      </c>
      <c r="F13" s="1">
        <f>'Calibration Data'!$B$28*'Count-&gt;Actual Activity'!C13+'Calibration Data'!$B$27</f>
        <v>7.9528189954218007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0.23298314946548415</v>
      </c>
    </row>
    <row r="14" spans="1:7" x14ac:dyDescent="0.25">
      <c r="A14" t="s">
        <v>137</v>
      </c>
      <c r="B14" s="21" t="s">
        <v>123</v>
      </c>
      <c r="C14">
        <v>92.767777777777795</v>
      </c>
      <c r="D14">
        <v>0.78543385185185199</v>
      </c>
      <c r="E14" s="1" t="s">
        <v>54</v>
      </c>
      <c r="F14" s="1">
        <f>'Calibration Data'!$B$28*'Count-&gt;Actual Activity'!C14+'Calibration Data'!$B$27</f>
        <v>20.301325296128343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0.2330085462679812</v>
      </c>
    </row>
    <row r="15" spans="1:7" x14ac:dyDescent="0.25">
      <c r="A15" t="s">
        <v>138</v>
      </c>
      <c r="B15" s="21" t="s">
        <v>123</v>
      </c>
      <c r="C15">
        <v>89.842222222222205</v>
      </c>
      <c r="D15">
        <v>0.77264311111111095</v>
      </c>
      <c r="E15" s="1" t="s">
        <v>54</v>
      </c>
      <c r="F15" s="1">
        <f>'Calibration Data'!$B$28*'Count-&gt;Actual Activity'!C15+'Calibration Data'!$B$27</f>
        <v>19.660826958958346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0.23300667957776927</v>
      </c>
    </row>
    <row r="16" spans="1:7" x14ac:dyDescent="0.25">
      <c r="A16" t="s">
        <v>139</v>
      </c>
      <c r="B16" s="21" t="s">
        <v>123</v>
      </c>
      <c r="C16">
        <v>91.8333333333333</v>
      </c>
      <c r="D16">
        <v>0.78364444444444403</v>
      </c>
      <c r="E16" s="1" t="s">
        <v>54</v>
      </c>
      <c r="F16" s="1">
        <f>'Calibration Data'!$B$28*'Count-&gt;Actual Activity'!C16+'Calibration Data'!$B$27</f>
        <v>20.096745310727663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0.23300794350032458</v>
      </c>
    </row>
    <row r="17" spans="1:7" x14ac:dyDescent="0.25">
      <c r="A17" t="s">
        <v>140</v>
      </c>
      <c r="B17" s="21" t="s">
        <v>123</v>
      </c>
      <c r="C17">
        <v>175.05</v>
      </c>
      <c r="D17">
        <v>1.079475</v>
      </c>
      <c r="E17" s="1" t="s">
        <v>54</v>
      </c>
      <c r="F17" s="1">
        <f>'Calibration Data'!$B$28*'Count-&gt;Actual Activity'!C17+'Calibration Data'!$B$27</f>
        <v>38.315553879792098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0.23308565754124691</v>
      </c>
    </row>
    <row r="18" spans="1:7" x14ac:dyDescent="0.25">
      <c r="A18" t="s">
        <v>141</v>
      </c>
      <c r="B18" s="21" t="s">
        <v>123</v>
      </c>
      <c r="C18">
        <v>175.99666666666701</v>
      </c>
      <c r="D18">
        <v>1.08531277777778</v>
      </c>
      <c r="E18" s="1" t="s">
        <v>54</v>
      </c>
      <c r="F18" s="1">
        <f>'Calibration Data'!$B$28*'Count-&gt;Actual Activity'!C18+'Calibration Data'!$B$27</f>
        <v>38.522809703289639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0.23308682118519389</v>
      </c>
    </row>
    <row r="19" spans="1:7" x14ac:dyDescent="0.25">
      <c r="A19" t="s">
        <v>142</v>
      </c>
      <c r="B19" s="21" t="s">
        <v>123</v>
      </c>
      <c r="C19">
        <v>174.06888888888901</v>
      </c>
      <c r="D19">
        <v>1.07922711111111</v>
      </c>
      <c r="E19" s="1" t="s">
        <v>54</v>
      </c>
      <c r="F19" s="1">
        <f>'Calibration Data'!$B$28*'Count-&gt;Actual Activity'!C19+'Calibration Data'!$B$27</f>
        <v>38.100757058021856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0.23308445819232751</v>
      </c>
    </row>
    <row r="20" spans="1:7" x14ac:dyDescent="0.25">
      <c r="A20" s="21" t="s">
        <v>101</v>
      </c>
      <c r="B20" s="22" t="s">
        <v>124</v>
      </c>
    </row>
    <row r="21" spans="1:7" x14ac:dyDescent="0.25">
      <c r="A21" s="21" t="s">
        <v>102</v>
      </c>
      <c r="B21" s="22" t="s">
        <v>124</v>
      </c>
    </row>
    <row r="22" spans="1:7" x14ac:dyDescent="0.25">
      <c r="A22" s="21" t="s">
        <v>103</v>
      </c>
      <c r="B22" s="22" t="s">
        <v>124</v>
      </c>
    </row>
    <row r="23" spans="1:7" x14ac:dyDescent="0.25">
      <c r="A23" s="21" t="s">
        <v>104</v>
      </c>
      <c r="B23" s="22" t="s">
        <v>124</v>
      </c>
    </row>
    <row r="24" spans="1:7" x14ac:dyDescent="0.25">
      <c r="A24" s="21" t="s">
        <v>105</v>
      </c>
      <c r="B24" s="22" t="s">
        <v>124</v>
      </c>
    </row>
    <row r="25" spans="1:7" x14ac:dyDescent="0.25">
      <c r="A25" s="21" t="s">
        <v>106</v>
      </c>
      <c r="B25" s="22" t="s">
        <v>124</v>
      </c>
    </row>
    <row r="26" spans="1:7" x14ac:dyDescent="0.25">
      <c r="A26" s="21" t="s">
        <v>107</v>
      </c>
      <c r="B26" s="22" t="s">
        <v>124</v>
      </c>
    </row>
    <row r="27" spans="1:7" x14ac:dyDescent="0.25">
      <c r="A27" s="21" t="s">
        <v>108</v>
      </c>
      <c r="B27" s="22" t="s">
        <v>124</v>
      </c>
    </row>
    <row r="28" spans="1:7" x14ac:dyDescent="0.25">
      <c r="A28" s="21" t="s">
        <v>109</v>
      </c>
      <c r="B28" s="22" t="s">
        <v>124</v>
      </c>
    </row>
    <row r="29" spans="1:7" x14ac:dyDescent="0.25">
      <c r="A29" s="21" t="s">
        <v>110</v>
      </c>
      <c r="B29" s="22" t="s">
        <v>124</v>
      </c>
    </row>
    <row r="30" spans="1:7" x14ac:dyDescent="0.25">
      <c r="A30" s="21" t="s">
        <v>111</v>
      </c>
      <c r="B30" s="22" t="s">
        <v>124</v>
      </c>
    </row>
    <row r="31" spans="1:7" x14ac:dyDescent="0.25">
      <c r="A31" s="21" t="s">
        <v>112</v>
      </c>
      <c r="B31" s="22" t="s">
        <v>124</v>
      </c>
    </row>
    <row r="32" spans="1:7" x14ac:dyDescent="0.25">
      <c r="A32" s="21" t="s">
        <v>113</v>
      </c>
      <c r="B32" s="22" t="s">
        <v>124</v>
      </c>
    </row>
    <row r="33" spans="1:2" x14ac:dyDescent="0.25">
      <c r="A33" s="21" t="s">
        <v>114</v>
      </c>
      <c r="B33" s="22" t="s">
        <v>124</v>
      </c>
    </row>
    <row r="34" spans="1:2" x14ac:dyDescent="0.25">
      <c r="A34" s="21" t="s">
        <v>115</v>
      </c>
      <c r="B34" s="22" t="s">
        <v>124</v>
      </c>
    </row>
    <row r="35" spans="1:2" x14ac:dyDescent="0.25">
      <c r="A35" s="21" t="s">
        <v>116</v>
      </c>
      <c r="B35" s="22" t="s">
        <v>124</v>
      </c>
    </row>
    <row r="36" spans="1:2" x14ac:dyDescent="0.25">
      <c r="A36" s="21" t="s">
        <v>117</v>
      </c>
      <c r="B36" s="22" t="s">
        <v>124</v>
      </c>
    </row>
    <row r="37" spans="1:2" x14ac:dyDescent="0.25">
      <c r="A37" s="21" t="s">
        <v>118</v>
      </c>
      <c r="B37" s="2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C16" sqref="AC16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95</v>
      </c>
      <c r="H1" t="s">
        <v>96</v>
      </c>
      <c r="I1" t="s">
        <v>91</v>
      </c>
      <c r="J1" t="s">
        <v>92</v>
      </c>
      <c r="K1" t="s">
        <v>97</v>
      </c>
      <c r="L1" t="s">
        <v>98</v>
      </c>
      <c r="M1" t="s">
        <v>93</v>
      </c>
      <c r="N1" t="s">
        <v>94</v>
      </c>
      <c r="O1" t="s">
        <v>99</v>
      </c>
      <c r="P1" t="s">
        <v>100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146</v>
      </c>
    </row>
    <row r="2" spans="1:23" x14ac:dyDescent="0.25">
      <c r="A2" t="s">
        <v>125</v>
      </c>
      <c r="B2">
        <v>0</v>
      </c>
      <c r="C2">
        <v>0</v>
      </c>
      <c r="D2" s="1">
        <v>5.04</v>
      </c>
      <c r="E2" s="1">
        <v>43</v>
      </c>
      <c r="F2" s="1">
        <v>1</v>
      </c>
      <c r="G2" s="1">
        <v>100</v>
      </c>
      <c r="H2" s="1">
        <v>5</v>
      </c>
      <c r="I2" s="1">
        <f>'Count-&gt;Actual Activity'!F2</f>
        <v>0.34881689834741997</v>
      </c>
      <c r="J2" s="1">
        <f>'Count-&gt;Actual Activity'!G2</f>
        <v>0.23297862754643522</v>
      </c>
      <c r="K2" s="1">
        <v>10</v>
      </c>
      <c r="L2" s="1">
        <v>0.02</v>
      </c>
      <c r="M2" s="1"/>
      <c r="N2" s="1"/>
      <c r="O2" s="1"/>
      <c r="P2" s="1"/>
      <c r="Q2">
        <f>I2/K2</f>
        <v>3.4881689834741998E-2</v>
      </c>
      <c r="R2">
        <f>SQRT((L2/K2)^2+(J2/I2)^2)*Q2</f>
        <v>2.3297967204529858E-2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:U19" si="0">(S2-Q2*G2)/E2</f>
        <v>-8.1120208918004644E-2</v>
      </c>
      <c r="W2" t="e">
        <f t="shared" ref="W2:W19" si="1">(S2-Q2*G2)/S2</f>
        <v>#DIV/0!</v>
      </c>
    </row>
    <row r="3" spans="1:23" x14ac:dyDescent="0.25">
      <c r="A3" t="s">
        <v>126</v>
      </c>
      <c r="B3">
        <v>0</v>
      </c>
      <c r="C3">
        <v>0</v>
      </c>
      <c r="D3" s="1">
        <v>5.0199999999999996</v>
      </c>
      <c r="E3" s="1">
        <v>42</v>
      </c>
      <c r="F3" s="1">
        <v>1</v>
      </c>
      <c r="G3" s="1">
        <v>100</v>
      </c>
      <c r="H3" s="1">
        <v>5</v>
      </c>
      <c r="I3" s="1">
        <f>'Count-&gt;Actual Activity'!F3</f>
        <v>0.28593470307266039</v>
      </c>
      <c r="J3" s="1">
        <f>'Count-&gt;Actual Activity'!G3</f>
        <v>0.23297862548107512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2.8593470307266038E-2</v>
      </c>
      <c r="R3">
        <f t="shared" ref="R3:R19" si="3">SQRT((L3/K3)^2+(J3/I3)^2)*Q3</f>
        <v>2.3297932733542848E-2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si="0"/>
        <v>-6.807969120777628E-2</v>
      </c>
      <c r="W3" t="e">
        <f t="shared" si="1"/>
        <v>#DIV/0!</v>
      </c>
    </row>
    <row r="4" spans="1:23" x14ac:dyDescent="0.25">
      <c r="A4" t="s">
        <v>127</v>
      </c>
      <c r="B4">
        <v>0</v>
      </c>
      <c r="C4">
        <v>0</v>
      </c>
      <c r="D4" s="1">
        <v>5.03</v>
      </c>
      <c r="E4" s="1">
        <v>38</v>
      </c>
      <c r="F4" s="1">
        <v>1</v>
      </c>
      <c r="G4" s="1">
        <v>100</v>
      </c>
      <c r="H4" s="1">
        <v>5</v>
      </c>
      <c r="I4" s="1">
        <f>'Count-&gt;Actual Activity'!F4</f>
        <v>0.30588185979424748</v>
      </c>
      <c r="J4" s="1">
        <f>'Count-&gt;Actual Activity'!G4</f>
        <v>0.2329786260734775</v>
      </c>
      <c r="K4" s="1">
        <v>10</v>
      </c>
      <c r="L4" s="1">
        <v>0.02</v>
      </c>
      <c r="M4" s="1"/>
      <c r="N4" s="1"/>
      <c r="O4" s="1"/>
      <c r="P4" s="1"/>
      <c r="Q4">
        <f t="shared" si="2"/>
        <v>3.0588185979424747E-2</v>
      </c>
      <c r="R4">
        <f t="shared" si="3"/>
        <v>2.3297942926776574E-2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0"/>
        <v>-8.0495226261644071E-2</v>
      </c>
      <c r="W4" t="e">
        <f t="shared" si="1"/>
        <v>#DIV/0!</v>
      </c>
    </row>
    <row r="5" spans="1:23" x14ac:dyDescent="0.25">
      <c r="A5" t="s">
        <v>128</v>
      </c>
      <c r="B5" s="23">
        <v>6.9499999999999996E-3</v>
      </c>
      <c r="C5" s="23">
        <v>1.0000000000000001E-5</v>
      </c>
      <c r="D5" s="1">
        <v>4.97</v>
      </c>
      <c r="E5" s="1">
        <v>36</v>
      </c>
      <c r="F5" s="1">
        <v>1</v>
      </c>
      <c r="G5" s="1">
        <v>100</v>
      </c>
      <c r="H5" s="1">
        <v>5</v>
      </c>
      <c r="I5" s="1">
        <f>'Count-&gt;Actual Activity'!F5</f>
        <v>0.97423323897182323</v>
      </c>
      <c r="J5" s="1">
        <f>'Count-&gt;Actual Activity'!G5</f>
        <v>0.23297867963368274</v>
      </c>
      <c r="K5" s="1">
        <v>10</v>
      </c>
      <c r="L5" s="1">
        <v>0.02</v>
      </c>
      <c r="M5" s="1"/>
      <c r="N5" s="1"/>
      <c r="O5" s="1"/>
      <c r="P5" s="1"/>
      <c r="Q5">
        <f t="shared" si="2"/>
        <v>9.7423323897182321E-2</v>
      </c>
      <c r="R5">
        <f t="shared" si="3"/>
        <v>2.3298682727886107E-2</v>
      </c>
      <c r="S5">
        <f>B5*Parameters!$B$6</f>
        <v>9.9964568335816697</v>
      </c>
      <c r="T5">
        <f>SQRT((C5/B5)^2+(Parameters!$C$6/Parameters!$B$6)^2)*'Bottle Results'!S5</f>
        <v>5.2010678432096141E-2</v>
      </c>
      <c r="U5">
        <f t="shared" si="0"/>
        <v>7.0590123295399326E-3</v>
      </c>
      <c r="W5">
        <f t="shared" si="1"/>
        <v>2.5421451629715718E-2</v>
      </c>
    </row>
    <row r="6" spans="1:23" x14ac:dyDescent="0.25">
      <c r="A6" t="s">
        <v>129</v>
      </c>
      <c r="B6" s="23">
        <v>6.9499999999999996E-3</v>
      </c>
      <c r="C6" s="23">
        <v>1.0000000000000001E-5</v>
      </c>
      <c r="D6" s="1">
        <v>5.05</v>
      </c>
      <c r="E6" s="1">
        <v>42</v>
      </c>
      <c r="F6" s="1">
        <v>1</v>
      </c>
      <c r="G6" s="1">
        <v>100</v>
      </c>
      <c r="H6" s="1">
        <v>5</v>
      </c>
      <c r="I6" s="1">
        <f>'Count-&gt;Actual Activity'!F6</f>
        <v>1.0137626654017968</v>
      </c>
      <c r="J6" s="1">
        <f>'Count-&gt;Actual Activity'!G6</f>
        <v>0.23297868485204121</v>
      </c>
      <c r="K6" s="1">
        <v>10</v>
      </c>
      <c r="L6" s="1">
        <v>0.02</v>
      </c>
      <c r="M6" s="1"/>
      <c r="N6" s="1"/>
      <c r="O6" s="1"/>
      <c r="P6" s="1"/>
      <c r="Q6">
        <f t="shared" si="2"/>
        <v>0.10137626654017969</v>
      </c>
      <c r="R6">
        <f t="shared" si="3"/>
        <v>2.3298750707785552E-2</v>
      </c>
      <c r="S6">
        <f>B6*Parameters!$B$6</f>
        <v>9.9964568335816697</v>
      </c>
      <c r="T6">
        <f>SQRT((C6/B6)^2+(Parameters!$C$6/Parameters!$B$6)^2)*'Bottle Results'!S6</f>
        <v>5.2010678432096141E-2</v>
      </c>
      <c r="U6">
        <f t="shared" si="0"/>
        <v>-3.3611862008642406E-3</v>
      </c>
      <c r="W6">
        <f t="shared" si="1"/>
        <v>-1.4121985698178404E-2</v>
      </c>
    </row>
    <row r="7" spans="1:23" x14ac:dyDescent="0.25">
      <c r="A7" t="s">
        <v>130</v>
      </c>
      <c r="B7" s="23">
        <v>6.9499999999999996E-3</v>
      </c>
      <c r="C7" s="23">
        <v>1.0000000000000001E-5</v>
      </c>
      <c r="D7" s="1">
        <v>5.05</v>
      </c>
      <c r="E7" s="1">
        <v>35</v>
      </c>
      <c r="F7" s="1">
        <v>1</v>
      </c>
      <c r="G7" s="1">
        <v>100</v>
      </c>
      <c r="H7" s="1">
        <v>5</v>
      </c>
      <c r="I7" s="1">
        <f>'Count-&gt;Actual Activity'!F7</f>
        <v>1.0492783346865759</v>
      </c>
      <c r="J7" s="1">
        <f>'Count-&gt;Actual Activity'!G7</f>
        <v>0.23297868973584956</v>
      </c>
      <c r="K7" s="1">
        <v>10</v>
      </c>
      <c r="L7" s="1">
        <v>0.02</v>
      </c>
      <c r="M7" s="1"/>
      <c r="N7" s="1"/>
      <c r="O7" s="1"/>
      <c r="P7" s="1"/>
      <c r="Q7">
        <f t="shared" si="2"/>
        <v>0.1049278334686576</v>
      </c>
      <c r="R7">
        <f t="shared" si="3"/>
        <v>2.3298814092379858E-2</v>
      </c>
      <c r="S7">
        <f>B7*Parameters!$B$6</f>
        <v>9.9964568335816697</v>
      </c>
      <c r="T7">
        <f>SQRT((C7/B7)^2+(Parameters!$C$6/Parameters!$B$6)^2)*'Bottle Results'!S7</f>
        <v>5.2010678432096141E-2</v>
      </c>
      <c r="U7">
        <f t="shared" si="0"/>
        <v>-1.4180757522402589E-2</v>
      </c>
      <c r="W7">
        <f t="shared" si="1"/>
        <v>-4.9650243235858586E-2</v>
      </c>
    </row>
    <row r="8" spans="1:23" ht="15.75" customHeight="1" x14ac:dyDescent="0.25">
      <c r="A8" t="s">
        <v>131</v>
      </c>
      <c r="B8" s="23">
        <v>3.4799999999999998E-2</v>
      </c>
      <c r="C8" s="23">
        <v>1E-4</v>
      </c>
      <c r="D8" s="1">
        <v>5</v>
      </c>
      <c r="E8" s="1">
        <v>36</v>
      </c>
      <c r="F8" s="1">
        <v>1</v>
      </c>
      <c r="G8" s="1">
        <v>100</v>
      </c>
      <c r="H8" s="1">
        <v>5</v>
      </c>
      <c r="I8" s="1">
        <f>'Count-&gt;Actual Activity'!F8</f>
        <v>4.1404794815106083</v>
      </c>
      <c r="J8" s="1">
        <f>'Count-&gt;Actual Activity'!G8</f>
        <v>0.23297982309197329</v>
      </c>
      <c r="K8" s="1">
        <v>10</v>
      </c>
      <c r="L8" s="1">
        <v>0.02</v>
      </c>
      <c r="M8" s="1"/>
      <c r="N8" s="1"/>
      <c r="O8" s="1"/>
      <c r="P8" s="1"/>
      <c r="Q8">
        <f t="shared" si="2"/>
        <v>0.41404794815106083</v>
      </c>
      <c r="R8">
        <f t="shared" si="3"/>
        <v>2.331269444944415E-2</v>
      </c>
      <c r="S8">
        <f>B8*Parameters!$B$6</f>
        <v>50.054201123545624</v>
      </c>
      <c r="T8">
        <f>SQRT((C8/B8)^2+(Parameters!$C$6/Parameters!$B$6)^2)*'Bottle Results'!S8</f>
        <v>0.28865857043477139</v>
      </c>
      <c r="U8">
        <f t="shared" si="0"/>
        <v>0.24026128634554272</v>
      </c>
      <c r="W8">
        <f t="shared" si="1"/>
        <v>0.1728008062118653</v>
      </c>
    </row>
    <row r="9" spans="1:23" x14ac:dyDescent="0.25">
      <c r="A9" t="s">
        <v>132</v>
      </c>
      <c r="B9" s="23">
        <v>3.4799999999999998E-2</v>
      </c>
      <c r="C9" s="23">
        <v>1E-4</v>
      </c>
      <c r="D9" s="1">
        <v>4.96</v>
      </c>
      <c r="E9" s="1">
        <v>35</v>
      </c>
      <c r="F9" s="1">
        <v>1</v>
      </c>
      <c r="G9" s="1">
        <v>100</v>
      </c>
      <c r="H9" s="1">
        <v>5</v>
      </c>
      <c r="I9" s="1">
        <f>'Count-&gt;Actual Activity'!F9</f>
        <v>4.1470474477482044</v>
      </c>
      <c r="J9" s="1">
        <f>'Count-&gt;Actual Activity'!G9</f>
        <v>0.23297982699101361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0.41470474477482044</v>
      </c>
      <c r="R9">
        <f t="shared" si="3"/>
        <v>2.33127415365285E-2</v>
      </c>
      <c r="S9">
        <f>B9*Parameters!$B$6</f>
        <v>50.054201123545624</v>
      </c>
      <c r="T9">
        <f>SQRT((C9/B9)^2+(Parameters!$C$6/Parameters!$B$6)^2)*'Bottle Results'!S9</f>
        <v>0.28865857043477139</v>
      </c>
      <c r="U9">
        <f t="shared" si="0"/>
        <v>0.24524933274467375</v>
      </c>
      <c r="W9">
        <f t="shared" si="1"/>
        <v>0.17148863538700601</v>
      </c>
    </row>
    <row r="10" spans="1:23" x14ac:dyDescent="0.25">
      <c r="A10" t="s">
        <v>133</v>
      </c>
      <c r="B10" s="23">
        <v>3.4799999999999998E-2</v>
      </c>
      <c r="C10" s="23">
        <v>1E-4</v>
      </c>
      <c r="D10" s="1">
        <v>5.01</v>
      </c>
      <c r="E10" s="1">
        <v>37</v>
      </c>
      <c r="F10" s="1">
        <v>1</v>
      </c>
      <c r="G10" s="1">
        <v>100</v>
      </c>
      <c r="H10" s="1">
        <v>5</v>
      </c>
      <c r="I10" s="1">
        <f>'Count-&gt;Actual Activity'!F10</f>
        <v>4.2697711131877361</v>
      </c>
      <c r="J10" s="1">
        <f>'Count-&gt;Actual Activity'!G10</f>
        <v>0.23297990100804566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0.42697711131877358</v>
      </c>
      <c r="R10">
        <f t="shared" si="3"/>
        <v>2.3313635078029939E-2</v>
      </c>
      <c r="S10">
        <f>B10*Parameters!$B$6</f>
        <v>50.054201123545624</v>
      </c>
      <c r="T10">
        <f>SQRT((C10/B10)^2+(Parameters!$C$6/Parameters!$B$6)^2)*'Bottle Results'!S10</f>
        <v>0.28865857043477139</v>
      </c>
      <c r="U10">
        <f t="shared" si="0"/>
        <v>0.19882405382887214</v>
      </c>
      <c r="W10">
        <f t="shared" si="1"/>
        <v>0.14697048052991016</v>
      </c>
    </row>
    <row r="11" spans="1:23" x14ac:dyDescent="0.25">
      <c r="A11" t="s">
        <v>134</v>
      </c>
      <c r="B11" s="23">
        <v>6.9500000000000006E-2</v>
      </c>
      <c r="C11" s="23">
        <v>1E-4</v>
      </c>
      <c r="D11" s="1">
        <v>4.97</v>
      </c>
      <c r="E11" s="1">
        <v>42</v>
      </c>
      <c r="F11" s="1">
        <v>1</v>
      </c>
      <c r="G11" s="1">
        <v>100</v>
      </c>
      <c r="H11" s="1">
        <v>5</v>
      </c>
      <c r="I11" s="1">
        <f>'Count-&gt;Actual Activity'!F11</f>
        <v>8.0548657301133328</v>
      </c>
      <c r="J11" s="1">
        <f>'Count-&gt;Actual Activity'!G11</f>
        <v>0.23298326777502382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0.80548657301133331</v>
      </c>
      <c r="R11">
        <f t="shared" si="3"/>
        <v>2.3353956091174164E-2</v>
      </c>
      <c r="S11">
        <f>B11*Parameters!$B$6</f>
        <v>99.964568335816708</v>
      </c>
      <c r="T11">
        <f>SQRT((C11/B11)^2+(Parameters!$C$6/Parameters!$B$6)^2)*'Bottle Results'!S11</f>
        <v>0.52010678432096147</v>
      </c>
      <c r="U11">
        <f t="shared" si="0"/>
        <v>0.46228359606388991</v>
      </c>
      <c r="W11">
        <f t="shared" si="1"/>
        <v>0.19422792853422216</v>
      </c>
    </row>
    <row r="12" spans="1:23" x14ac:dyDescent="0.25">
      <c r="A12" t="s">
        <v>135</v>
      </c>
      <c r="B12" s="23">
        <v>6.9500000000000006E-2</v>
      </c>
      <c r="C12" s="23">
        <v>1E-4</v>
      </c>
      <c r="D12" s="1">
        <v>5</v>
      </c>
      <c r="E12" s="1">
        <v>48</v>
      </c>
      <c r="F12" s="1">
        <v>1</v>
      </c>
      <c r="G12" s="1">
        <v>100</v>
      </c>
      <c r="H12" s="1">
        <v>5</v>
      </c>
      <c r="I12" s="1">
        <f>'Count-&gt;Actual Activity'!F12</f>
        <v>8.0313913322641319</v>
      </c>
      <c r="J12" s="1">
        <f>'Count-&gt;Actual Activity'!G12</f>
        <v>0.23298324042444502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0.80313913322641317</v>
      </c>
      <c r="R12">
        <f t="shared" si="3"/>
        <v>2.3353629976002148E-2</v>
      </c>
      <c r="S12">
        <f>B12*Parameters!$B$6</f>
        <v>99.964568335816708</v>
      </c>
      <c r="T12">
        <f>SQRT((C12/B12)^2+(Parameters!$C$6/Parameters!$B$6)^2)*'Bottle Results'!S12</f>
        <v>0.52010678432096147</v>
      </c>
      <c r="U12">
        <f t="shared" si="0"/>
        <v>0.40938864610782072</v>
      </c>
      <c r="W12">
        <f t="shared" si="1"/>
        <v>0.19657620035092657</v>
      </c>
    </row>
    <row r="13" spans="1:23" x14ac:dyDescent="0.25">
      <c r="A13" t="s">
        <v>136</v>
      </c>
      <c r="B13" s="23">
        <v>6.9500000000000006E-2</v>
      </c>
      <c r="C13" s="23">
        <v>1E-4</v>
      </c>
      <c r="D13" s="1">
        <v>5.01</v>
      </c>
      <c r="E13" s="1">
        <v>35</v>
      </c>
      <c r="F13" s="1">
        <v>1</v>
      </c>
      <c r="G13" s="1">
        <v>100</v>
      </c>
      <c r="H13" s="1">
        <v>5</v>
      </c>
      <c r="I13" s="1">
        <f>'Count-&gt;Actual Activity'!F13</f>
        <v>7.9528189954218007</v>
      </c>
      <c r="J13" s="1">
        <f>'Count-&gt;Actual Activity'!G13</f>
        <v>0.23298314946548415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0.79528189954218009</v>
      </c>
      <c r="R13">
        <f t="shared" si="3"/>
        <v>2.3352545311968006E-2</v>
      </c>
      <c r="S13">
        <f>B13*Parameters!$B$6</f>
        <v>99.964568335816708</v>
      </c>
      <c r="T13">
        <f>SQRT((C13/B13)^2+(Parameters!$C$6/Parameters!$B$6)^2)*'Bottle Results'!S13</f>
        <v>0.52010678432096147</v>
      </c>
      <c r="U13">
        <f t="shared" si="0"/>
        <v>0.5838965251885343</v>
      </c>
      <c r="W13">
        <f t="shared" si="1"/>
        <v>0.20443621897056166</v>
      </c>
    </row>
    <row r="14" spans="1:23" x14ac:dyDescent="0.25">
      <c r="A14" t="s">
        <v>137</v>
      </c>
      <c r="B14" s="23">
        <v>0.17399999999999999</v>
      </c>
      <c r="C14" s="23">
        <v>1E-3</v>
      </c>
      <c r="D14" s="1">
        <v>5.04</v>
      </c>
      <c r="E14" s="1">
        <v>34</v>
      </c>
      <c r="F14" s="1">
        <v>1</v>
      </c>
      <c r="G14" s="1">
        <v>100</v>
      </c>
      <c r="H14" s="1">
        <v>5</v>
      </c>
      <c r="I14" s="1">
        <f>'Count-&gt;Actual Activity'!F14</f>
        <v>20.301325296128343</v>
      </c>
      <c r="J14" s="1">
        <f>'Count-&gt;Actual Activity'!G14</f>
        <v>0.2330085462679812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2.0301325296128345</v>
      </c>
      <c r="R14">
        <f t="shared" si="3"/>
        <v>2.365196775514351E-2</v>
      </c>
      <c r="S14">
        <f>B14*Parameters!$B$6</f>
        <v>250.27100561772812</v>
      </c>
      <c r="T14">
        <f>SQRT((C14/B14)^2+(Parameters!$C$6/Parameters!$B$6)^2)*'Bottle Results'!S14</f>
        <v>1.9064912298713623</v>
      </c>
      <c r="U14">
        <f t="shared" si="0"/>
        <v>1.3899339016601373</v>
      </c>
      <c r="W14">
        <f t="shared" si="1"/>
        <v>0.18882631865325886</v>
      </c>
    </row>
    <row r="15" spans="1:23" x14ac:dyDescent="0.25">
      <c r="A15" t="s">
        <v>138</v>
      </c>
      <c r="B15" s="23">
        <v>0.17399999999999999</v>
      </c>
      <c r="C15" s="23">
        <v>1E-3</v>
      </c>
      <c r="D15" s="1">
        <v>5.05</v>
      </c>
      <c r="E15" s="1">
        <v>42</v>
      </c>
      <c r="F15" s="1">
        <v>1</v>
      </c>
      <c r="G15" s="1">
        <v>100</v>
      </c>
      <c r="H15" s="1">
        <v>5</v>
      </c>
      <c r="I15" s="1">
        <f>'Count-&gt;Actual Activity'!F15</f>
        <v>19.660826958958346</v>
      </c>
      <c r="J15" s="1">
        <f>'Count-&gt;Actual Activity'!G15</f>
        <v>0.23300667957776927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1.9660826958958346</v>
      </c>
      <c r="R15">
        <f t="shared" si="3"/>
        <v>2.3630130172027756E-2</v>
      </c>
      <c r="S15">
        <f>B15*Parameters!$B$6</f>
        <v>250.27100561772812</v>
      </c>
      <c r="T15">
        <f>SQRT((C15/B15)^2+(Parameters!$C$6/Parameters!$B$6)^2)*'Bottle Results'!S15</f>
        <v>1.9064912298713623</v>
      </c>
      <c r="U15">
        <f t="shared" si="0"/>
        <v>1.2776841911463013</v>
      </c>
      <c r="W15">
        <f t="shared" si="1"/>
        <v>0.21441850962996015</v>
      </c>
    </row>
    <row r="16" spans="1:23" x14ac:dyDescent="0.25">
      <c r="A16" t="s">
        <v>139</v>
      </c>
      <c r="B16" s="23">
        <v>0.17399999999999999</v>
      </c>
      <c r="C16" s="23">
        <v>1E-3</v>
      </c>
      <c r="D16" s="1">
        <v>5.0199999999999996</v>
      </c>
      <c r="E16" s="1">
        <v>33</v>
      </c>
      <c r="F16" s="1">
        <v>1</v>
      </c>
      <c r="G16" s="1">
        <v>100</v>
      </c>
      <c r="H16" s="1">
        <v>5</v>
      </c>
      <c r="I16" s="1">
        <f>'Count-&gt;Actual Activity'!F16</f>
        <v>20.096745310727663</v>
      </c>
      <c r="J16" s="1">
        <f>'Count-&gt;Actual Activity'!G16</f>
        <v>0.23300794350032458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2.0096745310727662</v>
      </c>
      <c r="R16">
        <f t="shared" si="3"/>
        <v>2.3644918782391167E-2</v>
      </c>
      <c r="S16">
        <f>B16*Parameters!$B$6</f>
        <v>250.27100561772812</v>
      </c>
      <c r="T16">
        <f>SQRT((C16/B16)^2+(Parameters!$C$6/Parameters!$B$6)^2)*'Bottle Results'!S16</f>
        <v>1.9064912298713623</v>
      </c>
      <c r="U16">
        <f t="shared" si="0"/>
        <v>1.4940470457712578</v>
      </c>
      <c r="W16">
        <f t="shared" si="1"/>
        <v>0.19700065690293875</v>
      </c>
    </row>
    <row r="17" spans="1:23" x14ac:dyDescent="0.25">
      <c r="A17" t="s">
        <v>140</v>
      </c>
      <c r="B17" s="23">
        <v>0.34799999999999998</v>
      </c>
      <c r="C17" s="23">
        <v>1E-3</v>
      </c>
      <c r="D17" s="1">
        <v>4.9800000000000004</v>
      </c>
      <c r="E17" s="1">
        <v>39</v>
      </c>
      <c r="F17" s="1">
        <v>1</v>
      </c>
      <c r="G17" s="1">
        <v>100</v>
      </c>
      <c r="H17" s="1">
        <v>5</v>
      </c>
      <c r="I17" s="1">
        <f>'Count-&gt;Actual Activity'!F17</f>
        <v>38.315553879792098</v>
      </c>
      <c r="J17" s="1">
        <f>'Count-&gt;Actual Activity'!G17</f>
        <v>0.23308565754124691</v>
      </c>
      <c r="K17" s="1">
        <v>10</v>
      </c>
      <c r="L17" s="1">
        <v>0.02</v>
      </c>
      <c r="Q17">
        <f t="shared" si="2"/>
        <v>3.8315553879792099</v>
      </c>
      <c r="R17">
        <f t="shared" si="3"/>
        <v>2.4535943109629275E-2</v>
      </c>
      <c r="S17">
        <f>B17*Parameters!$B$6</f>
        <v>500.54201123545624</v>
      </c>
      <c r="T17">
        <f>SQRT((C17/B17)^2+(Parameters!$C$6/Parameters!$B$6)^2)*'Bottle Results'!S17</f>
        <v>2.8865857043477137</v>
      </c>
      <c r="U17">
        <f t="shared" si="0"/>
        <v>3.0099095496803909</v>
      </c>
      <c r="W17">
        <f t="shared" si="1"/>
        <v>0.23451872131131937</v>
      </c>
    </row>
    <row r="18" spans="1:23" x14ac:dyDescent="0.25">
      <c r="A18" t="s">
        <v>141</v>
      </c>
      <c r="B18" s="23">
        <v>0.34799999999999998</v>
      </c>
      <c r="C18" s="23">
        <v>1E-3</v>
      </c>
      <c r="D18" s="1">
        <v>5.0599999999999996</v>
      </c>
      <c r="E18" s="1">
        <v>49</v>
      </c>
      <c r="F18" s="1">
        <v>1</v>
      </c>
      <c r="G18" s="1">
        <v>100</v>
      </c>
      <c r="H18" s="1">
        <v>5</v>
      </c>
      <c r="I18" s="1">
        <f>'Count-&gt;Actual Activity'!F18</f>
        <v>38.522809703289639</v>
      </c>
      <c r="J18" s="1">
        <f>'Count-&gt;Actual Activity'!G18</f>
        <v>0.23308682118519389</v>
      </c>
      <c r="K18" s="1">
        <v>10</v>
      </c>
      <c r="L18" s="1">
        <v>0.02</v>
      </c>
      <c r="Q18">
        <f t="shared" si="2"/>
        <v>3.8522809703289638</v>
      </c>
      <c r="R18">
        <f t="shared" si="3"/>
        <v>2.4549031280268883E-2</v>
      </c>
      <c r="S18">
        <f>B18*Parameters!$B$6</f>
        <v>500.54201123545624</v>
      </c>
      <c r="T18">
        <f>SQRT((C18/B18)^2+(Parameters!$C$6/Parameters!$B$6)^2)*'Bottle Results'!S18</f>
        <v>2.8865857043477137</v>
      </c>
      <c r="U18">
        <f t="shared" si="0"/>
        <v>2.3533451878073448</v>
      </c>
      <c r="W18">
        <f t="shared" si="1"/>
        <v>0.23037809337509518</v>
      </c>
    </row>
    <row r="19" spans="1:23" x14ac:dyDescent="0.25">
      <c r="A19" t="s">
        <v>142</v>
      </c>
      <c r="B19" s="23">
        <v>0.34799999999999998</v>
      </c>
      <c r="C19" s="23">
        <v>1E-3</v>
      </c>
      <c r="D19" s="1">
        <v>5</v>
      </c>
      <c r="E19" s="1">
        <v>33</v>
      </c>
      <c r="F19" s="1">
        <v>1</v>
      </c>
      <c r="G19" s="1">
        <v>100</v>
      </c>
      <c r="H19" s="1">
        <v>5</v>
      </c>
      <c r="I19" s="1">
        <f>'Count-&gt;Actual Activity'!F19</f>
        <v>38.100757058021856</v>
      </c>
      <c r="J19" s="1">
        <f>'Count-&gt;Actual Activity'!G19</f>
        <v>0.23308445819232751</v>
      </c>
      <c r="K19" s="1">
        <v>10</v>
      </c>
      <c r="L19" s="1">
        <v>0.02</v>
      </c>
      <c r="Q19">
        <f t="shared" si="2"/>
        <v>3.8100757058021855</v>
      </c>
      <c r="R19">
        <f t="shared" si="3"/>
        <v>2.4522445922947503E-2</v>
      </c>
      <c r="S19">
        <f>B19*Parameters!$B$6</f>
        <v>500.54201123545624</v>
      </c>
      <c r="T19">
        <f>SQRT((C19/B19)^2+(Parameters!$C$6/Parameters!$B$6)^2)*'Bottle Results'!S19</f>
        <v>2.8865857043477137</v>
      </c>
      <c r="U19">
        <f t="shared" si="0"/>
        <v>3.622255777431445</v>
      </c>
      <c r="W19">
        <f t="shared" si="1"/>
        <v>0.23881000589780341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 t="s">
        <v>15</v>
      </c>
      <c r="B1" t="s">
        <v>29</v>
      </c>
      <c r="C1" t="s">
        <v>143</v>
      </c>
      <c r="D1" t="s">
        <v>31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</row>
    <row r="2" spans="1:10" x14ac:dyDescent="0.25">
      <c r="A2">
        <v>0</v>
      </c>
      <c r="B2">
        <f>AVERAGE('Bottle Results'!Q2:Q4)</f>
        <v>3.135444870714426E-2</v>
      </c>
      <c r="C2">
        <f>_xlfn.STDEV.S('Bottle Results'!Q2:Q4)</f>
        <v>3.2133775272058544E-3</v>
      </c>
      <c r="D2">
        <f>AVERAGE('Bottle Results'!U2:U4)</f>
        <v>-7.6565042129141669E-2</v>
      </c>
      <c r="E2">
        <f>_xlfn.STDEV.S('Bottle Results'!U2:U4)</f>
        <v>7.3551706998699331E-3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5.03</v>
      </c>
      <c r="J2">
        <f>_xlfn.STDEV.S('Bottle Results'!D2:D4)</f>
        <v>1.0000000000000231E-2</v>
      </c>
    </row>
    <row r="3" spans="1:10" x14ac:dyDescent="0.25">
      <c r="A3">
        <v>10</v>
      </c>
      <c r="B3">
        <f>AVERAGE('Bottle Results'!Q5:Q7)</f>
        <v>0.10124247463533986</v>
      </c>
      <c r="C3">
        <f>_xlfn.STDEV.S('Bottle Results'!Q5:Q7)</f>
        <v>3.7540433112101287E-3</v>
      </c>
      <c r="D3">
        <f>AVERAGE('Bottle Results'!U5:U7)</f>
        <v>-3.4943104645756319E-3</v>
      </c>
      <c r="E3">
        <f>_xlfn.STDEV.S('Bottle Results'!U5:U7)</f>
        <v>1.0620510693609002E-2</v>
      </c>
      <c r="F3">
        <f>AVERAGE('Bottle Results'!S5:S7)</f>
        <v>9.9964568335816697</v>
      </c>
      <c r="G3">
        <f>AVERAGE('Bottle Results'!W5:W7)</f>
        <v>-1.2783592434773757E-2</v>
      </c>
      <c r="H3">
        <f>_xlfn.STDEV.S('Bottle Results'!W5:W7)</f>
        <v>3.7553739026801571E-2</v>
      </c>
      <c r="I3">
        <f>AVERAGE('Bottle Results'!D5:D7)</f>
        <v>5.0233333333333334</v>
      </c>
      <c r="J3">
        <f>_xlfn.STDEV.S('Bottle Results'!D5:D7)</f>
        <v>4.6188021535170098E-2</v>
      </c>
    </row>
    <row r="4" spans="1:10" x14ac:dyDescent="0.25">
      <c r="A4">
        <v>50</v>
      </c>
      <c r="B4">
        <f>AVERAGE('Bottle Results'!Q8:Q10)</f>
        <v>0.41857660141488501</v>
      </c>
      <c r="C4">
        <f>_xlfn.STDEV.S('Bottle Results'!Q8:Q10)</f>
        <v>7.2824632120762371E-3</v>
      </c>
      <c r="D4">
        <f>AVERAGE('Bottle Results'!U8:U10)</f>
        <v>0.22811155763969623</v>
      </c>
      <c r="E4">
        <f>_xlfn.STDEV.S('Bottle Results'!U8:U10)</f>
        <v>2.5486046404292424E-2</v>
      </c>
      <c r="F4">
        <f>AVERAGE('Bottle Results'!S8:S10)</f>
        <v>50.054201123545624</v>
      </c>
      <c r="G4">
        <f>AVERAGE('Bottle Results'!W8:W10)</f>
        <v>0.16375330737626048</v>
      </c>
      <c r="H4">
        <f>_xlfn.STDEV.S('Bottle Results'!W8:W10)</f>
        <v>1.4549154813401913E-2</v>
      </c>
      <c r="I4">
        <f>AVERAGE('Bottle Results'!D8:D10)</f>
        <v>4.99</v>
      </c>
      <c r="J4">
        <f>_xlfn.STDEV.S('Bottle Results'!D8:D10)</f>
        <v>2.6457513110645845E-2</v>
      </c>
    </row>
    <row r="5" spans="1:10" x14ac:dyDescent="0.25">
      <c r="A5">
        <v>100</v>
      </c>
      <c r="B5">
        <f>AVERAGE('Bottle Results'!Q11:Q13)</f>
        <v>0.80130253525997552</v>
      </c>
      <c r="C5">
        <f>_xlfn.STDEV.S('Bottle Results'!Q11:Q13)</f>
        <v>5.3444980326268288E-3</v>
      </c>
      <c r="D5">
        <f>AVERAGE('Bottle Results'!U11:U13)</f>
        <v>0.4851895891200817</v>
      </c>
      <c r="E5">
        <f>_xlfn.STDEV.S('Bottle Results'!U11:U13)</f>
        <v>8.9480519409142076E-2</v>
      </c>
      <c r="F5">
        <f>AVERAGE('Bottle Results'!S11:S13)</f>
        <v>99.964568335816708</v>
      </c>
      <c r="G5">
        <f>AVERAGE('Bottle Results'!W11:W13)</f>
        <v>0.19841344928523677</v>
      </c>
      <c r="H5">
        <f>_xlfn.STDEV.S('Bottle Results'!W11:W13)</f>
        <v>5.3463923484096433E-3</v>
      </c>
      <c r="I5">
        <f>AVERAGE('Bottle Results'!D11:D13)</f>
        <v>4.9933333333333332</v>
      </c>
      <c r="J5">
        <f>_xlfn.STDEV.S('Bottle Results'!D3:D11)</f>
        <v>3.4278273002005234E-2</v>
      </c>
    </row>
    <row r="6" spans="1:10" x14ac:dyDescent="0.25">
      <c r="A6">
        <v>250</v>
      </c>
      <c r="B6">
        <f>AVERAGE('Bottle Results'!Q14:Q16)</f>
        <v>2.001963252193812</v>
      </c>
      <c r="C6">
        <f>_xlfn.STDEV.S('Bottle Results'!Q14:Q16)</f>
        <v>3.2713806966716524E-2</v>
      </c>
      <c r="D6">
        <f>AVERAGE('Bottle Results'!U14:U16)</f>
        <v>1.3872217128592321</v>
      </c>
      <c r="E6">
        <f>_xlfn.STDEV.S('Bottle Results'!U14:U16)</f>
        <v>0.10820692302913817</v>
      </c>
      <c r="F6">
        <f>AVERAGE('Bottle Results'!S14:S16)</f>
        <v>250.27100561772809</v>
      </c>
      <c r="G6">
        <f>AVERAGE('Bottle Results'!W14:W16)</f>
        <v>0.20008182839538591</v>
      </c>
      <c r="H6">
        <f>_xlfn.STDEV.S('Bottle Results'!W14:W16)</f>
        <v>1.307135314615092E-2</v>
      </c>
      <c r="I6">
        <f>AVERAGE('Bottle Results'!D14:D16)</f>
        <v>5.0366666666666662</v>
      </c>
      <c r="J6">
        <f>_xlfn.STDEV.S('Bottle Results'!D14:D16)</f>
        <v>1.5275252316519626E-2</v>
      </c>
    </row>
    <row r="7" spans="1:10" x14ac:dyDescent="0.25">
      <c r="A7">
        <v>500</v>
      </c>
      <c r="B7">
        <f>AVERAGE('Bottle Results'!Q17:Q19)</f>
        <v>3.8313040213701197</v>
      </c>
      <c r="C7">
        <f>_xlfn.STDEV.S('Bottle Results'!Q17:Q19)</f>
        <v>2.1103755052666741E-2</v>
      </c>
      <c r="D7">
        <f>AVERAGE('Bottle Results'!U17:U19)</f>
        <v>2.9951701716397268</v>
      </c>
      <c r="E7">
        <f>_xlfn.STDEV.S('Bottle Results'!U17:U19)</f>
        <v>0.63458368877856852</v>
      </c>
      <c r="F7">
        <f>AVERAGE('Bottle Results'!S17:S19)</f>
        <v>500.54201123545619</v>
      </c>
      <c r="G7">
        <f>AVERAGE('Bottle Results'!W17:W19)</f>
        <v>0.23456894019473931</v>
      </c>
      <c r="H7">
        <f>_xlfn.STDEV.S('Bottle Results'!W17:W19)</f>
        <v>4.2161805760474614E-3</v>
      </c>
      <c r="I7">
        <f>AVERAGE('Bottle Results'!D17:D19)</f>
        <v>5.0133333333333328</v>
      </c>
      <c r="J7">
        <f>_xlfn.STDEV.S('Bottle Results'!D17:D19)</f>
        <v>4.1633319989322265E-2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2016-05-17T16:01:53Z</dcterms:modified>
</cp:coreProperties>
</file>