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Goe_pH9\"/>
    </mc:Choice>
  </mc:AlternateContent>
  <bookViews>
    <workbookView xWindow="0" yWindow="0" windowWidth="7470" windowHeight="12285"/>
  </bookViews>
  <sheets>
    <sheet name="Parameters" sheetId="1" r:id="rId1"/>
    <sheet name="Calibration Data" sheetId="7" r:id="rId2"/>
    <sheet name="Scintillation Counter Results" sheetId="3" r:id="rId3"/>
    <sheet name="Count-&gt;Actual Activity" sheetId="2" r:id="rId4"/>
    <sheet name="Bottle Results" sheetId="5" r:id="rId5"/>
    <sheet name="Averaged Results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" i="2"/>
  <c r="L10" i="7"/>
  <c r="K9" i="7"/>
  <c r="G9" i="7"/>
  <c r="D9" i="7"/>
  <c r="L9" i="7" s="1"/>
  <c r="C9" i="7"/>
  <c r="E9" i="7" s="1"/>
  <c r="K8" i="7"/>
  <c r="I8" i="7"/>
  <c r="J8" i="7" s="1"/>
  <c r="H8" i="7"/>
  <c r="E8" i="7"/>
  <c r="D8" i="7"/>
  <c r="L8" i="7" s="1"/>
  <c r="L7" i="7"/>
  <c r="K7" i="7"/>
  <c r="I7" i="7"/>
  <c r="E7" i="7"/>
  <c r="D7" i="7"/>
  <c r="L6" i="7"/>
  <c r="K6" i="7"/>
  <c r="H6" i="7"/>
  <c r="I6" i="7" s="1"/>
  <c r="E6" i="7"/>
  <c r="D6" i="7"/>
  <c r="K5" i="7"/>
  <c r="I5" i="7"/>
  <c r="H5" i="7"/>
  <c r="E5" i="7"/>
  <c r="D5" i="7"/>
  <c r="L5" i="7" s="1"/>
  <c r="K4" i="7"/>
  <c r="H4" i="7"/>
  <c r="I4" i="7" s="1"/>
  <c r="J4" i="7" s="1"/>
  <c r="E4" i="7"/>
  <c r="D4" i="7"/>
  <c r="L4" i="7" s="1"/>
  <c r="K3" i="7"/>
  <c r="I3" i="7"/>
  <c r="J3" i="7" s="1"/>
  <c r="H3" i="7"/>
  <c r="E3" i="7"/>
  <c r="D3" i="7"/>
  <c r="L3" i="7" s="1"/>
  <c r="L2" i="7"/>
  <c r="K2" i="7"/>
  <c r="E2" i="7"/>
  <c r="D2" i="7"/>
  <c r="J5" i="7" l="1"/>
  <c r="J6" i="7"/>
  <c r="J7" i="7"/>
  <c r="S3" i="5"/>
  <c r="T3" i="5" s="1"/>
  <c r="S4" i="5"/>
  <c r="T4" i="5" s="1"/>
  <c r="S5" i="5"/>
  <c r="T5" i="5" s="1"/>
  <c r="S6" i="5"/>
  <c r="S7" i="5"/>
  <c r="T7" i="5" s="1"/>
  <c r="S8" i="5"/>
  <c r="T8" i="5" s="1"/>
  <c r="S9" i="5"/>
  <c r="T9" i="5" s="1"/>
  <c r="S10" i="5"/>
  <c r="T10" i="5" s="1"/>
  <c r="S11" i="5"/>
  <c r="T11" i="5" s="1"/>
  <c r="S12" i="5"/>
  <c r="T12" i="5" s="1"/>
  <c r="S13" i="5"/>
  <c r="T13" i="5" s="1"/>
  <c r="S14" i="5"/>
  <c r="S15" i="5"/>
  <c r="T15" i="5" s="1"/>
  <c r="S16" i="5"/>
  <c r="T16" i="5" s="1"/>
  <c r="S17" i="5"/>
  <c r="T17" i="5" s="1"/>
  <c r="S18" i="5"/>
  <c r="S19" i="5"/>
  <c r="T19" i="5" s="1"/>
  <c r="S2" i="5"/>
  <c r="T2" i="5" s="1"/>
  <c r="T18" i="5" l="1"/>
  <c r="T14" i="5"/>
  <c r="T6" i="5"/>
  <c r="J7" i="8"/>
  <c r="J6" i="8"/>
  <c r="J5" i="8"/>
  <c r="J4" i="8"/>
  <c r="J3" i="8"/>
  <c r="I7" i="8"/>
  <c r="I6" i="8"/>
  <c r="I5" i="8"/>
  <c r="I4" i="8"/>
  <c r="I3" i="8"/>
  <c r="J2" i="8"/>
  <c r="I2" i="8"/>
  <c r="I10" i="5" l="1"/>
  <c r="Q10" i="5" s="1"/>
  <c r="J11" i="5"/>
  <c r="J12" i="5"/>
  <c r="J17" i="5"/>
  <c r="W10" i="5" l="1"/>
  <c r="U10" i="5"/>
  <c r="F4" i="8"/>
  <c r="F6" i="8"/>
  <c r="F3" i="8"/>
  <c r="F2" i="8"/>
  <c r="F5" i="8"/>
  <c r="F7" i="8"/>
  <c r="J18" i="5"/>
  <c r="I18" i="5"/>
  <c r="Q18" i="5" s="1"/>
  <c r="J10" i="5"/>
  <c r="R10" i="5" s="1"/>
  <c r="J19" i="5"/>
  <c r="I19" i="5"/>
  <c r="Q19" i="5" s="1"/>
  <c r="J3" i="5"/>
  <c r="I3" i="5"/>
  <c r="Q3" i="5" s="1"/>
  <c r="J9" i="5"/>
  <c r="I9" i="5"/>
  <c r="Q9" i="5" s="1"/>
  <c r="I16" i="5"/>
  <c r="Q16" i="5" s="1"/>
  <c r="J16" i="5"/>
  <c r="I8" i="5"/>
  <c r="Q8" i="5" s="1"/>
  <c r="J8" i="5"/>
  <c r="J15" i="5"/>
  <c r="I15" i="5"/>
  <c r="Q15" i="5" s="1"/>
  <c r="J7" i="5"/>
  <c r="I7" i="5"/>
  <c r="Q7" i="5" s="1"/>
  <c r="I14" i="5"/>
  <c r="Q14" i="5" s="1"/>
  <c r="J14" i="5"/>
  <c r="J6" i="5"/>
  <c r="I6" i="5"/>
  <c r="Q6" i="5" s="1"/>
  <c r="J13" i="5"/>
  <c r="I13" i="5"/>
  <c r="Q13" i="5" s="1"/>
  <c r="J5" i="5"/>
  <c r="I5" i="5"/>
  <c r="Q5" i="5" s="1"/>
  <c r="I4" i="5"/>
  <c r="Q4" i="5" s="1"/>
  <c r="J4" i="5"/>
  <c r="I17" i="5"/>
  <c r="Q17" i="5" s="1"/>
  <c r="I12" i="5"/>
  <c r="Q12" i="5" s="1"/>
  <c r="I11" i="5"/>
  <c r="Q11" i="5" s="1"/>
  <c r="J2" i="5"/>
  <c r="U13" i="5" l="1"/>
  <c r="W13" i="5"/>
  <c r="U15" i="5"/>
  <c r="W15" i="5"/>
  <c r="U3" i="5"/>
  <c r="W3" i="5"/>
  <c r="U7" i="5"/>
  <c r="W7" i="5"/>
  <c r="U19" i="5"/>
  <c r="W19" i="5"/>
  <c r="W6" i="5"/>
  <c r="U6" i="5"/>
  <c r="W8" i="5"/>
  <c r="U8" i="5"/>
  <c r="U11" i="5"/>
  <c r="W11" i="5"/>
  <c r="H5" i="8" s="1"/>
  <c r="U17" i="5"/>
  <c r="W17" i="5"/>
  <c r="U5" i="5"/>
  <c r="W5" i="5"/>
  <c r="W12" i="5"/>
  <c r="U12" i="5"/>
  <c r="W4" i="5"/>
  <c r="U4" i="5"/>
  <c r="W14" i="5"/>
  <c r="U14" i="5"/>
  <c r="W16" i="5"/>
  <c r="U16" i="5"/>
  <c r="U18" i="5"/>
  <c r="W18" i="5"/>
  <c r="U9" i="5"/>
  <c r="W9" i="5"/>
  <c r="R18" i="5"/>
  <c r="R8" i="5"/>
  <c r="R4" i="5"/>
  <c r="R14" i="5"/>
  <c r="R16" i="5"/>
  <c r="R17" i="5"/>
  <c r="R13" i="5"/>
  <c r="R12" i="5"/>
  <c r="R15" i="5"/>
  <c r="R6" i="5"/>
  <c r="R19" i="5"/>
  <c r="R5" i="5"/>
  <c r="R7" i="5"/>
  <c r="R9" i="5"/>
  <c r="R11" i="5"/>
  <c r="R3" i="5"/>
  <c r="B7" i="8"/>
  <c r="C7" i="8"/>
  <c r="B4" i="8"/>
  <c r="C4" i="8"/>
  <c r="B6" i="8"/>
  <c r="C6" i="8"/>
  <c r="C3" i="8"/>
  <c r="B3" i="8"/>
  <c r="C5" i="8"/>
  <c r="B5" i="8"/>
  <c r="I2" i="5"/>
  <c r="Q2" i="5" s="1"/>
  <c r="R2" i="5" s="1"/>
  <c r="G3" i="8" l="1"/>
  <c r="G5" i="8"/>
  <c r="H3" i="8"/>
  <c r="D3" i="8"/>
  <c r="G6" i="8"/>
  <c r="H6" i="8"/>
  <c r="G4" i="8"/>
  <c r="H4" i="8"/>
  <c r="G7" i="8"/>
  <c r="H7" i="8"/>
  <c r="E3" i="8"/>
  <c r="E7" i="8"/>
  <c r="D7" i="8"/>
  <c r="C2" i="8"/>
  <c r="B2" i="8"/>
  <c r="U2" i="5"/>
  <c r="W2" i="5"/>
  <c r="G2" i="8" s="1"/>
  <c r="E6" i="8"/>
  <c r="D6" i="8"/>
  <c r="D5" i="8"/>
  <c r="E5" i="8"/>
  <c r="D4" i="8"/>
  <c r="E4" i="8"/>
  <c r="E2" i="8" l="1"/>
  <c r="D2" i="8"/>
</calcChain>
</file>

<file path=xl/sharedStrings.xml><?xml version="1.0" encoding="utf-8"?>
<sst xmlns="http://schemas.openxmlformats.org/spreadsheetml/2006/main" count="374" uniqueCount="147">
  <si>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</si>
  <si>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</si>
  <si>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</si>
  <si>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</si>
  <si>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</si>
  <si>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</si>
  <si>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</si>
  <si>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</si>
  <si>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</si>
  <si>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</si>
  <si>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</si>
  <si>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</si>
  <si>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</si>
  <si>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</si>
  <si>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</si>
  <si>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</si>
  <si>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</si>
  <si>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</si>
  <si>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</si>
  <si>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</si>
  <si>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</si>
  <si>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</si>
  <si>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</si>
  <si>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</si>
  <si>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</si>
  <si>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</si>
  <si>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</si>
  <si>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</si>
  <si>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</si>
  <si>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</si>
  <si>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</si>
  <si>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</si>
  <si>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</si>
  <si>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</si>
  <si>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</si>
  <si>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Known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</si>
  <si>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</si>
  <si>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</si>
  <si>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</si>
  <si>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</si>
  <si>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</si>
  <si>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</si>
  <si>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</si>
  <si>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</si>
  <si>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</si>
  <si>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Gamma Counter (CPS)</t>
  </si>
  <si>
    <t>Error (CPS)</t>
  </si>
  <si>
    <t>Known Activity (uCi)</t>
  </si>
  <si>
    <t>Gamma Counter Calculated Activity</t>
  </si>
  <si>
    <t>Scint Counter Calculated Activity (Bq)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</si>
  <si>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</si>
  <si>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</si>
  <si>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</si>
  <si>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</si>
  <si>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</si>
  <si>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</si>
  <si>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</si>
  <si>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</si>
  <si>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</si>
  <si>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</si>
  <si>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</si>
  <si>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</si>
  <si>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</si>
  <si>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</si>
  <si>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</si>
  <si>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</si>
  <si>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</si>
  <si>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</si>
  <si>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</si>
  <si>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</si>
  <si>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</si>
  <si>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</si>
  <si>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</si>
  <si>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</si>
  <si>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</si>
  <si>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</si>
  <si>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</si>
  <si>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</si>
  <si>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</si>
  <si>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</si>
  <si>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</si>
  <si>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Parsons Gamma Counter</t>
  </si>
  <si>
    <t>Solution counts (Bq)</t>
  </si>
  <si>
    <t>Solution Counts error (Bq)</t>
  </si>
  <si>
    <t>Solid Counts (Bq)</t>
  </si>
  <si>
    <t>Solid Counts Error (Bq)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</si>
  <si>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</si>
  <si>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</si>
  <si>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</si>
  <si>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</si>
  <si>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</si>
  <si>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</si>
  <si>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0_A</t>
  </si>
  <si>
    <t>0_B</t>
  </si>
  <si>
    <t>0_C</t>
  </si>
  <si>
    <t>5_A</t>
  </si>
  <si>
    <t>5_B</t>
  </si>
  <si>
    <t>5_C</t>
  </si>
  <si>
    <t>10_A</t>
  </si>
  <si>
    <t>10_B</t>
  </si>
  <si>
    <t>10_C</t>
  </si>
  <si>
    <t>50_A</t>
  </si>
  <si>
    <t>50_B</t>
  </si>
  <si>
    <t>50_C</t>
  </si>
  <si>
    <t>100_A</t>
  </si>
  <si>
    <t>100_B</t>
  </si>
  <si>
    <t>100_C</t>
  </si>
  <si>
    <t>500_A</t>
  </si>
  <si>
    <t>500_B</t>
  </si>
  <si>
    <t>500_C</t>
  </si>
  <si>
    <t>Calibration Method</t>
  </si>
  <si>
    <t>Activity (Bq)</t>
  </si>
  <si>
    <t>Activity Error (Bq)</t>
  </si>
  <si>
    <t>Phase</t>
  </si>
  <si>
    <t>Water</t>
  </si>
  <si>
    <t>Solid</t>
  </si>
  <si>
    <t>0A</t>
  </si>
  <si>
    <t>0B</t>
  </si>
  <si>
    <t>0C</t>
  </si>
  <si>
    <t>10A</t>
  </si>
  <si>
    <t>10B</t>
  </si>
  <si>
    <t>10C</t>
  </si>
  <si>
    <t>50A</t>
  </si>
  <si>
    <t>50B</t>
  </si>
  <si>
    <t>50C</t>
  </si>
  <si>
    <t>100A</t>
  </si>
  <si>
    <t>100B</t>
  </si>
  <si>
    <t>100C</t>
  </si>
  <si>
    <t>250A</t>
  </si>
  <si>
    <t>250B</t>
  </si>
  <si>
    <t>250C</t>
  </si>
  <si>
    <t>500A</t>
  </si>
  <si>
    <t>500B</t>
  </si>
  <si>
    <t>500C</t>
  </si>
  <si>
    <t>sCw (Bq/mL)</t>
  </si>
  <si>
    <t>sCs (Bq/g)</t>
  </si>
  <si>
    <t>TotAct</t>
  </si>
  <si>
    <t>fSorb</t>
  </si>
  <si>
    <t>sfsorb</t>
  </si>
  <si>
    <t>pH</t>
  </si>
  <si>
    <t>spH</t>
  </si>
  <si>
    <t>Ra_Stock_5</t>
  </si>
  <si>
    <t>Goethite</t>
  </si>
  <si>
    <t>(Known-Average)^2</t>
  </si>
  <si>
    <t>RaStock5</t>
  </si>
  <si>
    <t>RaStock4</t>
  </si>
  <si>
    <t>CPS-&gt;Bq No 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</si>
</sst>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11" fontId="1" fillId="0" borderId="0" xfId="0" applyNumberFormat="1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5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5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4" xfId="0" applyFont="1" applyFill="1" applyBorder="1" applyAlignment="1">
      <alignment horizontal="center" vertical="top"/>
    </xf>
    <xf numFmtId="0" fontId="1" fillId="0" borderId="4" xfId="0" applyFont="1" applyBorder="1"/>
    <xf numFmtId="11" fontId="1" fillId="0" borderId="4" xfId="0" applyNumberFormat="1" applyFont="1" applyBorder="1"/>
    <xf numFmtId="0" fontId="0" fillId="0" borderId="4" xfId="0" applyBorder="1"/>
    <xf numFmtId="0" fontId="1" fillId="0" borderId="0" xfId="0" applyFont="1" applyBorder="1"/>
    <xf numFmtId="0" fontId="0" fillId="0" borderId="0" xfId="0" applyBorder="1"/>
    <xf numFmtId="0" fontId="0" fillId="0" borderId="4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Lit>
              <c:formatCode>General</c:formatCode>
              <c:ptCount val="6"/>
              <c:pt idx="0">
                <c:v>3.4640522875816994E-3</c:v>
              </c:pt>
              <c:pt idx="1">
                <c:v>7.9815435847137763E-3</c:v>
              </c:pt>
              <c:pt idx="2">
                <c:v>1.2604166666666666E-2</c:v>
              </c:pt>
              <c:pt idx="3">
                <c:v>5.0219907407407408E-2</c:v>
              </c:pt>
              <c:pt idx="4">
                <c:v>9.4872685185185185E-2</c:v>
              </c:pt>
              <c:pt idx="5">
                <c:v>0.39049768518518518</c:v>
              </c:pt>
            </c:numLit>
          </c:xVal>
          <c:yVal>
            <c:numLit>
              <c:formatCode>0.00E+00</c:formatCode>
              <c:ptCount val="6"/>
              <c:pt idx="0">
                <c:v>0.31819999999999998</c:v>
              </c:pt>
              <c:pt idx="1">
                <c:v>1.591</c:v>
              </c:pt>
              <c:pt idx="2">
                <c:v>3.1819999999999999</c:v>
              </c:pt>
              <c:pt idx="3">
                <c:v>15.91</c:v>
              </c:pt>
              <c:pt idx="4">
                <c:v>31.82</c:v>
              </c:pt>
              <c:pt idx="5">
                <c:v>159.1</c:v>
              </c:pt>
            </c:numLit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Lit>
              <c:formatCode>General</c:formatCode>
              <c:ptCount val="6"/>
              <c:pt idx="0">
                <c:v>3.4640522875816994E-3</c:v>
              </c:pt>
              <c:pt idx="1">
                <c:v>7.9815435847137763E-3</c:v>
              </c:pt>
              <c:pt idx="2">
                <c:v>1.2604166666666666E-2</c:v>
              </c:pt>
              <c:pt idx="3">
                <c:v>5.0219907407407408E-2</c:v>
              </c:pt>
              <c:pt idx="4">
                <c:v>9.4872685185185185E-2</c:v>
              </c:pt>
              <c:pt idx="5">
                <c:v>0.39049768518518518</c:v>
              </c:pt>
            </c:numLit>
          </c:xVal>
          <c:yVal>
            <c:numLit>
              <c:formatCode>General</c:formatCode>
              <c:ptCount val="6"/>
              <c:pt idx="0">
                <c:v>-1.7375179093564292</c:v>
              </c:pt>
              <c:pt idx="1">
                <c:v>0.12652001269851265</c:v>
              </c:pt>
              <c:pt idx="2">
                <c:v>2.0339381254012432</c:v>
              </c:pt>
              <c:pt idx="3">
                <c:v>17.555200391349953</c:v>
              </c:pt>
              <c:pt idx="4">
                <c:v>35.9801326442823</c:v>
              </c:pt>
              <c:pt idx="5">
                <c:v>157.96292673562442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91208"/>
        <c:axId val="148491136"/>
      </c:scatterChart>
      <c:valAx>
        <c:axId val="154991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491136"/>
        <c:crosses val="autoZero"/>
        <c:crossBetween val="midCat"/>
      </c:valAx>
      <c:valAx>
        <c:axId val="148491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154991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1457325</xdr:colOff>
      <xdr:row>65</xdr:row>
      <xdr:rowOff>66675</xdr:rowOff>
    </xdr:from>
    <xdr:to>
      <xdr:col>11</xdr:col>
      <xdr:colOff>1181100</xdr:colOff>
      <xdr:row>96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B6" sqref="B6:C6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9">
        <v>42419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142</v>
      </c>
    </row>
    <row r="5" spans="1:5" x14ac:dyDescent="0.25">
      <c r="A5" t="s">
        <v>22</v>
      </c>
      <c r="B5" t="s">
        <v>141</v>
      </c>
    </row>
    <row r="6" spans="1:5" x14ac:dyDescent="0.25">
      <c r="A6" t="s">
        <v>6</v>
      </c>
      <c r="B6">
        <v>1407</v>
      </c>
      <c r="C6" s="17">
        <v>62</v>
      </c>
      <c r="D6" t="s">
        <v>20</v>
      </c>
      <c r="E6" t="s">
        <v>13</v>
      </c>
    </row>
    <row r="7" spans="1:5" x14ac:dyDescent="0.25">
      <c r="A7" t="s">
        <v>24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6"/>
  <sheetViews>
    <sheetView workbookViewId="0">
      <selection sqref="A1:XFD1048576"/>
    </sheetView>
  </sheetViews>
  <sheetFormatPr defaultRowHeight="15" x14ac:dyDescent="0.25"/>
  <cols>
    <col min="1" max="1" width="22.7109375" style="2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20.7109375" style="2" customWidth="1"/>
    <col min="7" max="7" width="12" style="2" customWidth="1"/>
    <col min="8" max="8" width="19.28515625" style="2" customWidth="1"/>
    <col min="9" max="10" width="18.7109375" style="2" customWidth="1"/>
    <col min="11" max="11" width="32.85546875" bestFit="1" customWidth="1"/>
    <col min="12" max="12" width="34.7109375" bestFit="1" customWidth="1"/>
    <col min="13" max="13" width="35.5703125" bestFit="1" customWidth="1"/>
    <col min="14" max="14" width="14.5703125" bestFit="1" customWidth="1"/>
    <col min="22" max="22" width="18" bestFit="1" customWidth="1"/>
    <col min="23" max="23" width="12.7109375" bestFit="1" customWidth="1"/>
  </cols>
  <sheetData>
    <row r="1" spans="1:31" x14ac:dyDescent="0.25">
      <c r="B1" s="3" t="s">
        <v>42</v>
      </c>
      <c r="C1" s="3" t="s">
        <v>43</v>
      </c>
      <c r="D1" s="4" t="s">
        <v>44</v>
      </c>
      <c r="E1" s="4" t="s">
        <v>21</v>
      </c>
      <c r="F1" s="2" t="s">
        <v>45</v>
      </c>
      <c r="G1" s="2" t="s">
        <v>46</v>
      </c>
      <c r="H1" s="2" t="s">
        <v>47</v>
      </c>
      <c r="I1" s="2" t="s">
        <v>35</v>
      </c>
      <c r="J1" s="2" t="s">
        <v>143</v>
      </c>
      <c r="K1" s="2" t="s">
        <v>48</v>
      </c>
      <c r="L1" s="2" t="s">
        <v>49</v>
      </c>
      <c r="M1" s="2"/>
      <c r="N1" s="2"/>
    </row>
    <row r="2" spans="1:31" x14ac:dyDescent="0.25">
      <c r="A2" s="3" t="s">
        <v>50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F2" s="2">
        <v>1.1574074074074073E-3</v>
      </c>
      <c r="H2" s="2">
        <v>0</v>
      </c>
      <c r="I2" s="2">
        <v>0</v>
      </c>
      <c r="K2">
        <f>F2*$B$63+$B$62</f>
        <v>-2.6893013764520717</v>
      </c>
      <c r="L2">
        <f>D2*$B$30+$B$29</f>
        <v>0.13209164838024126</v>
      </c>
    </row>
    <row r="3" spans="1:31" x14ac:dyDescent="0.25">
      <c r="A3" s="3" t="s">
        <v>36</v>
      </c>
      <c r="B3" s="2">
        <v>213.53333333333333</v>
      </c>
      <c r="C3" s="2">
        <v>4.5389670875898238</v>
      </c>
      <c r="D3" s="2">
        <f t="shared" ref="D3:E9" si="0">B3/60</f>
        <v>3.5588888888888888</v>
      </c>
      <c r="E3" s="2">
        <f t="shared" si="0"/>
        <v>7.5649451459830402E-2</v>
      </c>
      <c r="F3" s="2">
        <v>3.4640522875816994E-3</v>
      </c>
      <c r="G3" s="2">
        <v>6.1343954248366012E-4</v>
      </c>
      <c r="H3" s="5">
        <f>H7/100</f>
        <v>8.599999999999999E-6</v>
      </c>
      <c r="I3" s="5">
        <f t="shared" ref="I3:I8" si="1">H3*37000</f>
        <v>0.31819999999999998</v>
      </c>
      <c r="J3" s="5">
        <f>(I3-AVERAGE($I$3:$I$8))^2</f>
        <v>1225.1400040000001</v>
      </c>
      <c r="K3">
        <f>F3*$B$63+$B$62</f>
        <v>-1.7375179093564292</v>
      </c>
      <c r="L3">
        <f t="shared" ref="L3:L10" si="2">D3*$B$30+$B$29</f>
        <v>0.41681673309525025</v>
      </c>
    </row>
    <row r="4" spans="1:31" x14ac:dyDescent="0.25">
      <c r="A4" s="3" t="s">
        <v>37</v>
      </c>
      <c r="B4" s="2">
        <v>851.36666666666679</v>
      </c>
      <c r="C4" s="2">
        <v>12.530584805000577</v>
      </c>
      <c r="D4" s="2">
        <f t="shared" si="0"/>
        <v>14.189444444444446</v>
      </c>
      <c r="E4" s="2">
        <f t="shared" si="0"/>
        <v>0.20884308008334296</v>
      </c>
      <c r="F4" s="2">
        <v>7.9815435847137763E-3</v>
      </c>
      <c r="G4" s="2">
        <v>8.5144502711856026E-4</v>
      </c>
      <c r="H4" s="5">
        <f>H7/20</f>
        <v>4.3000000000000002E-5</v>
      </c>
      <c r="I4" s="5">
        <f t="shared" si="1"/>
        <v>1.591</v>
      </c>
      <c r="J4" s="5">
        <f t="shared" ref="J4:J8" si="3">(I4-AVERAGE($I$3:$I$8))^2</f>
        <v>1137.6589326399999</v>
      </c>
      <c r="K4">
        <f t="shared" ref="K4:K9" si="4">F4*$B$63+$B$62</f>
        <v>0.12652001269851265</v>
      </c>
      <c r="L4">
        <f t="shared" si="2"/>
        <v>1.6756463301427775</v>
      </c>
    </row>
    <row r="5" spans="1:31" x14ac:dyDescent="0.25">
      <c r="A5" s="3" t="s">
        <v>38</v>
      </c>
      <c r="B5" s="2">
        <v>1635.7</v>
      </c>
      <c r="C5" s="2">
        <v>32.620954410720707</v>
      </c>
      <c r="D5" s="2">
        <f t="shared" si="0"/>
        <v>27.261666666666667</v>
      </c>
      <c r="E5" s="2">
        <f t="shared" si="0"/>
        <v>0.54368257351201177</v>
      </c>
      <c r="F5" s="2">
        <v>1.2604166666666666E-2</v>
      </c>
      <c r="G5" s="2">
        <v>9.3201388888888891E-4</v>
      </c>
      <c r="H5" s="5">
        <f>H7/10</f>
        <v>8.6000000000000003E-5</v>
      </c>
      <c r="I5" s="5">
        <f t="shared" si="1"/>
        <v>3.1819999999999999</v>
      </c>
      <c r="J5" s="5">
        <f t="shared" si="3"/>
        <v>1032.8638992399999</v>
      </c>
      <c r="K5">
        <f t="shared" si="4"/>
        <v>2.0339381254012432</v>
      </c>
      <c r="L5">
        <f t="shared" si="2"/>
        <v>3.2236087246307998</v>
      </c>
    </row>
    <row r="6" spans="1:31" x14ac:dyDescent="0.25">
      <c r="A6" s="3" t="s">
        <v>39</v>
      </c>
      <c r="B6" s="2">
        <v>7998.833333333333</v>
      </c>
      <c r="C6" s="2">
        <v>50.234140670352431</v>
      </c>
      <c r="D6" s="2">
        <f t="shared" si="0"/>
        <v>133.3138888888889</v>
      </c>
      <c r="E6" s="2">
        <f t="shared" si="0"/>
        <v>0.83723567783920716</v>
      </c>
      <c r="F6" s="2">
        <v>5.0219907407407408E-2</v>
      </c>
      <c r="G6" s="2">
        <v>2.5444444444444447E-3</v>
      </c>
      <c r="H6" s="5">
        <f>H7/2</f>
        <v>4.2999999999999999E-4</v>
      </c>
      <c r="I6" s="5">
        <f t="shared" si="1"/>
        <v>15.91</v>
      </c>
      <c r="J6" s="5">
        <f t="shared" si="3"/>
        <v>376.75586404000001</v>
      </c>
      <c r="K6">
        <f t="shared" si="4"/>
        <v>17.555200391349953</v>
      </c>
      <c r="L6">
        <f t="shared" si="2"/>
        <v>15.781905933869924</v>
      </c>
    </row>
    <row r="7" spans="1:31" x14ac:dyDescent="0.25">
      <c r="A7" s="3" t="s">
        <v>40</v>
      </c>
      <c r="B7" s="2">
        <v>16057.133333333333</v>
      </c>
      <c r="C7" s="2">
        <v>53.513259001171903</v>
      </c>
      <c r="D7" s="2">
        <f t="shared" si="0"/>
        <v>267.61888888888888</v>
      </c>
      <c r="E7" s="2">
        <f t="shared" si="0"/>
        <v>0.89188765001953174</v>
      </c>
      <c r="F7" s="2">
        <v>9.4872685185185185E-2</v>
      </c>
      <c r="G7" s="2">
        <v>2.9521990740740741E-3</v>
      </c>
      <c r="H7" s="5">
        <v>8.5999999999999998E-4</v>
      </c>
      <c r="I7" s="5">
        <f t="shared" si="1"/>
        <v>31.82</v>
      </c>
      <c r="J7" s="5">
        <f t="shared" si="3"/>
        <v>12.251400039999996</v>
      </c>
      <c r="K7">
        <f t="shared" si="4"/>
        <v>35.9801326442823</v>
      </c>
      <c r="L7">
        <f t="shared" si="2"/>
        <v>31.685788675267496</v>
      </c>
    </row>
    <row r="8" spans="1:31" x14ac:dyDescent="0.25">
      <c r="A8" s="3" t="s">
        <v>41</v>
      </c>
      <c r="B8" s="2">
        <v>80635.3</v>
      </c>
      <c r="C8" s="2">
        <v>80.454997758225829</v>
      </c>
      <c r="D8" s="2">
        <f t="shared" si="0"/>
        <v>1343.9216666666666</v>
      </c>
      <c r="E8" s="2">
        <f t="shared" si="0"/>
        <v>1.3409166293037638</v>
      </c>
      <c r="F8" s="2">
        <v>0.39049768518518518</v>
      </c>
      <c r="G8" s="2">
        <v>5.6158564814814812E-3</v>
      </c>
      <c r="H8" s="5">
        <f>H7*5</f>
        <v>4.3E-3</v>
      </c>
      <c r="I8" s="5">
        <f t="shared" si="1"/>
        <v>159.1</v>
      </c>
      <c r="J8" s="5">
        <f t="shared" si="3"/>
        <v>15321.438888039998</v>
      </c>
      <c r="K8">
        <f t="shared" si="4"/>
        <v>157.96292673562442</v>
      </c>
      <c r="L8">
        <f t="shared" si="2"/>
        <v>159.1374336029937</v>
      </c>
    </row>
    <row r="9" spans="1:31" x14ac:dyDescent="0.25">
      <c r="A9" s="4" t="s">
        <v>144</v>
      </c>
      <c r="B9" s="2">
        <v>342248.6</v>
      </c>
      <c r="C9" s="2">
        <f>B9*0.11/100</f>
        <v>376.47345999999999</v>
      </c>
      <c r="D9" s="2">
        <f t="shared" si="0"/>
        <v>5704.1433333333325</v>
      </c>
      <c r="E9" s="2">
        <f t="shared" si="0"/>
        <v>6.2745576666666665</v>
      </c>
      <c r="F9">
        <v>1.9</v>
      </c>
      <c r="G9">
        <f>F9*0.5/100</f>
        <v>9.4999999999999998E-3</v>
      </c>
      <c r="H9" s="5"/>
      <c r="I9" s="5"/>
      <c r="J9" s="5"/>
      <c r="K9">
        <f t="shared" si="4"/>
        <v>780.8240178086387</v>
      </c>
      <c r="L9">
        <f t="shared" si="2"/>
        <v>675.45815221486782</v>
      </c>
    </row>
    <row r="10" spans="1:31" x14ac:dyDescent="0.25">
      <c r="A10" s="4" t="s">
        <v>145</v>
      </c>
      <c r="D10">
        <v>2882.0033333333336</v>
      </c>
      <c r="F10"/>
      <c r="G10"/>
      <c r="H10" s="5"/>
      <c r="I10" s="5"/>
      <c r="J10" s="5"/>
      <c r="L10">
        <f t="shared" si="2"/>
        <v>341.27116260310561</v>
      </c>
    </row>
    <row r="11" spans="1:31" x14ac:dyDescent="0.25">
      <c r="A11" s="4"/>
      <c r="F11"/>
      <c r="G11"/>
      <c r="H11" s="5"/>
      <c r="I11" s="5"/>
      <c r="J11" s="5"/>
    </row>
    <row r="12" spans="1:31" s="23" customFormat="1" x14ac:dyDescent="0.25">
      <c r="A12" s="20" t="s">
        <v>51</v>
      </c>
      <c r="B12" s="21"/>
      <c r="C12" s="21"/>
      <c r="D12" s="21"/>
      <c r="E12" s="21"/>
      <c r="F12" s="21"/>
      <c r="G12" s="21"/>
      <c r="H12" s="21"/>
      <c r="I12" s="22"/>
      <c r="J12" s="21"/>
    </row>
    <row r="13" spans="1:31" x14ac:dyDescent="0.25">
      <c r="A13" t="s">
        <v>52</v>
      </c>
      <c r="B13" t="s">
        <v>146</v>
      </c>
      <c r="C13"/>
      <c r="D13"/>
      <c r="E13"/>
      <c r="F13"/>
      <c r="G13"/>
      <c r="H13"/>
      <c r="I13"/>
      <c r="K13" t="s">
        <v>52</v>
      </c>
    </row>
    <row r="14" spans="1:31" ht="15.75" thickBot="1" x14ac:dyDescent="0.3">
      <c r="A14"/>
      <c r="B14"/>
      <c r="C14"/>
      <c r="D14"/>
      <c r="E14"/>
      <c r="F14"/>
      <c r="G14"/>
      <c r="H14"/>
      <c r="I14"/>
    </row>
    <row r="15" spans="1:31" x14ac:dyDescent="0.25">
      <c r="A15" s="6" t="s">
        <v>53</v>
      </c>
      <c r="B15" s="6"/>
      <c r="C15"/>
      <c r="D15"/>
      <c r="E15"/>
      <c r="F15"/>
      <c r="G15"/>
      <c r="H15"/>
      <c r="I15"/>
      <c r="J15" s="24"/>
      <c r="K15" s="6" t="s">
        <v>53</v>
      </c>
      <c r="L15" s="6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</row>
    <row r="16" spans="1:31" x14ac:dyDescent="0.25">
      <c r="A16" s="7" t="s">
        <v>54</v>
      </c>
      <c r="B16" s="7">
        <v>0.99999857522978297</v>
      </c>
      <c r="C16"/>
      <c r="D16"/>
      <c r="E16"/>
      <c r="F16"/>
      <c r="G16"/>
      <c r="H16"/>
      <c r="I16"/>
      <c r="J16" s="24"/>
      <c r="K16" s="7" t="s">
        <v>54</v>
      </c>
      <c r="L16" s="7">
        <v>0.99999857522978297</v>
      </c>
      <c r="T16" s="25"/>
      <c r="U16" s="25"/>
      <c r="V16" s="8"/>
      <c r="W16" s="8"/>
      <c r="X16" s="25"/>
      <c r="Y16" s="25"/>
      <c r="Z16" s="25"/>
      <c r="AA16" s="25"/>
      <c r="AB16" s="25"/>
      <c r="AC16" s="25"/>
      <c r="AD16" s="25"/>
      <c r="AE16" s="25"/>
    </row>
    <row r="17" spans="1:31" x14ac:dyDescent="0.25">
      <c r="A17" s="7" t="s">
        <v>55</v>
      </c>
      <c r="B17" s="7">
        <v>0.99999715046159587</v>
      </c>
      <c r="C17"/>
      <c r="D17"/>
      <c r="E17"/>
      <c r="F17"/>
      <c r="G17"/>
      <c r="H17"/>
      <c r="I17"/>
      <c r="J17" s="24"/>
      <c r="K17" s="7" t="s">
        <v>55</v>
      </c>
      <c r="L17" s="7">
        <v>0.99999715046159587</v>
      </c>
      <c r="T17" s="25"/>
      <c r="U17" s="25"/>
      <c r="V17" s="7"/>
      <c r="W17" s="7"/>
      <c r="X17" s="25"/>
      <c r="Y17" s="25"/>
      <c r="Z17" s="25"/>
      <c r="AA17" s="25"/>
      <c r="AB17" s="25"/>
      <c r="AC17" s="25"/>
      <c r="AD17" s="25"/>
      <c r="AE17" s="25"/>
    </row>
    <row r="18" spans="1:31" x14ac:dyDescent="0.25">
      <c r="A18" s="7" t="s">
        <v>56</v>
      </c>
      <c r="B18" s="7">
        <v>0.99999643807699479</v>
      </c>
      <c r="C18"/>
      <c r="D18"/>
      <c r="E18"/>
      <c r="F18"/>
      <c r="G18"/>
      <c r="H18"/>
      <c r="I18"/>
      <c r="J18" s="24"/>
      <c r="K18" s="7" t="s">
        <v>56</v>
      </c>
      <c r="L18" s="7">
        <v>0.99999643807699479</v>
      </c>
      <c r="T18" s="25"/>
      <c r="U18" s="25"/>
      <c r="V18" s="7"/>
      <c r="W18" s="7"/>
      <c r="X18" s="25"/>
      <c r="Y18" s="25"/>
      <c r="Z18" s="25"/>
      <c r="AA18" s="25"/>
      <c r="AB18" s="25"/>
      <c r="AC18" s="25"/>
      <c r="AD18" s="25"/>
      <c r="AE18" s="25"/>
    </row>
    <row r="19" spans="1:31" x14ac:dyDescent="0.25">
      <c r="A19" s="7" t="s">
        <v>57</v>
      </c>
      <c r="B19" s="7">
        <v>0.11666575259658109</v>
      </c>
      <c r="C19"/>
      <c r="D19"/>
      <c r="E19"/>
      <c r="F19"/>
      <c r="G19"/>
      <c r="H19"/>
      <c r="I19"/>
      <c r="J19" s="24"/>
      <c r="K19" s="7" t="s">
        <v>57</v>
      </c>
      <c r="L19" s="7">
        <v>0.98521674441589902</v>
      </c>
      <c r="T19" s="25"/>
      <c r="U19" s="25"/>
      <c r="V19" s="7"/>
      <c r="W19" s="7"/>
      <c r="X19" s="25"/>
      <c r="Y19" s="25"/>
      <c r="Z19" s="25"/>
      <c r="AA19" s="25"/>
      <c r="AB19" s="25"/>
      <c r="AC19" s="25"/>
      <c r="AD19" s="25"/>
      <c r="AE19" s="25"/>
    </row>
    <row r="20" spans="1:31" ht="15.75" customHeight="1" thickBot="1" x14ac:dyDescent="0.3">
      <c r="A20" s="9" t="s">
        <v>58</v>
      </c>
      <c r="B20" s="9">
        <v>6</v>
      </c>
      <c r="C20"/>
      <c r="D20"/>
      <c r="E20"/>
      <c r="F20"/>
      <c r="G20"/>
      <c r="H20"/>
      <c r="I20"/>
      <c r="J20" s="24"/>
      <c r="K20" s="9" t="s">
        <v>58</v>
      </c>
      <c r="L20" s="9">
        <v>6</v>
      </c>
      <c r="T20" s="25"/>
      <c r="U20" s="25"/>
      <c r="V20" s="7"/>
      <c r="W20" s="7"/>
      <c r="X20" s="25"/>
      <c r="Y20" s="25"/>
      <c r="Z20" s="25"/>
      <c r="AA20" s="25"/>
      <c r="AB20" s="25"/>
      <c r="AC20" s="25"/>
      <c r="AD20" s="25"/>
      <c r="AE20" s="25"/>
    </row>
    <row r="21" spans="1:31" x14ac:dyDescent="0.25">
      <c r="A21"/>
      <c r="B21"/>
      <c r="C21"/>
      <c r="D21"/>
      <c r="E21"/>
      <c r="F21"/>
      <c r="G21"/>
      <c r="H21"/>
      <c r="I21"/>
      <c r="J21" s="24"/>
      <c r="T21" s="25"/>
      <c r="U21" s="25"/>
      <c r="V21" s="7"/>
      <c r="W21" s="7"/>
      <c r="X21" s="25"/>
      <c r="Y21" s="25"/>
      <c r="Z21" s="25"/>
      <c r="AA21" s="25"/>
      <c r="AB21" s="25"/>
      <c r="AC21" s="25"/>
      <c r="AD21" s="25"/>
      <c r="AE21" s="25"/>
    </row>
    <row r="22" spans="1:31" ht="15.75" customHeight="1" thickBot="1" x14ac:dyDescent="0.3">
      <c r="A22" t="s">
        <v>59</v>
      </c>
      <c r="B22"/>
      <c r="C22"/>
      <c r="D22"/>
      <c r="E22"/>
      <c r="F22"/>
      <c r="G22"/>
      <c r="H22"/>
      <c r="I22"/>
      <c r="J22" s="24"/>
      <c r="K22" t="s">
        <v>59</v>
      </c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</row>
    <row r="23" spans="1:31" x14ac:dyDescent="0.25">
      <c r="A23" s="10"/>
      <c r="B23" s="10" t="s">
        <v>60</v>
      </c>
      <c r="C23" s="10" t="s">
        <v>61</v>
      </c>
      <c r="D23" s="10" t="s">
        <v>62</v>
      </c>
      <c r="E23" s="10" t="s">
        <v>63</v>
      </c>
      <c r="F23" s="10" t="s">
        <v>64</v>
      </c>
      <c r="G23"/>
      <c r="H23"/>
      <c r="I23"/>
      <c r="J23" s="24"/>
      <c r="K23" s="10"/>
      <c r="L23" s="10" t="s">
        <v>60</v>
      </c>
      <c r="M23" s="10" t="s">
        <v>61</v>
      </c>
      <c r="N23" s="10" t="s">
        <v>62</v>
      </c>
      <c r="O23" s="10" t="s">
        <v>63</v>
      </c>
      <c r="P23" s="10" t="s">
        <v>64</v>
      </c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</row>
    <row r="24" spans="1:31" x14ac:dyDescent="0.25">
      <c r="A24" s="7" t="s">
        <v>65</v>
      </c>
      <c r="B24" s="7">
        <v>1</v>
      </c>
      <c r="C24" s="7">
        <v>19106.054544408686</v>
      </c>
      <c r="D24" s="7">
        <v>19106.054544408686</v>
      </c>
      <c r="E24" s="7">
        <v>1403732.1258707412</v>
      </c>
      <c r="F24" s="7">
        <v>3.0449538110703924E-12</v>
      </c>
      <c r="G24"/>
      <c r="H24"/>
      <c r="I24"/>
      <c r="J24" s="24"/>
      <c r="K24" s="7" t="s">
        <v>65</v>
      </c>
      <c r="L24" s="7">
        <v>1</v>
      </c>
      <c r="M24" s="7">
        <v>1362535.4424342527</v>
      </c>
      <c r="N24" s="7">
        <v>1362535.4424342527</v>
      </c>
      <c r="O24" s="7">
        <v>1403732.1258709223</v>
      </c>
      <c r="P24" s="7">
        <v>3.0449538110696028E-12</v>
      </c>
      <c r="T24" s="25"/>
      <c r="U24" s="25"/>
      <c r="V24" s="13"/>
      <c r="W24" s="13"/>
      <c r="X24" s="13"/>
      <c r="Y24" s="13"/>
      <c r="Z24" s="13"/>
      <c r="AA24" s="13"/>
      <c r="AB24" s="25"/>
      <c r="AC24" s="25"/>
      <c r="AD24" s="25"/>
      <c r="AE24" s="25"/>
    </row>
    <row r="25" spans="1:31" x14ac:dyDescent="0.25">
      <c r="A25" s="7" t="s">
        <v>66</v>
      </c>
      <c r="B25" s="7">
        <v>4</v>
      </c>
      <c r="C25" s="7">
        <v>5.4443591315706669E-2</v>
      </c>
      <c r="D25" s="7">
        <v>1.3610897828926667E-2</v>
      </c>
      <c r="E25" s="7"/>
      <c r="F25" s="7"/>
      <c r="G25"/>
      <c r="H25"/>
      <c r="I25"/>
      <c r="J25" s="24"/>
      <c r="K25" s="7" t="s">
        <v>66</v>
      </c>
      <c r="L25" s="7">
        <v>4</v>
      </c>
      <c r="M25" s="7">
        <v>3.8826081339098519</v>
      </c>
      <c r="N25" s="7">
        <v>0.97065203347746298</v>
      </c>
      <c r="O25" s="7"/>
      <c r="P25" s="7"/>
      <c r="T25" s="25"/>
      <c r="U25" s="25"/>
      <c r="V25" s="7"/>
      <c r="W25" s="7"/>
      <c r="X25" s="7"/>
      <c r="Y25" s="7"/>
      <c r="Z25" s="7"/>
      <c r="AA25" s="7"/>
      <c r="AB25" s="25"/>
      <c r="AC25" s="25"/>
      <c r="AD25" s="25"/>
      <c r="AE25" s="25"/>
    </row>
    <row r="26" spans="1:31" ht="15.75" customHeight="1" thickBot="1" x14ac:dyDescent="0.3">
      <c r="A26" s="9" t="s">
        <v>67</v>
      </c>
      <c r="B26" s="9">
        <v>5</v>
      </c>
      <c r="C26" s="9">
        <v>19106.108988</v>
      </c>
      <c r="D26" s="9"/>
      <c r="E26" s="9"/>
      <c r="F26" s="9"/>
      <c r="G26"/>
      <c r="H26"/>
      <c r="I26"/>
      <c r="J26" s="24"/>
      <c r="K26" s="9" t="s">
        <v>67</v>
      </c>
      <c r="L26" s="9">
        <v>5</v>
      </c>
      <c r="M26" s="9">
        <v>1362539.3250423865</v>
      </c>
      <c r="N26" s="9"/>
      <c r="O26" s="9"/>
      <c r="P26" s="9"/>
      <c r="T26" s="25"/>
      <c r="U26" s="25"/>
      <c r="V26" s="7"/>
      <c r="W26" s="7"/>
      <c r="X26" s="7"/>
      <c r="Y26" s="7"/>
      <c r="Z26" s="7"/>
      <c r="AA26" s="7"/>
      <c r="AB26" s="25"/>
      <c r="AC26" s="25"/>
      <c r="AD26" s="25"/>
      <c r="AE26" s="25"/>
    </row>
    <row r="27" spans="1:31" ht="15.75" thickBot="1" x14ac:dyDescent="0.3">
      <c r="A27"/>
      <c r="B27"/>
      <c r="C27"/>
      <c r="D27"/>
      <c r="E27"/>
      <c r="F27"/>
      <c r="G27"/>
      <c r="H27"/>
      <c r="I27"/>
      <c r="J27" s="24"/>
      <c r="T27" s="25"/>
      <c r="U27" s="25"/>
      <c r="V27" s="7"/>
      <c r="W27" s="7"/>
      <c r="X27" s="7"/>
      <c r="Y27" s="7"/>
      <c r="Z27" s="7"/>
      <c r="AA27" s="7"/>
      <c r="AB27" s="25"/>
      <c r="AC27" s="25"/>
      <c r="AD27" s="25"/>
      <c r="AE27" s="25"/>
    </row>
    <row r="28" spans="1:31" x14ac:dyDescent="0.25">
      <c r="A28" s="10"/>
      <c r="B28" s="10" t="s">
        <v>68</v>
      </c>
      <c r="C28" s="10" t="s">
        <v>57</v>
      </c>
      <c r="D28" s="10" t="s">
        <v>69</v>
      </c>
      <c r="E28" s="10" t="s">
        <v>70</v>
      </c>
      <c r="F28" s="10" t="s">
        <v>71</v>
      </c>
      <c r="G28" s="10" t="s">
        <v>72</v>
      </c>
      <c r="H28" s="10" t="s">
        <v>73</v>
      </c>
      <c r="I28" s="10" t="s">
        <v>74</v>
      </c>
      <c r="J28" s="11"/>
      <c r="K28" s="10"/>
      <c r="L28" s="10" t="s">
        <v>68</v>
      </c>
      <c r="M28" s="10" t="s">
        <v>57</v>
      </c>
      <c r="N28" s="10" t="s">
        <v>69</v>
      </c>
      <c r="O28" s="10" t="s">
        <v>70</v>
      </c>
      <c r="P28" s="10" t="s">
        <v>71</v>
      </c>
      <c r="Q28" s="10" t="s">
        <v>72</v>
      </c>
      <c r="R28" s="10" t="s">
        <v>73</v>
      </c>
      <c r="S28" s="10" t="s">
        <v>74</v>
      </c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</row>
    <row r="29" spans="1:31" x14ac:dyDescent="0.25">
      <c r="A29" s="7" t="s">
        <v>75</v>
      </c>
      <c r="B29" s="7">
        <v>-4.6132328669372669E-3</v>
      </c>
      <c r="C29" s="7">
        <v>5.6191006719858279E-2</v>
      </c>
      <c r="D29" s="7">
        <v>-8.2099131804786105E-2</v>
      </c>
      <c r="E29" s="7">
        <v>0.93851196251841018</v>
      </c>
      <c r="F29" s="7">
        <v>-0.1606244784304241</v>
      </c>
      <c r="G29" s="7">
        <v>0.15139801269654957</v>
      </c>
      <c r="H29" s="7">
        <v>-0.1606244784304241</v>
      </c>
      <c r="I29" s="7">
        <v>0.15139801269654957</v>
      </c>
      <c r="J29" s="12"/>
      <c r="K29" s="7" t="s">
        <v>75</v>
      </c>
      <c r="L29" s="7">
        <v>3.9807734204714507E-2</v>
      </c>
      <c r="M29" s="7">
        <v>0.47450311588138688</v>
      </c>
      <c r="N29" s="7">
        <v>8.3893514862956931E-2</v>
      </c>
      <c r="O29" s="7">
        <v>0.93717195197245085</v>
      </c>
      <c r="P29" s="7">
        <v>-1.2776241192852635</v>
      </c>
      <c r="Q29" s="7">
        <v>1.3572395876946926</v>
      </c>
      <c r="R29" s="7">
        <v>-1.2776241192852635</v>
      </c>
      <c r="S29" s="7">
        <v>1.3572395876946926</v>
      </c>
      <c r="T29" s="25"/>
      <c r="U29" s="25"/>
      <c r="V29" s="13"/>
      <c r="W29" s="13"/>
      <c r="X29" s="13"/>
      <c r="Y29" s="13"/>
      <c r="Z29" s="13"/>
      <c r="AA29" s="13"/>
      <c r="AB29" s="13"/>
      <c r="AC29" s="13"/>
      <c r="AD29" s="13"/>
      <c r="AE29" s="25"/>
    </row>
    <row r="30" spans="1:31" ht="15.75" customHeight="1" thickBot="1" x14ac:dyDescent="0.3">
      <c r="A30" s="9" t="s">
        <v>76</v>
      </c>
      <c r="B30" s="9">
        <v>0.11841616277426437</v>
      </c>
      <c r="C30" s="9">
        <v>9.9946793173107741E-5</v>
      </c>
      <c r="D30" s="9">
        <v>1184.792017980684</v>
      </c>
      <c r="E30" s="9">
        <v>3.0449538110703924E-12</v>
      </c>
      <c r="F30" s="9">
        <v>0.11813866598957867</v>
      </c>
      <c r="G30" s="9">
        <v>0.11869365955895006</v>
      </c>
      <c r="H30" s="9">
        <v>0.11813866598957867</v>
      </c>
      <c r="I30" s="9">
        <v>0.11869365955895006</v>
      </c>
      <c r="J30" s="12"/>
      <c r="K30" s="9" t="s">
        <v>76</v>
      </c>
      <c r="L30" s="9">
        <v>8.4447690841653227</v>
      </c>
      <c r="M30" s="9">
        <v>7.1276384006686089E-3</v>
      </c>
      <c r="N30" s="9">
        <v>1184.7920179807606</v>
      </c>
      <c r="O30" s="9">
        <v>3.0449538110696028E-12</v>
      </c>
      <c r="P30" s="9">
        <v>8.4249795874161659</v>
      </c>
      <c r="Q30" s="9">
        <v>8.4645585809144794</v>
      </c>
      <c r="R30" s="9">
        <v>8.4249795874161659</v>
      </c>
      <c r="S30" s="9">
        <v>8.4645585809144794</v>
      </c>
      <c r="T30" s="25"/>
      <c r="U30" s="25"/>
      <c r="V30" s="7"/>
      <c r="W30" s="7"/>
      <c r="X30" s="7"/>
      <c r="Y30" s="7"/>
      <c r="Z30" s="7"/>
      <c r="AA30" s="7"/>
      <c r="AB30" s="7"/>
      <c r="AC30" s="7"/>
      <c r="AD30" s="7"/>
      <c r="AE30" s="25"/>
    </row>
    <row r="31" spans="1:31" x14ac:dyDescent="0.25">
      <c r="A31"/>
      <c r="B31"/>
      <c r="C31"/>
      <c r="D31"/>
      <c r="E31"/>
      <c r="F31"/>
      <c r="G31"/>
      <c r="H31"/>
      <c r="I31"/>
      <c r="J31" s="24"/>
      <c r="T31" s="13"/>
      <c r="U31" s="25"/>
      <c r="V31" s="7"/>
      <c r="W31" s="7"/>
      <c r="X31" s="7"/>
      <c r="Y31" s="7"/>
      <c r="Z31" s="7"/>
      <c r="AA31" s="7"/>
      <c r="AB31" s="7"/>
      <c r="AC31" s="7"/>
      <c r="AD31" s="7"/>
      <c r="AE31" s="25"/>
    </row>
    <row r="32" spans="1:31" x14ac:dyDescent="0.25">
      <c r="A32"/>
      <c r="B32"/>
      <c r="C32"/>
      <c r="D32"/>
      <c r="E32"/>
      <c r="F32"/>
      <c r="G32"/>
      <c r="H32"/>
      <c r="I32"/>
      <c r="J32" s="24"/>
      <c r="T32" s="7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</row>
    <row r="33" spans="1:31" x14ac:dyDescent="0.25">
      <c r="A33"/>
      <c r="B33"/>
      <c r="C33"/>
      <c r="D33"/>
      <c r="E33"/>
      <c r="F33"/>
      <c r="G33"/>
      <c r="H33"/>
      <c r="I33"/>
      <c r="J33" s="24"/>
      <c r="T33" s="7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</row>
    <row r="34" spans="1:31" x14ac:dyDescent="0.25">
      <c r="A34" t="s">
        <v>77</v>
      </c>
      <c r="B34"/>
      <c r="C34"/>
      <c r="D34"/>
      <c r="E34"/>
      <c r="F34"/>
      <c r="G34"/>
      <c r="H34"/>
      <c r="I34"/>
      <c r="J34" s="24"/>
      <c r="K34" t="s">
        <v>77</v>
      </c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</row>
    <row r="35" spans="1:31" ht="15.75" thickBot="1" x14ac:dyDescent="0.3">
      <c r="A35"/>
      <c r="B35"/>
      <c r="C35"/>
      <c r="D35"/>
      <c r="E35"/>
      <c r="F35"/>
      <c r="G35"/>
      <c r="H35"/>
      <c r="I35"/>
      <c r="J35" s="24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</row>
    <row r="36" spans="1:31" x14ac:dyDescent="0.25">
      <c r="A36" s="10" t="s">
        <v>78</v>
      </c>
      <c r="B36" s="10" t="s">
        <v>79</v>
      </c>
      <c r="C36" s="10" t="s">
        <v>80</v>
      </c>
      <c r="D36"/>
      <c r="E36"/>
      <c r="F36"/>
      <c r="G36"/>
      <c r="H36"/>
      <c r="I36"/>
      <c r="J36" s="24"/>
      <c r="K36" s="10" t="s">
        <v>78</v>
      </c>
      <c r="L36" s="10" t="s">
        <v>79</v>
      </c>
      <c r="M36" s="10" t="s">
        <v>80</v>
      </c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</row>
    <row r="37" spans="1:31" x14ac:dyDescent="0.25">
      <c r="A37" s="7">
        <v>1</v>
      </c>
      <c r="B37" s="7">
        <v>0.41681673309525025</v>
      </c>
      <c r="C37" s="7">
        <v>-9.8616733095250264E-2</v>
      </c>
      <c r="D37"/>
      <c r="E37"/>
      <c r="F37"/>
      <c r="G37"/>
      <c r="H37"/>
      <c r="I37"/>
      <c r="J37" s="24"/>
      <c r="K37" s="7">
        <v>1</v>
      </c>
      <c r="L37" s="7">
        <v>2.7269332567861202</v>
      </c>
      <c r="M37" s="7">
        <v>0.83195563210276857</v>
      </c>
      <c r="T37" s="25"/>
      <c r="U37" s="25"/>
      <c r="V37" s="13"/>
      <c r="W37" s="13"/>
      <c r="X37" s="13"/>
      <c r="Y37" s="25"/>
      <c r="Z37" s="25"/>
      <c r="AA37" s="25"/>
      <c r="AB37" s="25"/>
      <c r="AC37" s="25"/>
      <c r="AD37" s="25"/>
      <c r="AE37" s="25"/>
    </row>
    <row r="38" spans="1:31" x14ac:dyDescent="0.25">
      <c r="A38" s="7">
        <v>2</v>
      </c>
      <c r="B38" s="7">
        <v>1.6756463301427775</v>
      </c>
      <c r="C38" s="7">
        <v>-8.4646330142777559E-2</v>
      </c>
      <c r="D38"/>
      <c r="E38"/>
      <c r="F38"/>
      <c r="G38"/>
      <c r="H38"/>
      <c r="I38"/>
      <c r="J38" s="24"/>
      <c r="K38" s="7">
        <v>2</v>
      </c>
      <c r="L38" s="7">
        <v>13.475435347111743</v>
      </c>
      <c r="M38" s="7">
        <v>0.71400909733270268</v>
      </c>
      <c r="T38" s="25"/>
      <c r="U38" s="25"/>
      <c r="V38" s="7"/>
      <c r="W38" s="7"/>
      <c r="X38" s="7"/>
      <c r="Y38" s="25"/>
      <c r="Z38" s="25"/>
      <c r="AA38" s="25"/>
      <c r="AB38" s="25"/>
      <c r="AC38" s="25"/>
      <c r="AD38" s="25"/>
      <c r="AE38" s="25"/>
    </row>
    <row r="39" spans="1:31" x14ac:dyDescent="0.25">
      <c r="A39" s="7">
        <v>3</v>
      </c>
      <c r="B39" s="7">
        <v>3.2236087246307998</v>
      </c>
      <c r="C39" s="7">
        <v>-4.1608724630799898E-2</v>
      </c>
      <c r="D39"/>
      <c r="E39"/>
      <c r="F39"/>
      <c r="G39"/>
      <c r="H39"/>
      <c r="I39"/>
      <c r="J39" s="24"/>
      <c r="K39" s="7">
        <v>3</v>
      </c>
      <c r="L39" s="7">
        <v>26.911062960018771</v>
      </c>
      <c r="M39" s="7">
        <v>0.35060370664789531</v>
      </c>
      <c r="T39" s="25"/>
      <c r="U39" s="25"/>
      <c r="V39" s="7"/>
      <c r="W39" s="7"/>
      <c r="X39" s="7"/>
      <c r="Y39" s="25"/>
      <c r="Z39" s="25"/>
      <c r="AA39" s="25"/>
      <c r="AB39" s="25"/>
      <c r="AC39" s="25"/>
      <c r="AD39" s="25"/>
      <c r="AE39" s="25"/>
    </row>
    <row r="40" spans="1:31" x14ac:dyDescent="0.25">
      <c r="A40" s="7">
        <v>4</v>
      </c>
      <c r="B40" s="7">
        <v>15.781905933869924</v>
      </c>
      <c r="C40" s="7">
        <v>0.12809406613007646</v>
      </c>
      <c r="D40"/>
      <c r="E40"/>
      <c r="F40"/>
      <c r="G40"/>
      <c r="H40"/>
      <c r="I40"/>
      <c r="J40" s="24"/>
      <c r="K40" s="7">
        <v>4</v>
      </c>
      <c r="L40" s="7">
        <v>134.39608386327501</v>
      </c>
      <c r="M40" s="7">
        <v>-1.0821949743861126</v>
      </c>
      <c r="T40" s="25"/>
      <c r="U40" s="25"/>
      <c r="V40" s="7"/>
      <c r="W40" s="7"/>
      <c r="X40" s="7"/>
      <c r="Y40" s="25"/>
      <c r="Z40" s="25"/>
      <c r="AA40" s="25"/>
      <c r="AB40" s="25"/>
      <c r="AC40" s="25"/>
      <c r="AD40" s="25"/>
      <c r="AE40" s="25"/>
    </row>
    <row r="41" spans="1:31" x14ac:dyDescent="0.25">
      <c r="A41" s="7">
        <v>5</v>
      </c>
      <c r="B41" s="7">
        <v>31.685788675267496</v>
      </c>
      <c r="C41" s="7">
        <v>0.13421132473250452</v>
      </c>
      <c r="D41"/>
      <c r="E41"/>
      <c r="F41"/>
      <c r="G41"/>
      <c r="H41"/>
      <c r="I41"/>
      <c r="J41" s="24"/>
      <c r="K41" s="7">
        <v>5</v>
      </c>
      <c r="L41" s="7">
        <v>268.7523599923453</v>
      </c>
      <c r="M41" s="7">
        <v>-1.1334711034564293</v>
      </c>
      <c r="T41" s="25"/>
      <c r="U41" s="25"/>
      <c r="V41" s="7"/>
      <c r="W41" s="7"/>
      <c r="X41" s="7"/>
      <c r="Y41" s="25"/>
      <c r="Z41" s="25"/>
      <c r="AA41" s="25"/>
      <c r="AB41" s="25"/>
      <c r="AC41" s="25"/>
      <c r="AD41" s="25"/>
      <c r="AE41" s="25"/>
    </row>
    <row r="42" spans="1:31" ht="15.75" customHeight="1" thickBot="1" x14ac:dyDescent="0.3">
      <c r="A42" s="9">
        <v>6</v>
      </c>
      <c r="B42" s="9">
        <v>159.1374336029937</v>
      </c>
      <c r="C42" s="9">
        <v>-3.7433602993701243E-2</v>
      </c>
      <c r="D42"/>
      <c r="E42"/>
      <c r="F42"/>
      <c r="G42"/>
      <c r="H42"/>
      <c r="I42"/>
      <c r="J42" s="24"/>
      <c r="K42" s="9">
        <v>6</v>
      </c>
      <c r="L42" s="9">
        <v>1343.6025690249076</v>
      </c>
      <c r="M42" s="9">
        <v>0.31909764175907185</v>
      </c>
      <c r="T42" s="25"/>
      <c r="U42" s="25"/>
      <c r="V42" s="7"/>
      <c r="W42" s="7"/>
      <c r="X42" s="7"/>
      <c r="Y42" s="25"/>
      <c r="Z42" s="25"/>
      <c r="AA42" s="25"/>
      <c r="AB42" s="25"/>
      <c r="AC42" s="25"/>
      <c r="AD42" s="25"/>
      <c r="AE42" s="25"/>
    </row>
    <row r="43" spans="1:31" ht="15.75" customHeight="1" x14ac:dyDescent="0.25">
      <c r="A43" s="12"/>
      <c r="B43" s="12"/>
      <c r="C43" s="12"/>
      <c r="J43" s="24"/>
      <c r="K43" s="7"/>
      <c r="L43" s="7"/>
      <c r="M43" s="7"/>
      <c r="N43" s="7"/>
      <c r="O43" s="25"/>
      <c r="P43" s="25"/>
      <c r="Q43" s="25"/>
      <c r="R43" s="25"/>
      <c r="S43" s="25"/>
      <c r="T43" s="25"/>
      <c r="U43" s="25"/>
      <c r="V43" s="7"/>
      <c r="W43" s="7"/>
      <c r="X43" s="7"/>
      <c r="Y43" s="25"/>
      <c r="Z43" s="25"/>
      <c r="AA43" s="25"/>
      <c r="AB43" s="25"/>
      <c r="AC43" s="25"/>
      <c r="AD43" s="25"/>
      <c r="AE43" s="25"/>
    </row>
    <row r="44" spans="1:31" s="23" customFormat="1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6"/>
      <c r="L44" s="26"/>
      <c r="M44" s="26"/>
      <c r="N44" s="26"/>
      <c r="V44" s="26"/>
      <c r="W44" s="26"/>
      <c r="X44" s="26"/>
    </row>
    <row r="45" spans="1:31" x14ac:dyDescent="0.25">
      <c r="A45" s="14" t="s">
        <v>81</v>
      </c>
      <c r="J45" s="24"/>
      <c r="K45" s="7"/>
      <c r="L45" s="7"/>
      <c r="M45" s="7"/>
      <c r="N45" s="7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</row>
    <row r="46" spans="1:31" x14ac:dyDescent="0.25">
      <c r="A46" t="s">
        <v>52</v>
      </c>
      <c r="B46"/>
      <c r="C46"/>
      <c r="D46"/>
      <c r="E46"/>
      <c r="F46"/>
      <c r="G46"/>
      <c r="H46"/>
      <c r="I46"/>
      <c r="J46" s="24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</row>
    <row r="47" spans="1:31" ht="15.75" thickBot="1" x14ac:dyDescent="0.3">
      <c r="A47"/>
      <c r="B47"/>
      <c r="C47"/>
      <c r="D47"/>
      <c r="E47"/>
      <c r="F47"/>
      <c r="G47"/>
      <c r="H47"/>
      <c r="I47"/>
      <c r="J47" s="24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</row>
    <row r="48" spans="1:31" x14ac:dyDescent="0.25">
      <c r="A48" s="6" t="s">
        <v>53</v>
      </c>
      <c r="B48" s="6"/>
      <c r="C48"/>
      <c r="D48"/>
      <c r="E48"/>
      <c r="F48"/>
      <c r="G48"/>
      <c r="H48"/>
      <c r="I48"/>
      <c r="J48" s="24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</row>
    <row r="49" spans="1:31" x14ac:dyDescent="0.25">
      <c r="A49" s="7" t="s">
        <v>54</v>
      </c>
      <c r="B49" s="7">
        <v>0.99924092193949743</v>
      </c>
      <c r="C49"/>
      <c r="D49"/>
      <c r="E49"/>
      <c r="F49"/>
      <c r="G49"/>
      <c r="H49"/>
      <c r="I49"/>
      <c r="J49" s="24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</row>
    <row r="50" spans="1:31" x14ac:dyDescent="0.25">
      <c r="A50" s="7" t="s">
        <v>55</v>
      </c>
      <c r="B50" s="7">
        <v>0.99848242007849675</v>
      </c>
      <c r="C50"/>
      <c r="D50"/>
      <c r="E50"/>
      <c r="F50"/>
      <c r="G50"/>
      <c r="H50"/>
      <c r="I50"/>
      <c r="J50" s="24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</row>
    <row r="51" spans="1:31" x14ac:dyDescent="0.25">
      <c r="A51" s="7" t="s">
        <v>56</v>
      </c>
      <c r="B51" s="7">
        <v>0.99810302509812088</v>
      </c>
      <c r="C51"/>
      <c r="D51"/>
      <c r="E51"/>
      <c r="F51"/>
      <c r="G51"/>
      <c r="H51"/>
      <c r="I51"/>
      <c r="J51" s="24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</row>
    <row r="52" spans="1:31" x14ac:dyDescent="0.25">
      <c r="A52" s="7" t="s">
        <v>57</v>
      </c>
      <c r="B52" s="7">
        <v>2.6923524740569098</v>
      </c>
      <c r="C52"/>
      <c r="D52"/>
      <c r="E52"/>
      <c r="F52"/>
      <c r="G52"/>
      <c r="H52"/>
      <c r="I52"/>
      <c r="J52" s="24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</row>
    <row r="53" spans="1:31" ht="15.75" customHeight="1" thickBot="1" x14ac:dyDescent="0.3">
      <c r="A53" s="9" t="s">
        <v>58</v>
      </c>
      <c r="B53" s="9">
        <v>6</v>
      </c>
      <c r="C53"/>
      <c r="D53"/>
      <c r="E53"/>
      <c r="F53"/>
      <c r="G53"/>
      <c r="H53"/>
      <c r="I53"/>
      <c r="J53" s="24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</row>
    <row r="54" spans="1:31" x14ac:dyDescent="0.25">
      <c r="A54"/>
      <c r="B54"/>
      <c r="C54"/>
      <c r="D54"/>
      <c r="E54"/>
      <c r="F54"/>
      <c r="G54"/>
      <c r="H54"/>
      <c r="I54"/>
      <c r="J54" s="24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</row>
    <row r="55" spans="1:31" ht="15.75" customHeight="1" thickBot="1" x14ac:dyDescent="0.3">
      <c r="A55" t="s">
        <v>59</v>
      </c>
      <c r="B55"/>
      <c r="C55"/>
      <c r="D55"/>
      <c r="E55"/>
      <c r="F55"/>
      <c r="G55"/>
      <c r="H55"/>
      <c r="I55"/>
      <c r="J55" s="24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</row>
    <row r="56" spans="1:31" x14ac:dyDescent="0.25">
      <c r="A56" s="10"/>
      <c r="B56" s="10" t="s">
        <v>60</v>
      </c>
      <c r="C56" s="10" t="s">
        <v>61</v>
      </c>
      <c r="D56" s="10" t="s">
        <v>62</v>
      </c>
      <c r="E56" s="10" t="s">
        <v>63</v>
      </c>
      <c r="F56" s="10" t="s">
        <v>64</v>
      </c>
      <c r="G56"/>
      <c r="H56"/>
      <c r="I56"/>
      <c r="J56" s="24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</row>
    <row r="57" spans="1:31" x14ac:dyDescent="0.25">
      <c r="A57" s="7" t="s">
        <v>65</v>
      </c>
      <c r="B57" s="7">
        <v>1</v>
      </c>
      <c r="C57" s="7">
        <v>19077.113940621759</v>
      </c>
      <c r="D57" s="7">
        <v>19077.113940621759</v>
      </c>
      <c r="E57" s="7">
        <v>2631.7755155575519</v>
      </c>
      <c r="F57" s="7">
        <v>8.6408056270436361E-7</v>
      </c>
      <c r="G57"/>
      <c r="H57"/>
      <c r="I57"/>
      <c r="J57" s="24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</row>
    <row r="58" spans="1:31" x14ac:dyDescent="0.25">
      <c r="A58" s="7" t="s">
        <v>66</v>
      </c>
      <c r="B58" s="7">
        <v>4</v>
      </c>
      <c r="C58" s="7">
        <v>28.995047378241452</v>
      </c>
      <c r="D58" s="7">
        <v>7.248761844560363</v>
      </c>
      <c r="E58" s="7"/>
      <c r="F58" s="7"/>
      <c r="G58"/>
      <c r="H58"/>
      <c r="I58"/>
      <c r="J58" s="24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</row>
    <row r="59" spans="1:31" ht="15.75" customHeight="1" thickBot="1" x14ac:dyDescent="0.3">
      <c r="A59" s="9" t="s">
        <v>67</v>
      </c>
      <c r="B59" s="9">
        <v>5</v>
      </c>
      <c r="C59" s="9">
        <v>19106.108988</v>
      </c>
      <c r="D59" s="9"/>
      <c r="E59" s="9"/>
      <c r="F59" s="9"/>
      <c r="G59"/>
      <c r="H59"/>
      <c r="I59"/>
      <c r="J59" s="24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</row>
    <row r="60" spans="1:31" ht="15.75" thickBot="1" x14ac:dyDescent="0.3">
      <c r="A60"/>
      <c r="B60"/>
      <c r="C60"/>
      <c r="D60"/>
      <c r="E60"/>
      <c r="F60"/>
      <c r="G60"/>
      <c r="H60"/>
      <c r="I60"/>
      <c r="J60" s="24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</row>
    <row r="61" spans="1:31" x14ac:dyDescent="0.25">
      <c r="A61" s="10"/>
      <c r="B61" s="10" t="s">
        <v>68</v>
      </c>
      <c r="C61" s="10" t="s">
        <v>57</v>
      </c>
      <c r="D61" s="10" t="s">
        <v>69</v>
      </c>
      <c r="E61" s="10" t="s">
        <v>70</v>
      </c>
      <c r="F61" s="10" t="s">
        <v>71</v>
      </c>
      <c r="G61" s="10" t="s">
        <v>72</v>
      </c>
      <c r="H61" s="10" t="s">
        <v>73</v>
      </c>
      <c r="I61" s="10" t="s">
        <v>74</v>
      </c>
      <c r="J61" s="11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</row>
    <row r="62" spans="1:31" x14ac:dyDescent="0.25">
      <c r="A62" s="7" t="s">
        <v>75</v>
      </c>
      <c r="B62" s="7">
        <v>-3.166878676942801</v>
      </c>
      <c r="C62" s="7">
        <v>1.3307749314427235</v>
      </c>
      <c r="D62" s="7">
        <v>-2.3797252278486458</v>
      </c>
      <c r="E62" s="7">
        <v>7.6011981534629777E-2</v>
      </c>
      <c r="F62" s="7">
        <v>-6.8617022214668797</v>
      </c>
      <c r="G62" s="7">
        <v>0.52794486758127768</v>
      </c>
      <c r="H62" s="7">
        <v>-6.8617022214668797</v>
      </c>
      <c r="I62" s="7">
        <v>0.52794486758127768</v>
      </c>
      <c r="J62" s="12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</row>
    <row r="63" spans="1:31" ht="15.75" customHeight="1" thickBot="1" x14ac:dyDescent="0.3">
      <c r="A63" s="9" t="s">
        <v>76</v>
      </c>
      <c r="B63" s="9">
        <v>412.62678762399031</v>
      </c>
      <c r="C63" s="9">
        <v>8.0432764859340793</v>
      </c>
      <c r="D63" s="9">
        <v>51.300833478195578</v>
      </c>
      <c r="E63" s="9">
        <v>8.6408056270436361E-7</v>
      </c>
      <c r="F63" s="9">
        <v>390.29507199486613</v>
      </c>
      <c r="G63" s="9">
        <v>434.95850325311449</v>
      </c>
      <c r="H63" s="9">
        <v>390.29507199486613</v>
      </c>
      <c r="I63" s="9">
        <v>434.95850325311449</v>
      </c>
      <c r="J63" s="12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</row>
    <row r="64" spans="1:31" x14ac:dyDescent="0.25">
      <c r="A64"/>
      <c r="B64"/>
      <c r="C64"/>
      <c r="D64"/>
      <c r="E64"/>
      <c r="F64"/>
      <c r="G64"/>
      <c r="H64"/>
      <c r="I64"/>
      <c r="J64" s="24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</row>
    <row r="65" spans="1:31" x14ac:dyDescent="0.25">
      <c r="A65"/>
      <c r="B65"/>
      <c r="C65"/>
      <c r="D65"/>
      <c r="E65"/>
      <c r="F65"/>
      <c r="G65"/>
      <c r="H65"/>
      <c r="I65"/>
      <c r="J65" s="24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</row>
    <row r="66" spans="1:31" x14ac:dyDescent="0.25">
      <c r="A66"/>
      <c r="B66"/>
      <c r="C66"/>
      <c r="D66"/>
      <c r="E66"/>
      <c r="F66"/>
      <c r="G66"/>
      <c r="H66"/>
      <c r="I66"/>
      <c r="J66" s="24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</row>
    <row r="67" spans="1:31" x14ac:dyDescent="0.25">
      <c r="A67" t="s">
        <v>77</v>
      </c>
      <c r="B67"/>
      <c r="C67"/>
      <c r="D67"/>
      <c r="E67"/>
      <c r="F67"/>
      <c r="G67"/>
      <c r="H67"/>
      <c r="I67"/>
      <c r="J67" s="24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</row>
    <row r="68" spans="1:31" ht="15.75" thickBot="1" x14ac:dyDescent="0.3">
      <c r="A68"/>
      <c r="B68"/>
      <c r="C68"/>
      <c r="D68"/>
      <c r="E68"/>
      <c r="F68"/>
      <c r="G68"/>
      <c r="H68"/>
      <c r="I68"/>
      <c r="J68" s="24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</row>
    <row r="69" spans="1:31" x14ac:dyDescent="0.25">
      <c r="A69" s="10" t="s">
        <v>78</v>
      </c>
      <c r="B69" s="10" t="s">
        <v>79</v>
      </c>
      <c r="C69" s="10" t="s">
        <v>80</v>
      </c>
      <c r="D69"/>
      <c r="E69"/>
      <c r="F69"/>
      <c r="G69"/>
      <c r="H69"/>
      <c r="I69"/>
      <c r="J69" s="24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</row>
    <row r="70" spans="1:31" x14ac:dyDescent="0.25">
      <c r="A70" s="7">
        <v>1</v>
      </c>
      <c r="B70" s="7">
        <v>-1.7375179093564292</v>
      </c>
      <c r="C70" s="7">
        <v>2.0557179093564293</v>
      </c>
      <c r="D70"/>
      <c r="E70"/>
      <c r="F70"/>
      <c r="G70"/>
      <c r="H70"/>
      <c r="I70"/>
      <c r="J70" s="24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</row>
    <row r="71" spans="1:31" x14ac:dyDescent="0.25">
      <c r="A71" s="7">
        <v>2</v>
      </c>
      <c r="B71" s="7">
        <v>0.12652001269851265</v>
      </c>
      <c r="C71" s="7">
        <v>1.4644799873014873</v>
      </c>
      <c r="D71"/>
      <c r="E71"/>
      <c r="F71"/>
      <c r="G71"/>
      <c r="H71"/>
      <c r="I71"/>
      <c r="J71" s="24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</row>
    <row r="72" spans="1:31" x14ac:dyDescent="0.25">
      <c r="A72" s="7">
        <v>3</v>
      </c>
      <c r="B72" s="7">
        <v>2.0339381254012432</v>
      </c>
      <c r="C72" s="7">
        <v>1.1480618745987567</v>
      </c>
      <c r="D72"/>
      <c r="E72"/>
      <c r="F72"/>
      <c r="G72"/>
      <c r="H72"/>
      <c r="I72"/>
    </row>
    <row r="73" spans="1:31" x14ac:dyDescent="0.25">
      <c r="A73" s="7">
        <v>4</v>
      </c>
      <c r="B73" s="7">
        <v>17.555200391349953</v>
      </c>
      <c r="C73" s="7">
        <v>-1.6452003913499524</v>
      </c>
      <c r="D73"/>
      <c r="E73"/>
      <c r="F73"/>
      <c r="G73"/>
      <c r="H73"/>
      <c r="I73"/>
    </row>
    <row r="74" spans="1:31" x14ac:dyDescent="0.25">
      <c r="A74" s="7">
        <v>5</v>
      </c>
      <c r="B74" s="7">
        <v>35.9801326442823</v>
      </c>
      <c r="C74" s="7">
        <v>-4.1601326442822995</v>
      </c>
      <c r="D74"/>
      <c r="E74"/>
      <c r="F74"/>
      <c r="G74"/>
      <c r="H74"/>
      <c r="I74"/>
    </row>
    <row r="75" spans="1:31" ht="15.75" customHeight="1" thickBot="1" x14ac:dyDescent="0.3">
      <c r="A75" s="9">
        <v>6</v>
      </c>
      <c r="B75" s="9">
        <v>157.96292673562442</v>
      </c>
      <c r="C75" s="9">
        <v>1.137073264375573</v>
      </c>
      <c r="D75"/>
      <c r="E75"/>
      <c r="F75"/>
      <c r="G75"/>
      <c r="H75"/>
      <c r="I75"/>
    </row>
    <row r="76" spans="1:31" x14ac:dyDescent="0.25">
      <c r="E76"/>
      <c r="F76"/>
      <c r="G76"/>
      <c r="H76"/>
      <c r="I76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opLeftCell="A61" workbookViewId="0">
      <selection activeCell="H76" sqref="H76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8">
        <v>42464.413194444445</v>
      </c>
      <c r="B2" t="s">
        <v>116</v>
      </c>
      <c r="C2">
        <v>80.8</v>
      </c>
      <c r="D2">
        <v>7.04</v>
      </c>
      <c r="E2">
        <v>0.18</v>
      </c>
      <c r="F2">
        <v>585.79999999999995</v>
      </c>
    </row>
    <row r="3" spans="1:6" x14ac:dyDescent="0.25">
      <c r="A3" s="18">
        <v>42464.413194444445</v>
      </c>
      <c r="B3" t="s">
        <v>117</v>
      </c>
      <c r="C3">
        <v>73</v>
      </c>
      <c r="D3">
        <v>7.4</v>
      </c>
      <c r="E3">
        <v>0.22</v>
      </c>
      <c r="F3">
        <v>596.42999999999995</v>
      </c>
    </row>
    <row r="4" spans="1:6" x14ac:dyDescent="0.25">
      <c r="A4" s="18">
        <v>42464.413194444445</v>
      </c>
      <c r="B4" t="s">
        <v>118</v>
      </c>
      <c r="C4">
        <v>74.099999999999994</v>
      </c>
      <c r="D4">
        <v>7.35</v>
      </c>
      <c r="E4">
        <v>0.17</v>
      </c>
      <c r="F4">
        <v>607.05999999999995</v>
      </c>
    </row>
    <row r="5" spans="1:6" x14ac:dyDescent="0.25">
      <c r="A5" s="18">
        <v>42464.413194444445</v>
      </c>
      <c r="B5" t="s">
        <v>119</v>
      </c>
      <c r="C5">
        <v>77.5</v>
      </c>
      <c r="D5">
        <v>7.18</v>
      </c>
      <c r="E5">
        <v>0.15</v>
      </c>
      <c r="F5">
        <v>617.69000000000005</v>
      </c>
    </row>
    <row r="6" spans="1:6" x14ac:dyDescent="0.25">
      <c r="A6" s="18">
        <v>42464.413194444445</v>
      </c>
      <c r="B6" t="s">
        <v>120</v>
      </c>
      <c r="C6">
        <v>81.3</v>
      </c>
      <c r="D6">
        <v>7.01</v>
      </c>
      <c r="E6">
        <v>0.15</v>
      </c>
      <c r="F6">
        <v>628.33000000000004</v>
      </c>
    </row>
    <row r="7" spans="1:6" x14ac:dyDescent="0.25">
      <c r="A7" s="18">
        <v>42464.413194444445</v>
      </c>
      <c r="B7" t="s">
        <v>121</v>
      </c>
      <c r="C7">
        <v>76.099999999999994</v>
      </c>
      <c r="D7">
        <v>7.25</v>
      </c>
      <c r="E7">
        <v>0.13</v>
      </c>
      <c r="F7">
        <v>638.96</v>
      </c>
    </row>
    <row r="8" spans="1:6" x14ac:dyDescent="0.25">
      <c r="A8" s="18">
        <v>42464.413194444445</v>
      </c>
      <c r="B8" t="s">
        <v>122</v>
      </c>
      <c r="C8">
        <v>132.4</v>
      </c>
      <c r="D8">
        <v>5.5</v>
      </c>
      <c r="E8">
        <v>7.0000000000000007E-2</v>
      </c>
      <c r="F8">
        <v>649.69000000000005</v>
      </c>
    </row>
    <row r="9" spans="1:6" x14ac:dyDescent="0.25">
      <c r="A9" s="18">
        <v>42464.413194444445</v>
      </c>
      <c r="B9" t="s">
        <v>123</v>
      </c>
      <c r="C9">
        <v>157.80000000000001</v>
      </c>
      <c r="D9">
        <v>5.03</v>
      </c>
      <c r="E9">
        <v>7.0000000000000007E-2</v>
      </c>
      <c r="F9">
        <v>660.33</v>
      </c>
    </row>
    <row r="10" spans="1:6" x14ac:dyDescent="0.25">
      <c r="A10" s="18">
        <v>42464.413194444445</v>
      </c>
      <c r="B10" t="s">
        <v>124</v>
      </c>
      <c r="C10">
        <v>133.30000000000001</v>
      </c>
      <c r="D10">
        <v>5.48</v>
      </c>
      <c r="E10">
        <v>0.08</v>
      </c>
      <c r="F10">
        <v>670.96</v>
      </c>
    </row>
    <row r="11" spans="1:6" x14ac:dyDescent="0.25">
      <c r="A11" s="18">
        <v>42464.413194444445</v>
      </c>
      <c r="B11" t="s">
        <v>125</v>
      </c>
      <c r="C11">
        <v>381.6</v>
      </c>
      <c r="D11">
        <v>3.24</v>
      </c>
      <c r="E11">
        <v>0.03</v>
      </c>
      <c r="F11">
        <v>681.59</v>
      </c>
    </row>
    <row r="12" spans="1:6" x14ac:dyDescent="0.25">
      <c r="A12" s="18">
        <v>42464.413194444445</v>
      </c>
      <c r="B12" t="s">
        <v>126</v>
      </c>
      <c r="C12">
        <v>306.8</v>
      </c>
      <c r="D12">
        <v>3.61</v>
      </c>
      <c r="E12">
        <v>0.03</v>
      </c>
      <c r="F12">
        <v>692.23</v>
      </c>
    </row>
    <row r="13" spans="1:6" x14ac:dyDescent="0.25">
      <c r="A13" s="18">
        <v>42464.413194444445</v>
      </c>
      <c r="B13" t="s">
        <v>127</v>
      </c>
      <c r="C13">
        <v>293.7</v>
      </c>
      <c r="D13">
        <v>3.69</v>
      </c>
      <c r="E13">
        <v>0.03</v>
      </c>
      <c r="F13">
        <v>702.87</v>
      </c>
    </row>
    <row r="14" spans="1:6" x14ac:dyDescent="0.25">
      <c r="A14" s="18">
        <v>42464.413194444445</v>
      </c>
      <c r="B14" t="s">
        <v>128</v>
      </c>
      <c r="C14">
        <v>1029.8</v>
      </c>
      <c r="D14">
        <v>1.97</v>
      </c>
      <c r="E14">
        <v>0.01</v>
      </c>
      <c r="F14">
        <v>713.51</v>
      </c>
    </row>
    <row r="15" spans="1:6" x14ac:dyDescent="0.25">
      <c r="A15" s="18">
        <v>42464.413194444445</v>
      </c>
      <c r="B15" t="s">
        <v>129</v>
      </c>
      <c r="C15">
        <v>1386.4</v>
      </c>
      <c r="D15">
        <v>1.7</v>
      </c>
      <c r="E15">
        <v>0.01</v>
      </c>
      <c r="F15">
        <v>724.15</v>
      </c>
    </row>
    <row r="16" spans="1:6" x14ac:dyDescent="0.25">
      <c r="A16" s="18">
        <v>42464.413194444445</v>
      </c>
      <c r="B16" t="s">
        <v>130</v>
      </c>
      <c r="C16">
        <v>1294.5</v>
      </c>
      <c r="D16">
        <v>1.76</v>
      </c>
      <c r="E16">
        <v>0.01</v>
      </c>
      <c r="F16">
        <v>734.78</v>
      </c>
    </row>
    <row r="17" spans="1:6" x14ac:dyDescent="0.25">
      <c r="A17" s="18">
        <v>42464.413194444445</v>
      </c>
      <c r="B17" t="s">
        <v>131</v>
      </c>
      <c r="C17">
        <v>2361.1999999999998</v>
      </c>
      <c r="D17">
        <v>1.3</v>
      </c>
      <c r="E17">
        <v>0.01</v>
      </c>
      <c r="F17">
        <v>745.43</v>
      </c>
    </row>
    <row r="18" spans="1:6" x14ac:dyDescent="0.25">
      <c r="A18" s="18">
        <v>42464.413194444445</v>
      </c>
      <c r="B18" t="s">
        <v>132</v>
      </c>
      <c r="C18">
        <v>2352.9</v>
      </c>
      <c r="D18">
        <v>1.3</v>
      </c>
      <c r="E18">
        <v>0</v>
      </c>
      <c r="F18">
        <v>756.07</v>
      </c>
    </row>
    <row r="19" spans="1:6" x14ac:dyDescent="0.25">
      <c r="A19" s="18">
        <v>42464.413194444445</v>
      </c>
      <c r="B19" t="s">
        <v>133</v>
      </c>
      <c r="C19">
        <v>2636.2</v>
      </c>
      <c r="D19">
        <v>1.23</v>
      </c>
      <c r="E19">
        <v>0</v>
      </c>
      <c r="F19">
        <v>766.7</v>
      </c>
    </row>
    <row r="20" spans="1:6" x14ac:dyDescent="0.25">
      <c r="A20" s="18">
        <v>42465.597222222219</v>
      </c>
      <c r="B20" t="s">
        <v>116</v>
      </c>
      <c r="C20">
        <v>76.900000000000006</v>
      </c>
      <c r="D20">
        <v>7.21</v>
      </c>
      <c r="E20">
        <v>0.2</v>
      </c>
      <c r="F20">
        <v>585.75</v>
      </c>
    </row>
    <row r="21" spans="1:6" x14ac:dyDescent="0.25">
      <c r="A21" s="18">
        <v>42465.597222222219</v>
      </c>
      <c r="B21" t="s">
        <v>117</v>
      </c>
      <c r="C21">
        <v>72.099999999999994</v>
      </c>
      <c r="D21">
        <v>7.45</v>
      </c>
      <c r="E21">
        <v>0.19</v>
      </c>
      <c r="F21">
        <v>596.37</v>
      </c>
    </row>
    <row r="22" spans="1:6" x14ac:dyDescent="0.25">
      <c r="A22" s="18">
        <v>42465.597222222219</v>
      </c>
      <c r="B22" t="s">
        <v>118</v>
      </c>
      <c r="C22">
        <v>71.599999999999994</v>
      </c>
      <c r="D22">
        <v>7.47</v>
      </c>
      <c r="E22">
        <v>0.14000000000000001</v>
      </c>
      <c r="F22">
        <v>607.01</v>
      </c>
    </row>
    <row r="23" spans="1:6" x14ac:dyDescent="0.25">
      <c r="A23" s="18">
        <v>42465.597222222219</v>
      </c>
      <c r="B23" t="s">
        <v>119</v>
      </c>
      <c r="C23">
        <v>81.7</v>
      </c>
      <c r="D23">
        <v>7</v>
      </c>
      <c r="E23">
        <v>0.13</v>
      </c>
      <c r="F23">
        <v>617.64</v>
      </c>
    </row>
    <row r="24" spans="1:6" x14ac:dyDescent="0.25">
      <c r="A24" s="18">
        <v>42465.597222222219</v>
      </c>
      <c r="B24" t="s">
        <v>120</v>
      </c>
      <c r="C24">
        <v>82.1</v>
      </c>
      <c r="D24">
        <v>6.98</v>
      </c>
      <c r="E24">
        <v>0.1</v>
      </c>
      <c r="F24">
        <v>628.27</v>
      </c>
    </row>
    <row r="25" spans="1:6" x14ac:dyDescent="0.25">
      <c r="A25" s="18">
        <v>42465.597222222219</v>
      </c>
      <c r="B25" t="s">
        <v>121</v>
      </c>
      <c r="C25">
        <v>81.2</v>
      </c>
      <c r="D25">
        <v>7.02</v>
      </c>
      <c r="E25">
        <v>0.12</v>
      </c>
      <c r="F25">
        <v>638.91</v>
      </c>
    </row>
    <row r="26" spans="1:6" x14ac:dyDescent="0.25">
      <c r="A26" s="18">
        <v>42465.597222222219</v>
      </c>
      <c r="B26" t="s">
        <v>122</v>
      </c>
      <c r="C26">
        <v>129.5</v>
      </c>
      <c r="D26">
        <v>5.56</v>
      </c>
      <c r="E26">
        <v>7.0000000000000007E-2</v>
      </c>
      <c r="F26">
        <v>649.64</v>
      </c>
    </row>
    <row r="27" spans="1:6" x14ac:dyDescent="0.25">
      <c r="A27" s="18">
        <v>42465.597222222219</v>
      </c>
      <c r="B27" t="s">
        <v>123</v>
      </c>
      <c r="C27">
        <v>158.6</v>
      </c>
      <c r="D27">
        <v>5.0199999999999996</v>
      </c>
      <c r="E27">
        <v>0.05</v>
      </c>
      <c r="F27">
        <v>660.27</v>
      </c>
    </row>
    <row r="28" spans="1:6" x14ac:dyDescent="0.25">
      <c r="A28" s="18">
        <v>42465.597222222219</v>
      </c>
      <c r="B28" t="s">
        <v>124</v>
      </c>
      <c r="C28">
        <v>134.6</v>
      </c>
      <c r="D28">
        <v>5.45</v>
      </c>
      <c r="E28">
        <v>7.0000000000000007E-2</v>
      </c>
      <c r="F28">
        <v>670.91</v>
      </c>
    </row>
    <row r="29" spans="1:6" x14ac:dyDescent="0.25">
      <c r="A29" s="18">
        <v>42465.597222222219</v>
      </c>
      <c r="B29" t="s">
        <v>125</v>
      </c>
      <c r="C29">
        <v>387.2</v>
      </c>
      <c r="D29">
        <v>3.21</v>
      </c>
      <c r="E29">
        <v>0.02</v>
      </c>
      <c r="F29">
        <v>681.53</v>
      </c>
    </row>
    <row r="30" spans="1:6" x14ac:dyDescent="0.25">
      <c r="A30" s="18">
        <v>42465.597222222219</v>
      </c>
      <c r="B30" t="s">
        <v>126</v>
      </c>
      <c r="C30">
        <v>287.8</v>
      </c>
      <c r="D30">
        <v>3.73</v>
      </c>
      <c r="E30">
        <v>0.03</v>
      </c>
      <c r="F30">
        <v>692.16</v>
      </c>
    </row>
    <row r="31" spans="1:6" x14ac:dyDescent="0.25">
      <c r="A31" s="18">
        <v>42465.597222222219</v>
      </c>
      <c r="B31" t="s">
        <v>127</v>
      </c>
      <c r="C31">
        <v>297.2</v>
      </c>
      <c r="D31">
        <v>3.67</v>
      </c>
      <c r="E31">
        <v>0.04</v>
      </c>
      <c r="F31">
        <v>702.79</v>
      </c>
    </row>
    <row r="32" spans="1:6" x14ac:dyDescent="0.25">
      <c r="A32" s="18">
        <v>42465.597222222219</v>
      </c>
      <c r="B32" t="s">
        <v>128</v>
      </c>
      <c r="C32">
        <v>1013.7</v>
      </c>
      <c r="D32">
        <v>1.99</v>
      </c>
      <c r="E32">
        <v>0.01</v>
      </c>
      <c r="F32">
        <v>713.43</v>
      </c>
    </row>
    <row r="33" spans="1:6" x14ac:dyDescent="0.25">
      <c r="A33" s="18">
        <v>42465.597222222219</v>
      </c>
      <c r="B33" t="s">
        <v>129</v>
      </c>
      <c r="C33">
        <v>1362.9</v>
      </c>
      <c r="D33">
        <v>1.71</v>
      </c>
      <c r="E33">
        <v>0.01</v>
      </c>
      <c r="F33">
        <v>724.07</v>
      </c>
    </row>
    <row r="34" spans="1:6" x14ac:dyDescent="0.25">
      <c r="A34" s="18">
        <v>42465.597222222219</v>
      </c>
      <c r="B34" t="s">
        <v>130</v>
      </c>
      <c r="C34">
        <v>1290.2</v>
      </c>
      <c r="D34">
        <v>1.76</v>
      </c>
      <c r="E34">
        <v>0.01</v>
      </c>
      <c r="F34">
        <v>734.69</v>
      </c>
    </row>
    <row r="35" spans="1:6" x14ac:dyDescent="0.25">
      <c r="A35" s="18">
        <v>42465.597222222219</v>
      </c>
      <c r="B35" t="s">
        <v>131</v>
      </c>
      <c r="C35">
        <v>2427.11</v>
      </c>
      <c r="D35">
        <v>1.28</v>
      </c>
      <c r="E35">
        <v>0.01</v>
      </c>
      <c r="F35">
        <v>745.34</v>
      </c>
    </row>
    <row r="36" spans="1:6" x14ac:dyDescent="0.25">
      <c r="A36" s="18">
        <v>42465.597222222219</v>
      </c>
      <c r="B36" t="s">
        <v>132</v>
      </c>
      <c r="C36">
        <v>2377.4</v>
      </c>
      <c r="D36">
        <v>1.3</v>
      </c>
      <c r="E36">
        <v>0</v>
      </c>
      <c r="F36">
        <v>755.98</v>
      </c>
    </row>
    <row r="37" spans="1:6" x14ac:dyDescent="0.25">
      <c r="A37" s="18">
        <v>42465.597222222219</v>
      </c>
      <c r="B37" t="s">
        <v>133</v>
      </c>
      <c r="C37">
        <v>2645.3</v>
      </c>
      <c r="D37">
        <v>1.23</v>
      </c>
      <c r="E37">
        <v>0</v>
      </c>
      <c r="F37">
        <v>766.64</v>
      </c>
    </row>
    <row r="38" spans="1:6" x14ac:dyDescent="0.25">
      <c r="A38" s="18">
        <v>42466.703472222223</v>
      </c>
      <c r="B38" t="s">
        <v>116</v>
      </c>
      <c r="C38">
        <v>76.3</v>
      </c>
      <c r="D38">
        <v>7.24</v>
      </c>
      <c r="E38">
        <v>0.18</v>
      </c>
      <c r="F38">
        <v>585.66</v>
      </c>
    </row>
    <row r="39" spans="1:6" x14ac:dyDescent="0.25">
      <c r="A39" s="18">
        <v>42466.703472222223</v>
      </c>
      <c r="B39" t="s">
        <v>117</v>
      </c>
      <c r="C39">
        <v>75.099999999999994</v>
      </c>
      <c r="D39">
        <v>7.3</v>
      </c>
      <c r="E39">
        <v>0.17</v>
      </c>
      <c r="F39">
        <v>596.29</v>
      </c>
    </row>
    <row r="40" spans="1:6" x14ac:dyDescent="0.25">
      <c r="A40" s="18">
        <v>42466.703472222223</v>
      </c>
      <c r="B40" t="s">
        <v>118</v>
      </c>
      <c r="C40">
        <v>77.599999999999994</v>
      </c>
      <c r="D40">
        <v>7.18</v>
      </c>
      <c r="E40">
        <v>0.12</v>
      </c>
      <c r="F40">
        <v>606.91999999999996</v>
      </c>
    </row>
    <row r="41" spans="1:6" x14ac:dyDescent="0.25">
      <c r="A41" s="18">
        <v>42466.703472222223</v>
      </c>
      <c r="B41" t="s">
        <v>119</v>
      </c>
      <c r="C41">
        <v>77.400000000000006</v>
      </c>
      <c r="D41">
        <v>7.19</v>
      </c>
      <c r="E41">
        <v>0.12</v>
      </c>
      <c r="F41">
        <v>617.55999999999995</v>
      </c>
    </row>
    <row r="42" spans="1:6" x14ac:dyDescent="0.25">
      <c r="A42" s="18">
        <v>42466.703472222223</v>
      </c>
      <c r="B42" t="s">
        <v>120</v>
      </c>
      <c r="C42">
        <v>83.7</v>
      </c>
      <c r="D42">
        <v>6.91</v>
      </c>
      <c r="E42">
        <v>0.12</v>
      </c>
      <c r="F42">
        <v>628.19000000000005</v>
      </c>
    </row>
    <row r="43" spans="1:6" x14ac:dyDescent="0.25">
      <c r="A43" s="18">
        <v>42466.703472222223</v>
      </c>
      <c r="B43" t="s">
        <v>121</v>
      </c>
      <c r="C43">
        <v>80.599999999999994</v>
      </c>
      <c r="D43">
        <v>7.04</v>
      </c>
      <c r="E43">
        <v>0.14000000000000001</v>
      </c>
      <c r="F43">
        <v>638.82000000000005</v>
      </c>
    </row>
    <row r="44" spans="1:6" x14ac:dyDescent="0.25">
      <c r="A44" s="18">
        <v>42466.703472222223</v>
      </c>
      <c r="B44" t="s">
        <v>122</v>
      </c>
      <c r="C44">
        <v>128.1</v>
      </c>
      <c r="D44">
        <v>5.59</v>
      </c>
      <c r="E44">
        <v>7.0000000000000007E-2</v>
      </c>
      <c r="F44">
        <v>649.55999999999995</v>
      </c>
    </row>
    <row r="45" spans="1:6" x14ac:dyDescent="0.25">
      <c r="A45" s="18">
        <v>42466.703472222223</v>
      </c>
      <c r="B45" t="s">
        <v>123</v>
      </c>
      <c r="C45">
        <v>157</v>
      </c>
      <c r="D45">
        <v>5.05</v>
      </c>
      <c r="E45">
        <v>0.05</v>
      </c>
      <c r="F45">
        <v>660.19</v>
      </c>
    </row>
    <row r="46" spans="1:6" x14ac:dyDescent="0.25">
      <c r="A46" s="18">
        <v>42466.703472222223</v>
      </c>
      <c r="B46" t="s">
        <v>124</v>
      </c>
      <c r="C46">
        <v>136.19999999999999</v>
      </c>
      <c r="D46">
        <v>5.42</v>
      </c>
      <c r="E46">
        <v>0.08</v>
      </c>
      <c r="F46">
        <v>670.82</v>
      </c>
    </row>
    <row r="47" spans="1:6" x14ac:dyDescent="0.25">
      <c r="A47" s="18">
        <v>42466.703472222223</v>
      </c>
      <c r="B47" t="s">
        <v>125</v>
      </c>
      <c r="C47">
        <v>391.4</v>
      </c>
      <c r="D47">
        <v>3.2</v>
      </c>
      <c r="E47">
        <v>0.02</v>
      </c>
      <c r="F47">
        <v>681.46</v>
      </c>
    </row>
    <row r="48" spans="1:6" x14ac:dyDescent="0.25">
      <c r="A48" s="18">
        <v>42466.703472222223</v>
      </c>
      <c r="B48" t="s">
        <v>126</v>
      </c>
      <c r="C48">
        <v>295</v>
      </c>
      <c r="D48">
        <v>3.68</v>
      </c>
      <c r="E48">
        <v>0.03</v>
      </c>
      <c r="F48">
        <v>692.09</v>
      </c>
    </row>
    <row r="49" spans="1:6" x14ac:dyDescent="0.25">
      <c r="A49" s="18">
        <v>42466.703472222223</v>
      </c>
      <c r="B49" t="s">
        <v>127</v>
      </c>
      <c r="C49">
        <v>290.5</v>
      </c>
      <c r="D49">
        <v>3.71</v>
      </c>
      <c r="E49">
        <v>0.03</v>
      </c>
      <c r="F49">
        <v>702.73</v>
      </c>
    </row>
    <row r="50" spans="1:6" x14ac:dyDescent="0.25">
      <c r="A50" s="18">
        <v>42466.703472222223</v>
      </c>
      <c r="B50" t="s">
        <v>128</v>
      </c>
      <c r="C50">
        <v>1022.3</v>
      </c>
      <c r="D50">
        <v>1.98</v>
      </c>
      <c r="E50">
        <v>0.01</v>
      </c>
      <c r="F50">
        <v>713.36</v>
      </c>
    </row>
    <row r="51" spans="1:6" x14ac:dyDescent="0.25">
      <c r="A51" s="18">
        <v>42466.703472222223</v>
      </c>
      <c r="B51" t="s">
        <v>129</v>
      </c>
      <c r="C51">
        <v>1359.3</v>
      </c>
      <c r="D51">
        <v>1.72</v>
      </c>
      <c r="E51">
        <v>0.01</v>
      </c>
      <c r="F51">
        <v>724</v>
      </c>
    </row>
    <row r="52" spans="1:6" x14ac:dyDescent="0.25">
      <c r="A52" s="18">
        <v>42466.703472222223</v>
      </c>
      <c r="B52" t="s">
        <v>130</v>
      </c>
      <c r="C52">
        <v>1273.3</v>
      </c>
      <c r="D52">
        <v>1.77</v>
      </c>
      <c r="E52">
        <v>0.01</v>
      </c>
      <c r="F52">
        <v>734.65</v>
      </c>
    </row>
    <row r="53" spans="1:6" x14ac:dyDescent="0.25">
      <c r="A53" s="18">
        <v>42466.703472222223</v>
      </c>
      <c r="B53" t="s">
        <v>131</v>
      </c>
      <c r="C53">
        <v>2413.6</v>
      </c>
      <c r="D53">
        <v>1.29</v>
      </c>
      <c r="E53">
        <v>0.01</v>
      </c>
      <c r="F53">
        <v>745.27</v>
      </c>
    </row>
    <row r="54" spans="1:6" x14ac:dyDescent="0.25">
      <c r="A54" s="18">
        <v>42466.703472222223</v>
      </c>
      <c r="B54" t="s">
        <v>132</v>
      </c>
      <c r="C54">
        <v>2378.5</v>
      </c>
      <c r="D54">
        <v>1.3</v>
      </c>
      <c r="E54">
        <v>0</v>
      </c>
      <c r="F54">
        <v>755.92</v>
      </c>
    </row>
    <row r="55" spans="1:6" x14ac:dyDescent="0.25">
      <c r="A55" s="18">
        <v>42466.703472222223</v>
      </c>
      <c r="B55" t="s">
        <v>133</v>
      </c>
      <c r="C55">
        <v>2633.9</v>
      </c>
      <c r="D55">
        <v>1.23</v>
      </c>
      <c r="E55">
        <v>0</v>
      </c>
      <c r="F55">
        <v>766.57</v>
      </c>
    </row>
    <row r="56" spans="1:6" x14ac:dyDescent="0.25">
      <c r="A56" s="18">
        <v>42471.644444444442</v>
      </c>
      <c r="B56" t="s">
        <v>116</v>
      </c>
      <c r="C56">
        <v>75.3</v>
      </c>
      <c r="D56">
        <v>7.29</v>
      </c>
      <c r="E56">
        <v>0.21</v>
      </c>
      <c r="F56">
        <v>585.63</v>
      </c>
    </row>
    <row r="57" spans="1:6" x14ac:dyDescent="0.25">
      <c r="A57" s="18">
        <v>42471.644444444442</v>
      </c>
      <c r="B57" t="s">
        <v>117</v>
      </c>
      <c r="C57">
        <v>75.900000000000006</v>
      </c>
      <c r="D57">
        <v>7.26</v>
      </c>
      <c r="E57">
        <v>0.15</v>
      </c>
      <c r="F57">
        <v>596.26</v>
      </c>
    </row>
    <row r="58" spans="1:6" x14ac:dyDescent="0.25">
      <c r="A58" s="18">
        <v>42471.644444444442</v>
      </c>
      <c r="B58" t="s">
        <v>118</v>
      </c>
      <c r="C58">
        <v>73.099999999999994</v>
      </c>
      <c r="D58">
        <v>7.4</v>
      </c>
      <c r="E58">
        <v>0.09</v>
      </c>
      <c r="F58">
        <v>606.89</v>
      </c>
    </row>
    <row r="59" spans="1:6" x14ac:dyDescent="0.25">
      <c r="A59" s="18">
        <v>42471.644444444442</v>
      </c>
      <c r="B59" t="s">
        <v>119</v>
      </c>
      <c r="C59">
        <v>76.2</v>
      </c>
      <c r="D59">
        <v>7.25</v>
      </c>
      <c r="E59">
        <v>0.15</v>
      </c>
      <c r="F59">
        <v>617.53</v>
      </c>
    </row>
    <row r="60" spans="1:6" x14ac:dyDescent="0.25">
      <c r="A60" s="18">
        <v>42471.644444444442</v>
      </c>
      <c r="B60" t="s">
        <v>120</v>
      </c>
      <c r="C60">
        <v>82</v>
      </c>
      <c r="D60">
        <v>6.98</v>
      </c>
      <c r="E60">
        <v>0.08</v>
      </c>
      <c r="F60">
        <v>628.16</v>
      </c>
    </row>
    <row r="61" spans="1:6" x14ac:dyDescent="0.25">
      <c r="A61" s="18">
        <v>42471.644444444442</v>
      </c>
      <c r="B61" t="s">
        <v>121</v>
      </c>
      <c r="C61">
        <v>87.5</v>
      </c>
      <c r="D61">
        <v>6.76</v>
      </c>
      <c r="E61">
        <v>0.33</v>
      </c>
      <c r="F61">
        <v>638.80999999999995</v>
      </c>
    </row>
    <row r="62" spans="1:6" x14ac:dyDescent="0.25">
      <c r="A62" s="18">
        <v>42471.644444444442</v>
      </c>
      <c r="B62" t="s">
        <v>122</v>
      </c>
      <c r="C62">
        <v>128.19999999999999</v>
      </c>
      <c r="D62">
        <v>5.59</v>
      </c>
      <c r="E62">
        <v>0.06</v>
      </c>
      <c r="F62">
        <v>649.54</v>
      </c>
    </row>
    <row r="63" spans="1:6" x14ac:dyDescent="0.25">
      <c r="A63" s="18">
        <v>42471.644444444442</v>
      </c>
      <c r="B63" t="s">
        <v>123</v>
      </c>
      <c r="C63">
        <v>160.80000000000001</v>
      </c>
      <c r="D63">
        <v>4.99</v>
      </c>
      <c r="E63">
        <v>0.04</v>
      </c>
      <c r="F63">
        <v>660.18</v>
      </c>
    </row>
    <row r="64" spans="1:6" x14ac:dyDescent="0.25">
      <c r="A64" s="18">
        <v>42471.644444444442</v>
      </c>
      <c r="B64" t="s">
        <v>124</v>
      </c>
      <c r="C64">
        <v>140.9</v>
      </c>
      <c r="D64">
        <v>5.33</v>
      </c>
      <c r="E64">
        <v>0.06</v>
      </c>
      <c r="F64">
        <v>670.81</v>
      </c>
    </row>
    <row r="65" spans="1:6" x14ac:dyDescent="0.25">
      <c r="A65" s="18">
        <v>42471.644444444442</v>
      </c>
      <c r="B65" t="s">
        <v>125</v>
      </c>
      <c r="C65">
        <v>365.5</v>
      </c>
      <c r="D65">
        <v>3.31</v>
      </c>
      <c r="E65">
        <v>0.02</v>
      </c>
      <c r="F65">
        <v>681.43</v>
      </c>
    </row>
    <row r="66" spans="1:6" x14ac:dyDescent="0.25">
      <c r="A66" s="18">
        <v>42471.644444444442</v>
      </c>
      <c r="B66" t="s">
        <v>126</v>
      </c>
      <c r="C66">
        <v>301.5</v>
      </c>
      <c r="D66">
        <v>3.64</v>
      </c>
      <c r="E66">
        <v>0.03</v>
      </c>
      <c r="F66">
        <v>692.06</v>
      </c>
    </row>
    <row r="67" spans="1:6" x14ac:dyDescent="0.25">
      <c r="A67" s="18">
        <v>42471.644444444442</v>
      </c>
      <c r="B67" t="s">
        <v>127</v>
      </c>
      <c r="C67">
        <v>289.7</v>
      </c>
      <c r="D67">
        <v>3.72</v>
      </c>
      <c r="E67">
        <v>0.03</v>
      </c>
      <c r="F67">
        <v>702.69</v>
      </c>
    </row>
    <row r="68" spans="1:6" x14ac:dyDescent="0.25">
      <c r="A68" s="18">
        <v>42471.644444444442</v>
      </c>
      <c r="B68" t="s">
        <v>128</v>
      </c>
      <c r="C68">
        <v>1003</v>
      </c>
      <c r="D68">
        <v>2</v>
      </c>
      <c r="E68">
        <v>0.01</v>
      </c>
      <c r="F68">
        <v>713.33</v>
      </c>
    </row>
    <row r="69" spans="1:6" x14ac:dyDescent="0.25">
      <c r="A69" s="18">
        <v>42471.644444444442</v>
      </c>
      <c r="B69" t="s">
        <v>129</v>
      </c>
      <c r="C69">
        <v>1401.1</v>
      </c>
      <c r="D69">
        <v>1.69</v>
      </c>
      <c r="E69">
        <v>0.01</v>
      </c>
      <c r="F69">
        <v>723.97</v>
      </c>
    </row>
    <row r="70" spans="1:6" x14ac:dyDescent="0.25">
      <c r="A70" s="18">
        <v>42471.644444444442</v>
      </c>
      <c r="B70" t="s">
        <v>130</v>
      </c>
      <c r="C70">
        <v>1265.2</v>
      </c>
      <c r="D70">
        <v>1.78</v>
      </c>
      <c r="E70">
        <v>0.01</v>
      </c>
      <c r="F70">
        <v>734.62</v>
      </c>
    </row>
    <row r="71" spans="1:6" x14ac:dyDescent="0.25">
      <c r="A71" s="18">
        <v>42471.644444444442</v>
      </c>
      <c r="B71" t="s">
        <v>131</v>
      </c>
      <c r="C71">
        <v>2401.1999999999998</v>
      </c>
      <c r="D71">
        <v>1.29</v>
      </c>
      <c r="E71">
        <v>0.01</v>
      </c>
      <c r="F71">
        <v>745.26</v>
      </c>
    </row>
    <row r="72" spans="1:6" x14ac:dyDescent="0.25">
      <c r="A72" s="18">
        <v>42471.644444444442</v>
      </c>
      <c r="B72" t="s">
        <v>132</v>
      </c>
      <c r="C72">
        <v>2369.4</v>
      </c>
      <c r="D72">
        <v>1.3</v>
      </c>
      <c r="E72">
        <v>0</v>
      </c>
      <c r="F72">
        <v>755.9</v>
      </c>
    </row>
    <row r="73" spans="1:6" x14ac:dyDescent="0.25">
      <c r="A73" s="18">
        <v>42471.644444444442</v>
      </c>
      <c r="B73" t="s">
        <v>133</v>
      </c>
      <c r="C73">
        <v>2625.9</v>
      </c>
      <c r="D73">
        <v>1.23</v>
      </c>
      <c r="E73">
        <v>0</v>
      </c>
      <c r="F73">
        <v>766.53</v>
      </c>
    </row>
    <row r="74" spans="1:6" x14ac:dyDescent="0.25">
      <c r="A74" s="18">
        <v>42472.4375</v>
      </c>
      <c r="B74" t="s">
        <v>116</v>
      </c>
      <c r="C74">
        <v>74.099999999999994</v>
      </c>
      <c r="D74">
        <v>7.35</v>
      </c>
      <c r="E74">
        <v>0.21</v>
      </c>
      <c r="F74">
        <v>585.58000000000004</v>
      </c>
    </row>
    <row r="75" spans="1:6" x14ac:dyDescent="0.25">
      <c r="A75" s="18">
        <v>42472.4375</v>
      </c>
      <c r="B75" t="s">
        <v>117</v>
      </c>
      <c r="C75">
        <v>75.099999999999994</v>
      </c>
      <c r="D75">
        <v>7.3</v>
      </c>
      <c r="E75">
        <v>0.23</v>
      </c>
      <c r="F75">
        <v>596.21</v>
      </c>
    </row>
    <row r="76" spans="1:6" x14ac:dyDescent="0.25">
      <c r="A76" s="18">
        <v>42472.4375</v>
      </c>
      <c r="B76" t="s">
        <v>118</v>
      </c>
      <c r="C76">
        <v>76.400000000000006</v>
      </c>
      <c r="D76">
        <v>7.24</v>
      </c>
      <c r="E76">
        <v>0.11</v>
      </c>
      <c r="F76">
        <v>606.84</v>
      </c>
    </row>
    <row r="77" spans="1:6" x14ac:dyDescent="0.25">
      <c r="A77" s="18">
        <v>42472.4375</v>
      </c>
      <c r="B77" t="s">
        <v>119</v>
      </c>
      <c r="C77">
        <v>83.5</v>
      </c>
      <c r="D77">
        <v>6.92</v>
      </c>
      <c r="E77">
        <v>0.16</v>
      </c>
      <c r="F77">
        <v>617.47</v>
      </c>
    </row>
    <row r="78" spans="1:6" x14ac:dyDescent="0.25">
      <c r="A78" s="18">
        <v>42472.4375</v>
      </c>
      <c r="B78" t="s">
        <v>120</v>
      </c>
      <c r="C78">
        <v>81.599999999999994</v>
      </c>
      <c r="D78">
        <v>7</v>
      </c>
      <c r="E78">
        <v>0.1</v>
      </c>
      <c r="F78">
        <v>628.11</v>
      </c>
    </row>
    <row r="79" spans="1:6" x14ac:dyDescent="0.25">
      <c r="A79" s="18">
        <v>42472.4375</v>
      </c>
      <c r="B79" t="s">
        <v>121</v>
      </c>
      <c r="C79">
        <v>79.2</v>
      </c>
      <c r="D79">
        <v>7.11</v>
      </c>
      <c r="E79">
        <v>0.36</v>
      </c>
      <c r="F79">
        <v>638.75</v>
      </c>
    </row>
    <row r="80" spans="1:6" x14ac:dyDescent="0.25">
      <c r="A80" s="18">
        <v>42472.4375</v>
      </c>
      <c r="B80" t="s">
        <v>122</v>
      </c>
      <c r="C80">
        <v>133.1</v>
      </c>
      <c r="D80">
        <v>5.48</v>
      </c>
      <c r="E80">
        <v>0.06</v>
      </c>
      <c r="F80">
        <v>649.49</v>
      </c>
    </row>
    <row r="81" spans="1:6" x14ac:dyDescent="0.25">
      <c r="A81" s="18">
        <v>42472.4375</v>
      </c>
      <c r="B81" t="s">
        <v>123</v>
      </c>
      <c r="C81">
        <v>159.4</v>
      </c>
      <c r="D81">
        <v>5.01</v>
      </c>
      <c r="E81">
        <v>0.05</v>
      </c>
      <c r="F81">
        <v>660.11</v>
      </c>
    </row>
    <row r="82" spans="1:6" x14ac:dyDescent="0.25">
      <c r="A82" s="18">
        <v>42472.4375</v>
      </c>
      <c r="B82" t="s">
        <v>124</v>
      </c>
      <c r="C82">
        <v>144</v>
      </c>
      <c r="D82">
        <v>5.27</v>
      </c>
      <c r="E82">
        <v>0.05</v>
      </c>
      <c r="F82">
        <v>670.74</v>
      </c>
    </row>
    <row r="83" spans="1:6" x14ac:dyDescent="0.25">
      <c r="A83" s="18">
        <v>42472.4375</v>
      </c>
      <c r="B83" t="s">
        <v>125</v>
      </c>
      <c r="C83">
        <v>378</v>
      </c>
      <c r="D83">
        <v>3.25</v>
      </c>
      <c r="E83">
        <v>0.02</v>
      </c>
      <c r="F83">
        <v>681.38</v>
      </c>
    </row>
    <row r="84" spans="1:6" x14ac:dyDescent="0.25">
      <c r="A84" s="18">
        <v>42472.4375</v>
      </c>
      <c r="B84" t="s">
        <v>126</v>
      </c>
      <c r="C84">
        <v>307.39999999999998</v>
      </c>
      <c r="D84">
        <v>3.61</v>
      </c>
      <c r="E84">
        <v>0.02</v>
      </c>
      <c r="F84">
        <v>692.01</v>
      </c>
    </row>
    <row r="85" spans="1:6" x14ac:dyDescent="0.25">
      <c r="A85" s="18">
        <v>42472.4375</v>
      </c>
      <c r="B85" t="s">
        <v>127</v>
      </c>
      <c r="C85">
        <v>279.2</v>
      </c>
      <c r="D85">
        <v>3.79</v>
      </c>
      <c r="E85">
        <v>0.03</v>
      </c>
      <c r="F85">
        <v>702.64</v>
      </c>
    </row>
    <row r="86" spans="1:6" x14ac:dyDescent="0.25">
      <c r="A86" s="18">
        <v>42472.4375</v>
      </c>
      <c r="B86" t="s">
        <v>128</v>
      </c>
      <c r="C86">
        <v>1003.4</v>
      </c>
      <c r="D86">
        <v>2</v>
      </c>
      <c r="E86">
        <v>0.01</v>
      </c>
      <c r="F86">
        <v>713.28</v>
      </c>
    </row>
    <row r="87" spans="1:6" x14ac:dyDescent="0.25">
      <c r="A87" s="18">
        <v>42472.4375</v>
      </c>
      <c r="B87" t="s">
        <v>129</v>
      </c>
      <c r="C87">
        <v>1391.8</v>
      </c>
      <c r="D87">
        <v>1.7</v>
      </c>
      <c r="E87">
        <v>0.01</v>
      </c>
      <c r="F87">
        <v>723.91</v>
      </c>
    </row>
    <row r="88" spans="1:6" x14ac:dyDescent="0.25">
      <c r="A88" s="18">
        <v>42472.4375</v>
      </c>
      <c r="B88" t="s">
        <v>130</v>
      </c>
      <c r="C88">
        <v>1273</v>
      </c>
      <c r="D88">
        <v>1.77</v>
      </c>
      <c r="E88">
        <v>0.02</v>
      </c>
      <c r="F88">
        <v>734.55</v>
      </c>
    </row>
    <row r="89" spans="1:6" x14ac:dyDescent="0.25">
      <c r="A89" s="18">
        <v>42472.4375</v>
      </c>
      <c r="B89" t="s">
        <v>131</v>
      </c>
      <c r="C89">
        <v>2414.6</v>
      </c>
      <c r="D89">
        <v>1.29</v>
      </c>
      <c r="E89">
        <v>0.01</v>
      </c>
      <c r="F89">
        <v>745.19</v>
      </c>
    </row>
    <row r="90" spans="1:6" x14ac:dyDescent="0.25">
      <c r="A90" s="18">
        <v>42472.4375</v>
      </c>
      <c r="B90" t="s">
        <v>132</v>
      </c>
      <c r="C90">
        <v>2408.5</v>
      </c>
      <c r="D90">
        <v>1.29</v>
      </c>
      <c r="E90">
        <v>0</v>
      </c>
      <c r="F90">
        <v>755.83</v>
      </c>
    </row>
    <row r="91" spans="1:6" x14ac:dyDescent="0.25">
      <c r="A91" s="18">
        <v>42472.4375</v>
      </c>
      <c r="B91" t="s">
        <v>133</v>
      </c>
      <c r="C91">
        <v>2656.9</v>
      </c>
      <c r="D91">
        <v>1.23</v>
      </c>
      <c r="E91">
        <v>0.01</v>
      </c>
      <c r="F91">
        <v>766.47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F2" sqref="F2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113</v>
      </c>
      <c r="C1" t="s">
        <v>23</v>
      </c>
      <c r="D1" t="s">
        <v>21</v>
      </c>
      <c r="E1" t="s">
        <v>110</v>
      </c>
      <c r="F1" t="s">
        <v>111</v>
      </c>
      <c r="G1" t="s">
        <v>112</v>
      </c>
    </row>
    <row r="2" spans="1:7" x14ac:dyDescent="0.25">
      <c r="A2" t="s">
        <v>116</v>
      </c>
      <c r="B2" s="15" t="s">
        <v>114</v>
      </c>
      <c r="C2">
        <v>1.278</v>
      </c>
      <c r="D2">
        <v>9.2348280000000005E-2</v>
      </c>
      <c r="E2" s="1" t="s">
        <v>51</v>
      </c>
      <c r="F2" s="1">
        <f>(C2-'Calibration Data'!$L$29)/'Calibration Data'!$L$30</f>
        <v>0.14662239469839428</v>
      </c>
      <c r="G2" s="17">
        <f>'Calibration Data'!$L$19/ABS('Calibration Data'!$L$30)*SQRT(1/'Calibration Data'!$L$20+1+(F2-AVERAGE('Calibration Data'!$L$3:$L$9))^2/('Calibration Data'!$L$30^2*SUM('Calibration Data'!$J$3:$J$8)))</f>
        <v>0.12664749243078838</v>
      </c>
    </row>
    <row r="3" spans="1:7" x14ac:dyDescent="0.25">
      <c r="A3" t="s">
        <v>117</v>
      </c>
      <c r="B3" s="15" t="s">
        <v>114</v>
      </c>
      <c r="C3">
        <v>1.2373333333333301</v>
      </c>
      <c r="D3">
        <v>9.0845013333333294E-2</v>
      </c>
      <c r="E3" s="1" t="s">
        <v>51</v>
      </c>
      <c r="F3" s="1">
        <f>(C3-'Calibration Data'!$L$29)/'Calibration Data'!$L$30</f>
        <v>0.14180679035665764</v>
      </c>
      <c r="G3" s="17">
        <f>'Calibration Data'!$L$19/ABS('Calibration Data'!$L$30)*SQRT(1/'Calibration Data'!$L$20+1+(F3-AVERAGE('Calibration Data'!$L$3:$L$9))^2/('Calibration Data'!$L$30^2*SUM('Calibration Data'!$J$3:$J$8)))</f>
        <v>0.12664754052704297</v>
      </c>
    </row>
    <row r="4" spans="1:7" x14ac:dyDescent="0.25">
      <c r="A4" t="s">
        <v>118</v>
      </c>
      <c r="B4" s="15" t="s">
        <v>114</v>
      </c>
      <c r="C4">
        <v>1.2426666666666699</v>
      </c>
      <c r="D4">
        <v>9.1062613333333306E-2</v>
      </c>
      <c r="E4" s="1" t="s">
        <v>51</v>
      </c>
      <c r="F4" s="1">
        <f>(C4-'Calibration Data'!$L$29)/'Calibration Data'!$L$30</f>
        <v>0.14243834502442709</v>
      </c>
      <c r="G4" s="17">
        <f>'Calibration Data'!$L$19/ABS('Calibration Data'!$L$30)*SQRT(1/'Calibration Data'!$L$20+1+(F4-AVERAGE('Calibration Data'!$L$3:$L$9))^2/('Calibration Data'!$L$30^2*SUM('Calibration Data'!$J$3:$J$8)))</f>
        <v>0.1266475342192343</v>
      </c>
    </row>
    <row r="5" spans="1:7" x14ac:dyDescent="0.25">
      <c r="A5" t="s">
        <v>119</v>
      </c>
      <c r="B5" s="15" t="s">
        <v>114</v>
      </c>
      <c r="C5">
        <v>1.321</v>
      </c>
      <c r="D5">
        <v>9.3896679999999996E-2</v>
      </c>
      <c r="E5" s="1" t="s">
        <v>51</v>
      </c>
      <c r="F5" s="1">
        <f>(C5-'Calibration Data'!$L$29)/'Calibration Data'!$L$30</f>
        <v>0.15171430420727933</v>
      </c>
      <c r="G5" s="17">
        <f>'Calibration Data'!$L$19/ABS('Calibration Data'!$L$30)*SQRT(1/'Calibration Data'!$L$20+1+(F5-AVERAGE('Calibration Data'!$L$3:$L$9))^2/('Calibration Data'!$L$30^2*SUM('Calibration Data'!$J$3:$J$8)))</f>
        <v>0.12664744157688226</v>
      </c>
    </row>
    <row r="6" spans="1:7" x14ac:dyDescent="0.25">
      <c r="A6" t="s">
        <v>120</v>
      </c>
      <c r="B6" s="15" t="s">
        <v>114</v>
      </c>
      <c r="C6">
        <v>1.369</v>
      </c>
      <c r="D6">
        <v>9.5501440000000007E-2</v>
      </c>
      <c r="E6" s="1" t="s">
        <v>51</v>
      </c>
      <c r="F6" s="1">
        <f>(C6-'Calibration Data'!$L$29)/'Calibration Data'!$L$30</f>
        <v>0.15739829621719756</v>
      </c>
      <c r="G6" s="17">
        <f>'Calibration Data'!$L$19/ABS('Calibration Data'!$L$30)*SQRT(1/'Calibration Data'!$L$20+1+(F6-AVERAGE('Calibration Data'!$L$3:$L$9))^2/('Calibration Data'!$L$30^2*SUM('Calibration Data'!$J$3:$J$8)))</f>
        <v>0.12664738481212276</v>
      </c>
    </row>
    <row r="7" spans="1:7" x14ac:dyDescent="0.25">
      <c r="A7" t="s">
        <v>121</v>
      </c>
      <c r="B7" s="15" t="s">
        <v>114</v>
      </c>
      <c r="C7">
        <v>1.34866666666667</v>
      </c>
      <c r="D7">
        <v>9.4892186666666697E-2</v>
      </c>
      <c r="E7" s="1" t="s">
        <v>51</v>
      </c>
      <c r="F7" s="1">
        <f>(C7-'Calibration Data'!$L$29)/'Calibration Data'!$L$30</f>
        <v>0.15499049404632981</v>
      </c>
      <c r="G7" s="17">
        <f>'Calibration Data'!$L$19/ABS('Calibration Data'!$L$30)*SQRT(1/'Calibration Data'!$L$20+1+(F7-AVERAGE('Calibration Data'!$L$3:$L$9))^2/('Calibration Data'!$L$30^2*SUM('Calibration Data'!$J$3:$J$8)))</f>
        <v>0.12664740885799761</v>
      </c>
    </row>
    <row r="8" spans="1:7" ht="15.75" customHeight="1" x14ac:dyDescent="0.25">
      <c r="A8" t="s">
        <v>122</v>
      </c>
      <c r="B8" s="15" t="s">
        <v>114</v>
      </c>
      <c r="C8">
        <v>2.1709999999999998</v>
      </c>
      <c r="D8">
        <v>0.12036023999999999</v>
      </c>
      <c r="E8" s="1" t="s">
        <v>51</v>
      </c>
      <c r="F8" s="1">
        <f>(C8-'Calibration Data'!$L$29)/'Calibration Data'!$L$30</f>
        <v>0.25236832938291426</v>
      </c>
      <c r="G8" s="17">
        <f>'Calibration Data'!$L$19/ABS('Calibration Data'!$L$30)*SQRT(1/'Calibration Data'!$L$20+1+(F8-AVERAGE('Calibration Data'!$L$3:$L$9))^2/('Calibration Data'!$L$30^2*SUM('Calibration Data'!$J$3:$J$8)))</f>
        <v>0.12664643674082965</v>
      </c>
    </row>
    <row r="9" spans="1:7" x14ac:dyDescent="0.25">
      <c r="A9" t="s">
        <v>123</v>
      </c>
      <c r="B9" s="15" t="s">
        <v>114</v>
      </c>
      <c r="C9">
        <v>2.6453333333333302</v>
      </c>
      <c r="D9">
        <v>0.132795733333333</v>
      </c>
      <c r="E9" s="1" t="s">
        <v>51</v>
      </c>
      <c r="F9" s="1">
        <f>(C9-'Calibration Data'!$L$29)/'Calibration Data'!$L$30</f>
        <v>0.30853722264759176</v>
      </c>
      <c r="G9" s="17">
        <f>'Calibration Data'!$L$19/ABS('Calibration Data'!$L$30)*SQRT(1/'Calibration Data'!$L$20+1+(F9-AVERAGE('Calibration Data'!$L$3:$L$9))^2/('Calibration Data'!$L$30^2*SUM('Calibration Data'!$J$3:$J$8)))</f>
        <v>0.12664587634683683</v>
      </c>
    </row>
    <row r="10" spans="1:7" x14ac:dyDescent="0.25">
      <c r="A10" t="s">
        <v>124</v>
      </c>
      <c r="B10" s="15" t="s">
        <v>114</v>
      </c>
      <c r="C10">
        <v>2.29666666666667</v>
      </c>
      <c r="D10">
        <v>0.123790333333333</v>
      </c>
      <c r="E10" s="1" t="s">
        <v>51</v>
      </c>
      <c r="F10" s="1">
        <f>(C10-'Calibration Data'!$L$29)/'Calibration Data'!$L$30</f>
        <v>0.26724933624221442</v>
      </c>
      <c r="G10" s="17">
        <f>'Calibration Data'!$L$19/ABS('Calibration Data'!$L$30)*SQRT(1/'Calibration Data'!$L$20+1+(F10-AVERAGE('Calibration Data'!$L$3:$L$9))^2/('Calibration Data'!$L$30^2*SUM('Calibration Data'!$J$3:$J$8)))</f>
        <v>0.12664628824984403</v>
      </c>
    </row>
    <row r="11" spans="1:7" x14ac:dyDescent="0.25">
      <c r="A11" t="s">
        <v>125</v>
      </c>
      <c r="B11" s="15" t="s">
        <v>114</v>
      </c>
      <c r="C11">
        <v>6.3456666666666699</v>
      </c>
      <c r="D11">
        <v>0.205726513333333</v>
      </c>
      <c r="E11" s="1" t="s">
        <v>51</v>
      </c>
      <c r="F11" s="1">
        <f>(C11-'Calibration Data'!$L$29)/'Calibration Data'!$L$30</f>
        <v>0.74671774557885662</v>
      </c>
      <c r="G11" s="17">
        <f>'Calibration Data'!$L$19/ABS('Calibration Data'!$L$30)*SQRT(1/'Calibration Data'!$L$20+1+(F11-AVERAGE('Calibration Data'!$L$3:$L$9))^2/('Calibration Data'!$L$30^2*SUM('Calibration Data'!$J$3:$J$8)))</f>
        <v>0.12664151310167851</v>
      </c>
    </row>
    <row r="12" spans="1:7" x14ac:dyDescent="0.25">
      <c r="A12" t="s">
        <v>126</v>
      </c>
      <c r="B12" s="15" t="s">
        <v>114</v>
      </c>
      <c r="C12">
        <v>4.9950000000000001</v>
      </c>
      <c r="D12">
        <v>0.18251729999999999</v>
      </c>
      <c r="E12" s="1" t="s">
        <v>51</v>
      </c>
      <c r="F12" s="1">
        <f>(C12-'Calibration Data'!$L$29)/'Calibration Data'!$L$30</f>
        <v>0.58677652596643559</v>
      </c>
      <c r="G12" s="17">
        <f>'Calibration Data'!$L$19/ABS('Calibration Data'!$L$30)*SQRT(1/'Calibration Data'!$L$20+1+(F12-AVERAGE('Calibration Data'!$L$3:$L$9))^2/('Calibration Data'!$L$30^2*SUM('Calibration Data'!$J$3:$J$8)))</f>
        <v>0.1266431040015214</v>
      </c>
    </row>
    <row r="13" spans="1:7" x14ac:dyDescent="0.25">
      <c r="A13" t="s">
        <v>127</v>
      </c>
      <c r="B13" s="15" t="s">
        <v>114</v>
      </c>
      <c r="C13">
        <v>4.8343333333333298</v>
      </c>
      <c r="D13">
        <v>0.17964382666666701</v>
      </c>
      <c r="E13" s="1" t="s">
        <v>51</v>
      </c>
      <c r="F13" s="1">
        <f>(C13-'Calibration Data'!$L$29)/'Calibration Data'!$L$30</f>
        <v>0.56775094159990336</v>
      </c>
      <c r="G13" s="17">
        <f>'Calibration Data'!$L$19/ABS('Calibration Data'!$L$30)*SQRT(1/'Calibration Data'!$L$20+1+(F13-AVERAGE('Calibration Data'!$L$3:$L$9))^2/('Calibration Data'!$L$30^2*SUM('Calibration Data'!$J$3:$J$8)))</f>
        <v>0.12664329337774832</v>
      </c>
    </row>
    <row r="14" spans="1:7" x14ac:dyDescent="0.25">
      <c r="A14" t="s">
        <v>128</v>
      </c>
      <c r="B14" s="15" t="s">
        <v>114</v>
      </c>
      <c r="C14">
        <v>16.907333333333298</v>
      </c>
      <c r="D14">
        <v>0.33611778666666697</v>
      </c>
      <c r="E14" s="1" t="s">
        <v>51</v>
      </c>
      <c r="F14" s="1">
        <f>(C14-'Calibration Data'!$L$29)/'Calibration Data'!$L$30</f>
        <v>1.9973933485945357</v>
      </c>
      <c r="G14" s="17">
        <f>'Calibration Data'!$L$19/ABS('Calibration Data'!$L$30)*SQRT(1/'Calibration Data'!$L$20+1+(F14-AVERAGE('Calibration Data'!$L$3:$L$9))^2/('Calibration Data'!$L$30^2*SUM('Calibration Data'!$J$3:$J$8)))</f>
        <v>0.12662914180695617</v>
      </c>
    </row>
    <row r="15" spans="1:7" x14ac:dyDescent="0.25">
      <c r="A15" t="s">
        <v>129</v>
      </c>
      <c r="B15" s="15" t="s">
        <v>114</v>
      </c>
      <c r="C15">
        <v>23.004999999999999</v>
      </c>
      <c r="D15">
        <v>0.3920052</v>
      </c>
      <c r="E15" s="1" t="s">
        <v>51</v>
      </c>
      <c r="F15" s="1">
        <f>(C15-'Calibration Data'!$L$29)/'Calibration Data'!$L$30</f>
        <v>2.7194576946878297</v>
      </c>
      <c r="G15" s="17">
        <f>'Calibration Data'!$L$19/ABS('Calibration Data'!$L$30)*SQRT(1/'Calibration Data'!$L$20+1+(F15-AVERAGE('Calibration Data'!$L$3:$L$9))^2/('Calibration Data'!$L$30^2*SUM('Calibration Data'!$J$3:$J$8)))</f>
        <v>0.12662205500869211</v>
      </c>
    </row>
    <row r="16" spans="1:7" x14ac:dyDescent="0.25">
      <c r="A16" t="s">
        <v>130</v>
      </c>
      <c r="B16" s="15" t="s">
        <v>114</v>
      </c>
      <c r="C16">
        <v>21.3206666666667</v>
      </c>
      <c r="D16">
        <v>0.376949386666667</v>
      </c>
      <c r="E16" s="1" t="s">
        <v>51</v>
      </c>
      <c r="F16" s="1">
        <f>(C16-'Calibration Data'!$L$29)/'Calibration Data'!$L$30</f>
        <v>2.5200048361731344</v>
      </c>
      <c r="G16" s="17">
        <f>'Calibration Data'!$L$19/ABS('Calibration Data'!$L$30)*SQRT(1/'Calibration Data'!$L$20+1+(F16-AVERAGE('Calibration Data'!$L$3:$L$9))^2/('Calibration Data'!$L$30^2*SUM('Calibration Data'!$J$3:$J$8)))</f>
        <v>0.12662400849379443</v>
      </c>
    </row>
    <row r="17" spans="1:7" x14ac:dyDescent="0.25">
      <c r="A17" t="s">
        <v>131</v>
      </c>
      <c r="B17" s="15" t="s">
        <v>114</v>
      </c>
      <c r="C17">
        <v>40.059033333333304</v>
      </c>
      <c r="D17">
        <v>0.51676153000000002</v>
      </c>
      <c r="E17" s="1" t="s">
        <v>51</v>
      </c>
      <c r="F17" s="1">
        <f>(C17-'Calibration Data'!$L$29)/'Calibration Data'!$L$30</f>
        <v>4.7389366364283569</v>
      </c>
      <c r="G17" s="17">
        <f>'Calibration Data'!$L$19/ABS('Calibration Data'!$L$30)*SQRT(1/'Calibration Data'!$L$20+1+(F17-AVERAGE('Calibration Data'!$L$3:$L$9))^2/('Calibration Data'!$L$30^2*SUM('Calibration Data'!$J$3:$J$8)))</f>
        <v>0.12660245087828481</v>
      </c>
    </row>
    <row r="18" spans="1:7" x14ac:dyDescent="0.25">
      <c r="A18" t="s">
        <v>132</v>
      </c>
      <c r="B18" s="15" t="s">
        <v>114</v>
      </c>
      <c r="C18">
        <v>39.622333333333302</v>
      </c>
      <c r="D18">
        <v>0.51429788666666698</v>
      </c>
      <c r="E18" s="1" t="s">
        <v>51</v>
      </c>
      <c r="F18" s="1">
        <f>(C18-'Calibration Data'!$L$29)/'Calibration Data'!$L$30</f>
        <v>4.6872241507881212</v>
      </c>
      <c r="G18" s="17">
        <f>'Calibration Data'!$L$19/ABS('Calibration Data'!$L$30)*SQRT(1/'Calibration Data'!$L$20+1+(F18-AVERAGE('Calibration Data'!$L$3:$L$9))^2/('Calibration Data'!$L$30^2*SUM('Calibration Data'!$J$3:$J$8)))</f>
        <v>0.1266029489015626</v>
      </c>
    </row>
    <row r="19" spans="1:7" x14ac:dyDescent="0.25">
      <c r="A19" t="s">
        <v>133</v>
      </c>
      <c r="B19" s="15" t="s">
        <v>114</v>
      </c>
      <c r="C19">
        <v>43.994</v>
      </c>
      <c r="D19">
        <v>0.5411262</v>
      </c>
      <c r="E19" s="1" t="s">
        <v>51</v>
      </c>
      <c r="F19" s="1">
        <f>(C19-'Calibration Data'!$L$29)/'Calibration Data'!$L$30</f>
        <v>5.2049016175247731</v>
      </c>
      <c r="G19" s="17">
        <f>'Calibration Data'!$L$19/ABS('Calibration Data'!$L$30)*SQRT(1/'Calibration Data'!$L$20+1+(F19-AVERAGE('Calibration Data'!$L$3:$L$9))^2/('Calibration Data'!$L$30^2*SUM('Calibration Data'!$J$3:$J$8)))</f>
        <v>0.12659797277535403</v>
      </c>
    </row>
    <row r="20" spans="1:7" x14ac:dyDescent="0.25">
      <c r="A20" s="15" t="s">
        <v>92</v>
      </c>
      <c r="B20" s="16" t="s">
        <v>115</v>
      </c>
    </row>
    <row r="21" spans="1:7" x14ac:dyDescent="0.25">
      <c r="A21" s="15" t="s">
        <v>93</v>
      </c>
      <c r="B21" s="16" t="s">
        <v>115</v>
      </c>
    </row>
    <row r="22" spans="1:7" x14ac:dyDescent="0.25">
      <c r="A22" s="15" t="s">
        <v>94</v>
      </c>
      <c r="B22" s="16" t="s">
        <v>115</v>
      </c>
    </row>
    <row r="23" spans="1:7" x14ac:dyDescent="0.25">
      <c r="A23" s="15" t="s">
        <v>95</v>
      </c>
      <c r="B23" s="16" t="s">
        <v>115</v>
      </c>
    </row>
    <row r="24" spans="1:7" x14ac:dyDescent="0.25">
      <c r="A24" s="15" t="s">
        <v>96</v>
      </c>
      <c r="B24" s="16" t="s">
        <v>115</v>
      </c>
    </row>
    <row r="25" spans="1:7" x14ac:dyDescent="0.25">
      <c r="A25" s="15" t="s">
        <v>97</v>
      </c>
      <c r="B25" s="16" t="s">
        <v>115</v>
      </c>
    </row>
    <row r="26" spans="1:7" x14ac:dyDescent="0.25">
      <c r="A26" s="15" t="s">
        <v>98</v>
      </c>
      <c r="B26" s="16" t="s">
        <v>115</v>
      </c>
    </row>
    <row r="27" spans="1:7" x14ac:dyDescent="0.25">
      <c r="A27" s="15" t="s">
        <v>99</v>
      </c>
      <c r="B27" s="16" t="s">
        <v>115</v>
      </c>
    </row>
    <row r="28" spans="1:7" x14ac:dyDescent="0.25">
      <c r="A28" s="15" t="s">
        <v>100</v>
      </c>
      <c r="B28" s="16" t="s">
        <v>115</v>
      </c>
    </row>
    <row r="29" spans="1:7" x14ac:dyDescent="0.25">
      <c r="A29" s="15" t="s">
        <v>101</v>
      </c>
      <c r="B29" s="16" t="s">
        <v>115</v>
      </c>
    </row>
    <row r="30" spans="1:7" x14ac:dyDescent="0.25">
      <c r="A30" s="15" t="s">
        <v>102</v>
      </c>
      <c r="B30" s="16" t="s">
        <v>115</v>
      </c>
    </row>
    <row r="31" spans="1:7" x14ac:dyDescent="0.25">
      <c r="A31" s="15" t="s">
        <v>103</v>
      </c>
      <c r="B31" s="16" t="s">
        <v>115</v>
      </c>
    </row>
    <row r="32" spans="1:7" x14ac:dyDescent="0.25">
      <c r="A32" s="15" t="s">
        <v>104</v>
      </c>
      <c r="B32" s="16" t="s">
        <v>115</v>
      </c>
    </row>
    <row r="33" spans="1:2" x14ac:dyDescent="0.25">
      <c r="A33" s="15" t="s">
        <v>105</v>
      </c>
      <c r="B33" s="16" t="s">
        <v>115</v>
      </c>
    </row>
    <row r="34" spans="1:2" x14ac:dyDescent="0.25">
      <c r="A34" s="15" t="s">
        <v>106</v>
      </c>
      <c r="B34" s="16" t="s">
        <v>115</v>
      </c>
    </row>
    <row r="35" spans="1:2" x14ac:dyDescent="0.25">
      <c r="A35" s="15" t="s">
        <v>107</v>
      </c>
      <c r="B35" s="16" t="s">
        <v>115</v>
      </c>
    </row>
    <row r="36" spans="1:2" x14ac:dyDescent="0.25">
      <c r="A36" s="15" t="s">
        <v>108</v>
      </c>
      <c r="B36" s="16" t="s">
        <v>115</v>
      </c>
    </row>
    <row r="37" spans="1:2" x14ac:dyDescent="0.25">
      <c r="A37" s="15" t="s">
        <v>109</v>
      </c>
      <c r="B37" s="16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S19" sqref="S19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6.28515625" bestFit="1" customWidth="1"/>
    <col min="14" max="14" width="21.140625" bestFit="1" customWidth="1"/>
    <col min="15" max="15" width="24.7109375" bestFit="1" customWidth="1"/>
    <col min="16" max="16" width="29.85546875" bestFit="1" customWidth="1"/>
    <col min="17" max="17" width="11.28515625" bestFit="1" customWidth="1"/>
    <col min="18" max="18" width="12.42578125" bestFit="1" customWidth="1"/>
    <col min="19" max="19" width="16.85546875" bestFit="1" customWidth="1"/>
    <col min="20" max="20" width="18.140625" bestFit="1" customWidth="1"/>
    <col min="21" max="21" width="9" bestFit="1" customWidth="1"/>
    <col min="22" max="22" width="10.140625" bestFit="1" customWidth="1"/>
    <col min="23" max="23" width="13.140625" bestFit="1" customWidth="1"/>
    <col min="24" max="24" width="14.28515625" bestFit="1" customWidth="1"/>
  </cols>
  <sheetData>
    <row r="1" spans="1:23" x14ac:dyDescent="0.25">
      <c r="A1" t="s">
        <v>10</v>
      </c>
      <c r="B1" t="s">
        <v>27</v>
      </c>
      <c r="C1" t="s">
        <v>28</v>
      </c>
      <c r="D1" t="s">
        <v>12</v>
      </c>
      <c r="E1" t="s">
        <v>25</v>
      </c>
      <c r="F1" t="s">
        <v>26</v>
      </c>
      <c r="G1" t="s">
        <v>86</v>
      </c>
      <c r="H1" t="s">
        <v>87</v>
      </c>
      <c r="I1" t="s">
        <v>82</v>
      </c>
      <c r="J1" t="s">
        <v>83</v>
      </c>
      <c r="K1" t="s">
        <v>88</v>
      </c>
      <c r="L1" t="s">
        <v>89</v>
      </c>
      <c r="M1" t="s">
        <v>84</v>
      </c>
      <c r="N1" t="s">
        <v>85</v>
      </c>
      <c r="O1" t="s">
        <v>90</v>
      </c>
      <c r="P1" t="s">
        <v>91</v>
      </c>
      <c r="Q1" t="s">
        <v>29</v>
      </c>
      <c r="R1" t="s">
        <v>30</v>
      </c>
      <c r="S1" t="s">
        <v>33</v>
      </c>
      <c r="T1" t="s">
        <v>34</v>
      </c>
      <c r="U1" t="s">
        <v>31</v>
      </c>
      <c r="V1" t="s">
        <v>32</v>
      </c>
      <c r="W1" t="s">
        <v>137</v>
      </c>
    </row>
    <row r="2" spans="1:23" x14ac:dyDescent="0.25">
      <c r="A2" t="s">
        <v>116</v>
      </c>
      <c r="B2">
        <v>0</v>
      </c>
      <c r="C2">
        <v>0</v>
      </c>
      <c r="D2" s="1">
        <v>9.01</v>
      </c>
      <c r="E2" s="1">
        <v>3.0099999999999998E-2</v>
      </c>
      <c r="F2" s="1">
        <v>1E-4</v>
      </c>
      <c r="G2" s="1">
        <v>100</v>
      </c>
      <c r="H2" s="1">
        <v>5</v>
      </c>
      <c r="I2" s="1">
        <f>'Count-&gt;Actual Activity'!F2</f>
        <v>0.14662239469839428</v>
      </c>
      <c r="J2" s="1">
        <f>'Count-&gt;Actual Activity'!G2</f>
        <v>0.12664749243078838</v>
      </c>
      <c r="K2" s="1">
        <v>10</v>
      </c>
      <c r="L2" s="1">
        <v>0.02</v>
      </c>
      <c r="M2" s="1"/>
      <c r="N2" s="1"/>
      <c r="O2" s="1"/>
      <c r="P2" s="1"/>
      <c r="Q2">
        <f>I2/K2</f>
        <v>1.4662239469839428E-2</v>
      </c>
      <c r="R2">
        <f>SQRT((L2/K2)^2+(J2/I2)^2)*Q2</f>
        <v>1.2664783192582931E-2</v>
      </c>
      <c r="S2">
        <f>B2*Parameters!$B$6</f>
        <v>0</v>
      </c>
      <c r="T2" t="e">
        <f>SQRT((C2/B2)^2+(Parameters!$C$6/Parameters!$B$6)^2)*'Bottle Results'!S2</f>
        <v>#DIV/0!</v>
      </c>
      <c r="U2">
        <f t="shared" ref="U2" si="0">(S2-Q2*G2)/E2</f>
        <v>-48.711759036011394</v>
      </c>
      <c r="W2" t="e">
        <f t="shared" ref="W2" si="1">(S2-Q2*G2)/S2</f>
        <v>#DIV/0!</v>
      </c>
    </row>
    <row r="3" spans="1:23" x14ac:dyDescent="0.25">
      <c r="A3" t="s">
        <v>117</v>
      </c>
      <c r="B3">
        <v>0</v>
      </c>
      <c r="C3">
        <v>0</v>
      </c>
      <c r="D3" s="1">
        <v>9.02</v>
      </c>
      <c r="E3" s="1">
        <v>2.98E-2</v>
      </c>
      <c r="F3" s="1">
        <v>1E-4</v>
      </c>
      <c r="G3" s="1">
        <v>100</v>
      </c>
      <c r="H3" s="1">
        <v>5</v>
      </c>
      <c r="I3" s="1">
        <f>'Count-&gt;Actual Activity'!F3</f>
        <v>0.14180679035665764</v>
      </c>
      <c r="J3" s="1">
        <f>'Count-&gt;Actual Activity'!G3</f>
        <v>0.12664754052704297</v>
      </c>
      <c r="K3" s="1">
        <v>10</v>
      </c>
      <c r="L3" s="1">
        <v>0.02</v>
      </c>
      <c r="M3" s="1"/>
      <c r="N3" s="1"/>
      <c r="O3" s="1"/>
      <c r="P3" s="1"/>
      <c r="Q3">
        <f t="shared" ref="Q3:Q19" si="2">I3/K3</f>
        <v>1.4180679035665764E-2</v>
      </c>
      <c r="R3">
        <f t="shared" ref="R3:R19" si="3">SQRT((L3/K3)^2+(J3/I3)^2)*Q3</f>
        <v>1.2664785808773931E-2</v>
      </c>
      <c r="S3">
        <f>B3*Parameters!$B$6</f>
        <v>0</v>
      </c>
      <c r="T3" t="e">
        <f>SQRT((C3/B3)^2+(Parameters!$C$6/Parameters!$B$6)^2)*'Bottle Results'!S3</f>
        <v>#DIV/0!</v>
      </c>
      <c r="U3">
        <f t="shared" ref="U3:U19" si="4">(S3-Q3*G3)/E3</f>
        <v>-47.586171260623367</v>
      </c>
      <c r="W3" t="e">
        <f t="shared" ref="W3:W19" si="5">(S3-Q3*G3)/S3</f>
        <v>#DIV/0!</v>
      </c>
    </row>
    <row r="4" spans="1:23" x14ac:dyDescent="0.25">
      <c r="A4" t="s">
        <v>118</v>
      </c>
      <c r="B4">
        <v>0</v>
      </c>
      <c r="C4">
        <v>0</v>
      </c>
      <c r="D4" s="1">
        <v>9.02</v>
      </c>
      <c r="E4" s="1">
        <v>2.9700000000000001E-2</v>
      </c>
      <c r="F4" s="1">
        <v>1E-4</v>
      </c>
      <c r="G4" s="1">
        <v>100</v>
      </c>
      <c r="H4" s="1">
        <v>5</v>
      </c>
      <c r="I4" s="1">
        <f>'Count-&gt;Actual Activity'!F4</f>
        <v>0.14243834502442709</v>
      </c>
      <c r="J4" s="1">
        <f>'Count-&gt;Actual Activity'!G4</f>
        <v>0.1266475342192343</v>
      </c>
      <c r="K4" s="1">
        <v>10</v>
      </c>
      <c r="L4" s="1">
        <v>0.02</v>
      </c>
      <c r="M4" s="1"/>
      <c r="N4" s="1"/>
      <c r="O4" s="1"/>
      <c r="P4" s="1"/>
      <c r="Q4">
        <f t="shared" si="2"/>
        <v>1.4243834502442709E-2</v>
      </c>
      <c r="R4">
        <f t="shared" si="3"/>
        <v>1.2664785461483608E-2</v>
      </c>
      <c r="S4">
        <f>B4*Parameters!$B$6</f>
        <v>0</v>
      </c>
      <c r="T4" t="e">
        <f>SQRT((C4/B4)^2+(Parameters!$C$6/Parameters!$B$6)^2)*'Bottle Results'!S4</f>
        <v>#DIV/0!</v>
      </c>
      <c r="U4">
        <f t="shared" si="4"/>
        <v>-47.959038728763332</v>
      </c>
      <c r="W4" t="e">
        <f t="shared" si="5"/>
        <v>#DIV/0!</v>
      </c>
    </row>
    <row r="5" spans="1:23" x14ac:dyDescent="0.25">
      <c r="A5" t="s">
        <v>119</v>
      </c>
      <c r="B5" s="17">
        <v>6.9499999999999996E-3</v>
      </c>
      <c r="C5" s="17">
        <v>1.0000000000000001E-5</v>
      </c>
      <c r="D5" s="1">
        <v>9</v>
      </c>
      <c r="E5" s="1">
        <v>3.09E-2</v>
      </c>
      <c r="F5" s="1">
        <v>1E-4</v>
      </c>
      <c r="G5" s="1">
        <v>100</v>
      </c>
      <c r="H5" s="1">
        <v>5</v>
      </c>
      <c r="I5" s="1">
        <f>'Count-&gt;Actual Activity'!F5</f>
        <v>0.15171430420727933</v>
      </c>
      <c r="J5" s="1">
        <f>'Count-&gt;Actual Activity'!G5</f>
        <v>0.12664744157688226</v>
      </c>
      <c r="K5" s="1">
        <v>10</v>
      </c>
      <c r="L5" s="1">
        <v>0.02</v>
      </c>
      <c r="M5" s="1"/>
      <c r="N5" s="1"/>
      <c r="O5" s="1"/>
      <c r="P5" s="1"/>
      <c r="Q5">
        <f t="shared" si="2"/>
        <v>1.5171430420727933E-2</v>
      </c>
      <c r="R5">
        <f t="shared" si="3"/>
        <v>1.2664780506147831E-2</v>
      </c>
      <c r="S5">
        <f>B5*Parameters!$B$6</f>
        <v>9.778649999999999</v>
      </c>
      <c r="T5">
        <f>SQRT((C5/B5)^2+(Parameters!$C$6/Parameters!$B$6)^2)*'Bottle Results'!S5</f>
        <v>0.43112964975747142</v>
      </c>
      <c r="U5">
        <f t="shared" si="4"/>
        <v>267.36268472256324</v>
      </c>
      <c r="W5">
        <f t="shared" si="5"/>
        <v>0.84485148337727656</v>
      </c>
    </row>
    <row r="6" spans="1:23" x14ac:dyDescent="0.25">
      <c r="A6" t="s">
        <v>120</v>
      </c>
      <c r="B6" s="17">
        <v>6.9499999999999996E-3</v>
      </c>
      <c r="C6" s="17">
        <v>1.0000000000000001E-5</v>
      </c>
      <c r="D6" s="1">
        <v>9</v>
      </c>
      <c r="E6" s="1">
        <v>2.9899999999999999E-2</v>
      </c>
      <c r="F6" s="1">
        <v>1E-4</v>
      </c>
      <c r="G6" s="1">
        <v>100</v>
      </c>
      <c r="H6" s="1">
        <v>5</v>
      </c>
      <c r="I6" s="1">
        <f>'Count-&gt;Actual Activity'!F6</f>
        <v>0.15739829621719756</v>
      </c>
      <c r="J6" s="1">
        <f>'Count-&gt;Actual Activity'!G6</f>
        <v>0.12664738481212276</v>
      </c>
      <c r="K6" s="1">
        <v>10</v>
      </c>
      <c r="L6" s="1">
        <v>0.02</v>
      </c>
      <c r="M6" s="1"/>
      <c r="N6" s="1"/>
      <c r="O6" s="1"/>
      <c r="P6" s="1"/>
      <c r="Q6">
        <f t="shared" si="2"/>
        <v>1.5739829621719756E-2</v>
      </c>
      <c r="R6">
        <f t="shared" si="3"/>
        <v>1.2664777604302617E-2</v>
      </c>
      <c r="S6">
        <f>B6*Parameters!$B$6</f>
        <v>9.778649999999999</v>
      </c>
      <c r="T6">
        <f>SQRT((C6/B6)^2+(Parameters!$C$6/Parameters!$B$6)^2)*'Bottle Results'!S6</f>
        <v>0.43112964975747142</v>
      </c>
      <c r="U6">
        <f t="shared" si="4"/>
        <v>274.40357986046905</v>
      </c>
      <c r="W6">
        <f t="shared" si="5"/>
        <v>0.83903882824602827</v>
      </c>
    </row>
    <row r="7" spans="1:23" x14ac:dyDescent="0.25">
      <c r="A7" t="s">
        <v>121</v>
      </c>
      <c r="B7" s="17">
        <v>6.9499999999999996E-3</v>
      </c>
      <c r="C7" s="17">
        <v>1.0000000000000001E-5</v>
      </c>
      <c r="D7" s="1">
        <v>9</v>
      </c>
      <c r="E7" s="1">
        <v>3.04E-2</v>
      </c>
      <c r="F7" s="1">
        <v>1E-4</v>
      </c>
      <c r="G7" s="1">
        <v>100</v>
      </c>
      <c r="H7" s="1">
        <v>5</v>
      </c>
      <c r="I7" s="1">
        <f>'Count-&gt;Actual Activity'!F7</f>
        <v>0.15499049404632981</v>
      </c>
      <c r="J7" s="1">
        <f>'Count-&gt;Actual Activity'!G7</f>
        <v>0.12664740885799761</v>
      </c>
      <c r="K7" s="1">
        <v>10</v>
      </c>
      <c r="L7" s="1">
        <v>0.02</v>
      </c>
      <c r="M7" s="1"/>
      <c r="N7" s="1"/>
      <c r="O7" s="1"/>
      <c r="P7" s="1"/>
      <c r="Q7">
        <f t="shared" si="2"/>
        <v>1.5499049404632981E-2</v>
      </c>
      <c r="R7">
        <f t="shared" si="3"/>
        <v>1.266477882106821E-2</v>
      </c>
      <c r="S7">
        <f>B7*Parameters!$B$6</f>
        <v>9.778649999999999</v>
      </c>
      <c r="T7">
        <f>SQRT((C7/B7)^2+(Parameters!$C$6/Parameters!$B$6)^2)*'Bottle Results'!S7</f>
        <v>0.43112964975747142</v>
      </c>
      <c r="U7">
        <f t="shared" si="4"/>
        <v>270.68240327423359</v>
      </c>
      <c r="W7">
        <f t="shared" si="5"/>
        <v>0.8415011335446817</v>
      </c>
    </row>
    <row r="8" spans="1:23" ht="15.75" customHeight="1" x14ac:dyDescent="0.25">
      <c r="A8" t="s">
        <v>122</v>
      </c>
      <c r="B8" s="17">
        <v>3.4799999999999998E-2</v>
      </c>
      <c r="C8" s="17">
        <v>1E-4</v>
      </c>
      <c r="D8" s="1">
        <v>8.98</v>
      </c>
      <c r="E8" s="1">
        <v>3.0700000000000002E-2</v>
      </c>
      <c r="F8" s="1">
        <v>1E-4</v>
      </c>
      <c r="G8" s="1">
        <v>100</v>
      </c>
      <c r="H8" s="1">
        <v>5</v>
      </c>
      <c r="I8" s="1">
        <f>'Count-&gt;Actual Activity'!F8</f>
        <v>0.25236832938291426</v>
      </c>
      <c r="J8" s="1">
        <f>'Count-&gt;Actual Activity'!G8</f>
        <v>0.12664643674082965</v>
      </c>
      <c r="K8" s="1">
        <v>10</v>
      </c>
      <c r="L8" s="1">
        <v>0.02</v>
      </c>
      <c r="M8" s="1"/>
      <c r="N8" s="1"/>
      <c r="O8" s="1"/>
      <c r="P8" s="1"/>
      <c r="Q8">
        <f t="shared" si="2"/>
        <v>2.5236832938291424E-2</v>
      </c>
      <c r="R8">
        <f t="shared" si="3"/>
        <v>1.266474425254757E-2</v>
      </c>
      <c r="S8">
        <f>B8*Parameters!$B$6</f>
        <v>48.9636</v>
      </c>
      <c r="T8">
        <f>SQRT((C8/B8)^2+(Parameters!$C$6/Parameters!$B$6)^2)*'Bottle Results'!S8</f>
        <v>2.1621827512955516</v>
      </c>
      <c r="U8">
        <f t="shared" si="4"/>
        <v>1512.7008699078453</v>
      </c>
      <c r="W8">
        <f t="shared" si="5"/>
        <v>0.94845797094516859</v>
      </c>
    </row>
    <row r="9" spans="1:23" x14ac:dyDescent="0.25">
      <c r="A9" t="s">
        <v>123</v>
      </c>
      <c r="B9" s="17">
        <v>3.4799999999999998E-2</v>
      </c>
      <c r="C9" s="17">
        <v>1E-4</v>
      </c>
      <c r="D9" s="1">
        <v>8.98</v>
      </c>
      <c r="E9" s="1">
        <v>2.9499999999999998E-2</v>
      </c>
      <c r="F9" s="1">
        <v>1E-4</v>
      </c>
      <c r="G9" s="1">
        <v>100</v>
      </c>
      <c r="H9" s="1">
        <v>5</v>
      </c>
      <c r="I9" s="1">
        <f>'Count-&gt;Actual Activity'!F9</f>
        <v>0.30853722264759176</v>
      </c>
      <c r="J9" s="1">
        <f>'Count-&gt;Actual Activity'!G9</f>
        <v>0.12664587634683683</v>
      </c>
      <c r="K9" s="1">
        <v>10</v>
      </c>
      <c r="L9" s="1">
        <v>0.02</v>
      </c>
      <c r="M9" s="1"/>
      <c r="N9" s="1"/>
      <c r="O9" s="1"/>
      <c r="P9" s="1"/>
      <c r="Q9">
        <f t="shared" si="2"/>
        <v>3.0853722264759176E-2</v>
      </c>
      <c r="R9">
        <f t="shared" si="3"/>
        <v>1.2664737966704767E-2</v>
      </c>
      <c r="S9">
        <f>B9*Parameters!$B$6</f>
        <v>48.9636</v>
      </c>
      <c r="T9">
        <f>SQRT((C9/B9)^2+(Parameters!$C$6/Parameters!$B$6)^2)*'Bottle Results'!S9</f>
        <v>2.1621827512955516</v>
      </c>
      <c r="U9">
        <f t="shared" si="4"/>
        <v>1555.1941618143758</v>
      </c>
      <c r="W9">
        <f t="shared" si="5"/>
        <v>0.93698640977224068</v>
      </c>
    </row>
    <row r="10" spans="1:23" x14ac:dyDescent="0.25">
      <c r="A10" t="s">
        <v>124</v>
      </c>
      <c r="B10" s="17">
        <v>3.4799999999999998E-2</v>
      </c>
      <c r="C10" s="17">
        <v>1E-4</v>
      </c>
      <c r="D10" s="1">
        <v>9.01</v>
      </c>
      <c r="E10" s="1">
        <v>2.9600000000000001E-2</v>
      </c>
      <c r="F10" s="1">
        <v>1E-4</v>
      </c>
      <c r="G10" s="1">
        <v>100</v>
      </c>
      <c r="H10" s="1">
        <v>5</v>
      </c>
      <c r="I10" s="1">
        <f>'Count-&gt;Actual Activity'!F10</f>
        <v>0.26724933624221442</v>
      </c>
      <c r="J10" s="1">
        <f>'Count-&gt;Actual Activity'!G10</f>
        <v>0.12664628824984403</v>
      </c>
      <c r="K10" s="1">
        <v>10</v>
      </c>
      <c r="L10" s="1">
        <v>0.02</v>
      </c>
      <c r="M10" s="1"/>
      <c r="N10" s="1"/>
      <c r="O10" s="1"/>
      <c r="P10" s="1"/>
      <c r="Q10">
        <f t="shared" si="2"/>
        <v>2.6724933624221441E-2</v>
      </c>
      <c r="R10">
        <f t="shared" si="3"/>
        <v>1.2664741614535003E-2</v>
      </c>
      <c r="S10">
        <f>B10*Parameters!$B$6</f>
        <v>48.9636</v>
      </c>
      <c r="T10">
        <f>SQRT((C10/B10)^2+(Parameters!$C$6/Parameters!$B$6)^2)*'Bottle Results'!S10</f>
        <v>2.1621827512955516</v>
      </c>
      <c r="U10">
        <f t="shared" si="4"/>
        <v>1563.8887377560086</v>
      </c>
      <c r="W10">
        <f t="shared" si="5"/>
        <v>0.94541877307995847</v>
      </c>
    </row>
    <row r="11" spans="1:23" x14ac:dyDescent="0.25">
      <c r="A11" t="s">
        <v>125</v>
      </c>
      <c r="B11" s="17">
        <v>6.9500000000000006E-2</v>
      </c>
      <c r="C11" s="17">
        <v>1E-4</v>
      </c>
      <c r="D11" s="1">
        <v>9</v>
      </c>
      <c r="E11" s="1">
        <v>3.0300000000000001E-2</v>
      </c>
      <c r="F11" s="1">
        <v>1E-4</v>
      </c>
      <c r="G11" s="1">
        <v>100</v>
      </c>
      <c r="H11" s="1">
        <v>5</v>
      </c>
      <c r="I11" s="1">
        <f>'Count-&gt;Actual Activity'!F11</f>
        <v>0.74671774557885662</v>
      </c>
      <c r="J11" s="1">
        <f>'Count-&gt;Actual Activity'!G11</f>
        <v>0.12664151310167851</v>
      </c>
      <c r="K11" s="1">
        <v>10</v>
      </c>
      <c r="L11" s="1">
        <v>0.02</v>
      </c>
      <c r="M11" s="1"/>
      <c r="N11" s="1"/>
      <c r="O11" s="1"/>
      <c r="P11" s="1"/>
      <c r="Q11">
        <f t="shared" si="2"/>
        <v>7.4671774557885665E-2</v>
      </c>
      <c r="R11">
        <f t="shared" si="3"/>
        <v>1.2665031855565488E-2</v>
      </c>
      <c r="S11">
        <f>B11*Parameters!$B$6</f>
        <v>97.786500000000004</v>
      </c>
      <c r="T11">
        <f>SQRT((C11/B11)^2+(Parameters!$C$6/Parameters!$B$6)^2)*'Bottle Results'!S11</f>
        <v>4.3112964975747143</v>
      </c>
      <c r="U11">
        <f t="shared" si="4"/>
        <v>2980.8357275317303</v>
      </c>
      <c r="W11">
        <f t="shared" si="5"/>
        <v>0.92363795149853434</v>
      </c>
    </row>
    <row r="12" spans="1:23" x14ac:dyDescent="0.25">
      <c r="A12" t="s">
        <v>126</v>
      </c>
      <c r="B12" s="17">
        <v>6.9500000000000006E-2</v>
      </c>
      <c r="C12" s="17">
        <v>1E-4</v>
      </c>
      <c r="D12" s="1">
        <v>9</v>
      </c>
      <c r="E12" s="1">
        <v>3.0499999999999999E-2</v>
      </c>
      <c r="F12" s="1">
        <v>1E-4</v>
      </c>
      <c r="G12" s="1">
        <v>100</v>
      </c>
      <c r="H12" s="1">
        <v>5</v>
      </c>
      <c r="I12" s="1">
        <f>'Count-&gt;Actual Activity'!F12</f>
        <v>0.58677652596643559</v>
      </c>
      <c r="J12" s="1">
        <f>'Count-&gt;Actual Activity'!G12</f>
        <v>0.1266431040015214</v>
      </c>
      <c r="K12" s="1">
        <v>10</v>
      </c>
      <c r="L12" s="1">
        <v>0.02</v>
      </c>
      <c r="M12" s="1"/>
      <c r="N12" s="1"/>
      <c r="O12" s="1"/>
      <c r="P12" s="1"/>
      <c r="Q12">
        <f t="shared" si="2"/>
        <v>5.8677652596643558E-2</v>
      </c>
      <c r="R12">
        <f t="shared" si="3"/>
        <v>1.2664854131771857E-2</v>
      </c>
      <c r="S12">
        <f>B12*Parameters!$B$6</f>
        <v>97.786500000000004</v>
      </c>
      <c r="T12">
        <f>SQRT((C12/B12)^2+(Parameters!$C$6/Parameters!$B$6)^2)*'Bottle Results'!S12</f>
        <v>4.3112964975747143</v>
      </c>
      <c r="U12">
        <f t="shared" si="4"/>
        <v>3013.7290078798574</v>
      </c>
      <c r="W12">
        <f t="shared" si="5"/>
        <v>0.93999411718729731</v>
      </c>
    </row>
    <row r="13" spans="1:23" x14ac:dyDescent="0.25">
      <c r="A13" t="s">
        <v>127</v>
      </c>
      <c r="B13" s="17">
        <v>6.9500000000000006E-2</v>
      </c>
      <c r="C13" s="17">
        <v>1E-4</v>
      </c>
      <c r="D13" s="1">
        <v>9</v>
      </c>
      <c r="E13" s="1">
        <v>2.9899999999999999E-2</v>
      </c>
      <c r="F13" s="1">
        <v>1E-4</v>
      </c>
      <c r="G13" s="1">
        <v>100</v>
      </c>
      <c r="H13" s="1">
        <v>5</v>
      </c>
      <c r="I13" s="1">
        <f>'Count-&gt;Actual Activity'!F13</f>
        <v>0.56775094159990336</v>
      </c>
      <c r="J13" s="1">
        <f>'Count-&gt;Actual Activity'!G13</f>
        <v>0.12664329337774832</v>
      </c>
      <c r="K13" s="1">
        <v>10</v>
      </c>
      <c r="L13" s="1">
        <v>0.02</v>
      </c>
      <c r="M13" s="1"/>
      <c r="N13" s="1"/>
      <c r="O13" s="1"/>
      <c r="P13" s="1"/>
      <c r="Q13">
        <f t="shared" si="2"/>
        <v>5.6775094159990339E-2</v>
      </c>
      <c r="R13">
        <f t="shared" si="3"/>
        <v>1.2664838381159543E-2</v>
      </c>
      <c r="S13">
        <f>B13*Parameters!$B$6</f>
        <v>97.786500000000004</v>
      </c>
      <c r="T13">
        <f>SQRT((C13/B13)^2+(Parameters!$C$6/Parameters!$B$6)^2)*'Bottle Results'!S13</f>
        <v>4.3112964975747143</v>
      </c>
      <c r="U13">
        <f t="shared" si="4"/>
        <v>3080.568246956554</v>
      </c>
      <c r="W13">
        <f t="shared" si="5"/>
        <v>0.9419397420298401</v>
      </c>
    </row>
    <row r="14" spans="1:23" x14ac:dyDescent="0.25">
      <c r="A14" t="s">
        <v>128</v>
      </c>
      <c r="B14">
        <v>0.17399999999999999</v>
      </c>
      <c r="C14" s="17">
        <v>1E-3</v>
      </c>
      <c r="D14" s="1">
        <v>9.02</v>
      </c>
      <c r="E14" s="1">
        <v>3.0300000000000001E-2</v>
      </c>
      <c r="F14" s="1">
        <v>1E-4</v>
      </c>
      <c r="G14" s="1">
        <v>100</v>
      </c>
      <c r="H14" s="1">
        <v>5</v>
      </c>
      <c r="I14" s="1">
        <f>'Count-&gt;Actual Activity'!F14</f>
        <v>1.9973933485945357</v>
      </c>
      <c r="J14" s="1">
        <f>'Count-&gt;Actual Activity'!G14</f>
        <v>0.12662914180695617</v>
      </c>
      <c r="K14" s="1">
        <v>10</v>
      </c>
      <c r="L14" s="1">
        <v>0.02</v>
      </c>
      <c r="M14" s="1"/>
      <c r="N14" s="1"/>
      <c r="O14" s="1"/>
      <c r="P14" s="1"/>
      <c r="Q14">
        <f t="shared" si="2"/>
        <v>0.19973933485945355</v>
      </c>
      <c r="R14">
        <f t="shared" si="3"/>
        <v>1.2669213817566681E-2</v>
      </c>
      <c r="S14">
        <f>B14*Parameters!$B$6</f>
        <v>244.81799999999998</v>
      </c>
      <c r="T14">
        <f>SQRT((C14/B14)^2+(Parameters!$C$6/Parameters!$B$6)^2)*'Bottle Results'!S14</f>
        <v>10.879365468629134</v>
      </c>
      <c r="U14">
        <f t="shared" si="4"/>
        <v>7420.5962545892608</v>
      </c>
      <c r="W14">
        <f t="shared" si="5"/>
        <v>0.91841313348713993</v>
      </c>
    </row>
    <row r="15" spans="1:23" x14ac:dyDescent="0.25">
      <c r="A15" t="s">
        <v>129</v>
      </c>
      <c r="B15">
        <v>0.17399999999999999</v>
      </c>
      <c r="C15" s="17">
        <v>1E-3</v>
      </c>
      <c r="D15" s="1">
        <v>9</v>
      </c>
      <c r="E15" s="1">
        <v>2.9700000000000001E-2</v>
      </c>
      <c r="F15" s="1">
        <v>1E-4</v>
      </c>
      <c r="G15" s="1">
        <v>100</v>
      </c>
      <c r="H15" s="1">
        <v>5</v>
      </c>
      <c r="I15" s="1">
        <f>'Count-&gt;Actual Activity'!F15</f>
        <v>2.7194576946878297</v>
      </c>
      <c r="J15" s="1">
        <f>'Count-&gt;Actual Activity'!G15</f>
        <v>0.12662205500869211</v>
      </c>
      <c r="K15" s="1">
        <v>10</v>
      </c>
      <c r="L15" s="1">
        <v>0.02</v>
      </c>
      <c r="M15" s="1"/>
      <c r="N15" s="1"/>
      <c r="O15" s="1"/>
      <c r="P15" s="1"/>
      <c r="Q15">
        <f t="shared" si="2"/>
        <v>0.27194576946878296</v>
      </c>
      <c r="R15">
        <f t="shared" si="3"/>
        <v>1.2673881258413714E-2</v>
      </c>
      <c r="S15">
        <f>B15*Parameters!$B$6</f>
        <v>244.81799999999998</v>
      </c>
      <c r="T15">
        <f>SQRT((C15/B15)^2+(Parameters!$C$6/Parameters!$B$6)^2)*'Bottle Results'!S15</f>
        <v>10.879365468629134</v>
      </c>
      <c r="U15">
        <f t="shared" si="4"/>
        <v>7327.3879815865885</v>
      </c>
      <c r="W15">
        <f t="shared" si="5"/>
        <v>0.88891920958884441</v>
      </c>
    </row>
    <row r="16" spans="1:23" x14ac:dyDescent="0.25">
      <c r="A16" t="s">
        <v>130</v>
      </c>
      <c r="B16">
        <v>0.17399999999999999</v>
      </c>
      <c r="C16" s="17">
        <v>1E-3</v>
      </c>
      <c r="D16" s="1">
        <v>9</v>
      </c>
      <c r="E16" s="1">
        <v>3.0300000000000001E-2</v>
      </c>
      <c r="F16" s="1">
        <v>1E-4</v>
      </c>
      <c r="G16" s="1">
        <v>100</v>
      </c>
      <c r="H16" s="1">
        <v>5</v>
      </c>
      <c r="I16" s="1">
        <f>'Count-&gt;Actual Activity'!F16</f>
        <v>2.5200048361731344</v>
      </c>
      <c r="J16" s="1">
        <f>'Count-&gt;Actual Activity'!G16</f>
        <v>0.12662400849379443</v>
      </c>
      <c r="K16" s="1">
        <v>10</v>
      </c>
      <c r="L16" s="1">
        <v>0.02</v>
      </c>
      <c r="M16" s="1"/>
      <c r="N16" s="1"/>
      <c r="O16" s="1"/>
      <c r="P16" s="1"/>
      <c r="Q16">
        <f t="shared" si="2"/>
        <v>0.25200048361731342</v>
      </c>
      <c r="R16">
        <f t="shared" si="3"/>
        <v>1.2672427243639581E-2</v>
      </c>
      <c r="S16">
        <f>B16*Parameters!$B$6</f>
        <v>244.81799999999998</v>
      </c>
      <c r="T16">
        <f>SQRT((C16/B16)^2+(Parameters!$C$6/Parameters!$B$6)^2)*'Bottle Results'!S16</f>
        <v>10.879365468629134</v>
      </c>
      <c r="U16">
        <f t="shared" si="4"/>
        <v>7248.117215784443</v>
      </c>
      <c r="W16">
        <f t="shared" si="5"/>
        <v>0.89706619463547876</v>
      </c>
    </row>
    <row r="17" spans="1:23" x14ac:dyDescent="0.25">
      <c r="A17" t="s">
        <v>131</v>
      </c>
      <c r="B17">
        <v>0.34799999999999998</v>
      </c>
      <c r="C17" s="17">
        <v>1E-3</v>
      </c>
      <c r="D17" s="1">
        <v>9</v>
      </c>
      <c r="E17" s="1">
        <v>3.04E-2</v>
      </c>
      <c r="F17" s="1">
        <v>1E-4</v>
      </c>
      <c r="G17" s="1">
        <v>100</v>
      </c>
      <c r="H17" s="1">
        <v>5</v>
      </c>
      <c r="I17" s="1">
        <f>'Count-&gt;Actual Activity'!F17</f>
        <v>4.7389366364283569</v>
      </c>
      <c r="J17" s="1">
        <f>'Count-&gt;Actual Activity'!G17</f>
        <v>0.12660245087828481</v>
      </c>
      <c r="K17" s="1">
        <v>10</v>
      </c>
      <c r="L17" s="1">
        <v>0.02</v>
      </c>
      <c r="Q17">
        <f t="shared" si="2"/>
        <v>0.47389366364283569</v>
      </c>
      <c r="R17">
        <f t="shared" si="3"/>
        <v>1.2695672747107516E-2</v>
      </c>
      <c r="S17">
        <f>B17*Parameters!$B$6</f>
        <v>489.63599999999997</v>
      </c>
      <c r="T17">
        <f>SQRT((C17/B17)^2+(Parameters!$C$6/Parameters!$B$6)^2)*'Bottle Results'!S17</f>
        <v>21.621827512955516</v>
      </c>
      <c r="U17">
        <f t="shared" si="4"/>
        <v>14547.58663275383</v>
      </c>
      <c r="W17">
        <f t="shared" si="5"/>
        <v>0.90321511007302657</v>
      </c>
    </row>
    <row r="18" spans="1:23" x14ac:dyDescent="0.25">
      <c r="A18" t="s">
        <v>132</v>
      </c>
      <c r="B18">
        <v>0.34799999999999998</v>
      </c>
      <c r="C18" s="17">
        <v>1E-3</v>
      </c>
      <c r="D18" s="1">
        <v>9</v>
      </c>
      <c r="E18" s="1">
        <v>2.9899999999999999E-2</v>
      </c>
      <c r="F18" s="1">
        <v>1E-4</v>
      </c>
      <c r="G18" s="1">
        <v>100</v>
      </c>
      <c r="H18" s="1">
        <v>5</v>
      </c>
      <c r="I18" s="1">
        <f>'Count-&gt;Actual Activity'!F18</f>
        <v>4.6872241507881212</v>
      </c>
      <c r="J18" s="1">
        <f>'Count-&gt;Actual Activity'!G18</f>
        <v>0.1266029489015626</v>
      </c>
      <c r="K18" s="1">
        <v>10</v>
      </c>
      <c r="L18" s="1">
        <v>0.02</v>
      </c>
      <c r="Q18">
        <f t="shared" si="2"/>
        <v>0.46872241507881213</v>
      </c>
      <c r="R18">
        <f t="shared" si="3"/>
        <v>1.2694954490477937E-2</v>
      </c>
      <c r="S18">
        <f>B18*Parameters!$B$6</f>
        <v>489.63599999999997</v>
      </c>
      <c r="T18">
        <f>SQRT((C18/B18)^2+(Parameters!$C$6/Parameters!$B$6)^2)*'Bottle Results'!S18</f>
        <v>21.621827512955516</v>
      </c>
      <c r="U18">
        <f t="shared" si="4"/>
        <v>14808.152457930393</v>
      </c>
      <c r="W18">
        <f t="shared" si="5"/>
        <v>0.90427125148501908</v>
      </c>
    </row>
    <row r="19" spans="1:23" x14ac:dyDescent="0.25">
      <c r="A19" t="s">
        <v>133</v>
      </c>
      <c r="B19">
        <v>0.34799999999999998</v>
      </c>
      <c r="C19" s="17">
        <v>1E-3</v>
      </c>
      <c r="D19" s="1">
        <v>9.01</v>
      </c>
      <c r="E19" s="1">
        <v>2.98E-2</v>
      </c>
      <c r="F19" s="1">
        <v>1E-4</v>
      </c>
      <c r="G19" s="1">
        <v>100</v>
      </c>
      <c r="H19" s="1">
        <v>5</v>
      </c>
      <c r="I19" s="1">
        <f>'Count-&gt;Actual Activity'!F19</f>
        <v>5.2049016175247731</v>
      </c>
      <c r="J19" s="1">
        <f>'Count-&gt;Actual Activity'!G19</f>
        <v>0.12659797277535403</v>
      </c>
      <c r="K19" s="1">
        <v>10</v>
      </c>
      <c r="L19" s="1">
        <v>0.02</v>
      </c>
      <c r="Q19">
        <f t="shared" si="2"/>
        <v>0.52049016175247731</v>
      </c>
      <c r="R19">
        <f t="shared" si="3"/>
        <v>1.2702523652495881E-2</v>
      </c>
      <c r="S19">
        <f>B19*Parameters!$B$6</f>
        <v>489.63599999999997</v>
      </c>
      <c r="T19">
        <f>SQRT((C19/B19)^2+(Parameters!$C$6/Parameters!$B$6)^2)*'Bottle Results'!S19</f>
        <v>21.621827512955516</v>
      </c>
      <c r="U19">
        <f t="shared" si="4"/>
        <v>14684.126973984974</v>
      </c>
      <c r="W19">
        <f t="shared" si="5"/>
        <v>0.89369855121917563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B7" sqref="B7"/>
    </sheetView>
  </sheetViews>
  <sheetFormatPr defaultRowHeight="15" x14ac:dyDescent="0.25"/>
  <sheetData>
    <row r="1" spans="1:10" x14ac:dyDescent="0.25">
      <c r="A1" t="s">
        <v>15</v>
      </c>
      <c r="B1" t="s">
        <v>29</v>
      </c>
      <c r="C1" t="s">
        <v>134</v>
      </c>
      <c r="D1" t="s">
        <v>31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</row>
    <row r="2" spans="1:10" x14ac:dyDescent="0.25">
      <c r="A2">
        <v>0</v>
      </c>
      <c r="B2">
        <f>AVERAGE('Bottle Results'!Q2:Q4)</f>
        <v>1.4362251002649299E-2</v>
      </c>
      <c r="C2">
        <f>_xlfn.STDEV.S('Bottle Results'!Q2:Q4)</f>
        <v>2.6170969332691004E-4</v>
      </c>
      <c r="D2">
        <f>AVERAGE('Bottle Results'!U2:U4)</f>
        <v>-48.085656341799364</v>
      </c>
      <c r="E2">
        <f>_xlfn.STDEV.S('Bottle Results'!U2:U4)</f>
        <v>0.57337681761120118</v>
      </c>
      <c r="F2">
        <f>AVERAGE('Bottle Results'!S2:S4)</f>
        <v>0</v>
      </c>
      <c r="G2" t="e">
        <f>AVERAGE('Bottle Results'!W2:W4)</f>
        <v>#DIV/0!</v>
      </c>
      <c r="I2">
        <f>AVERAGE('Bottle Results'!D2:D4)</f>
        <v>9.0166666666666675</v>
      </c>
      <c r="J2">
        <f>_xlfn.STDEV.S('Bottle Results'!D2:D4)</f>
        <v>5.7735026918961348E-3</v>
      </c>
    </row>
    <row r="3" spans="1:10" x14ac:dyDescent="0.25">
      <c r="A3">
        <v>10</v>
      </c>
      <c r="B3">
        <f>AVERAGE('Bottle Results'!Q5:Q7)</f>
        <v>1.5470103149026889E-2</v>
      </c>
      <c r="C3">
        <f>_xlfn.STDEV.S('Bottle Results'!Q5:Q7)</f>
        <v>2.8530304451099975E-4</v>
      </c>
      <c r="D3">
        <f>AVERAGE('Bottle Results'!U5:U7)</f>
        <v>270.81622261908865</v>
      </c>
      <c r="E3">
        <f>_xlfn.STDEV.S('Bottle Results'!U5:U7)</f>
        <v>3.5223545816029764</v>
      </c>
      <c r="F3">
        <f>AVERAGE('Bottle Results'!S5:S7)</f>
        <v>9.778649999999999</v>
      </c>
      <c r="G3">
        <f>AVERAGE('Bottle Results'!W5:W7)</f>
        <v>0.84179714838932884</v>
      </c>
      <c r="H3">
        <f>_xlfn.STDEV.S('Bottle Results'!W5:W7)</f>
        <v>2.9176117819023442E-3</v>
      </c>
      <c r="I3">
        <f>AVERAGE('Bottle Results'!D5:D7)</f>
        <v>9</v>
      </c>
      <c r="J3">
        <f>_xlfn.STDEV.S('Bottle Results'!D5:D7)</f>
        <v>0</v>
      </c>
    </row>
    <row r="4" spans="1:10" x14ac:dyDescent="0.25">
      <c r="A4">
        <v>50</v>
      </c>
      <c r="B4">
        <f>AVERAGE('Bottle Results'!Q8:Q10)</f>
        <v>2.7605162942424016E-2</v>
      </c>
      <c r="C4">
        <f>_xlfn.STDEV.S('Bottle Results'!Q8:Q10)</f>
        <v>2.9100625707902512E-3</v>
      </c>
      <c r="D4">
        <f>AVERAGE('Bottle Results'!U8:U10)</f>
        <v>1543.9279231594101</v>
      </c>
      <c r="E4">
        <f>_xlfn.STDEV.S('Bottle Results'!U8:U10)</f>
        <v>27.390610686569982</v>
      </c>
      <c r="F4">
        <f>AVERAGE('Bottle Results'!S8:S10)</f>
        <v>48.963600000000007</v>
      </c>
      <c r="G4">
        <f>AVERAGE('Bottle Results'!W8:W10)</f>
        <v>0.94362105126578921</v>
      </c>
      <c r="H4">
        <f>_xlfn.STDEV.S('Bottle Results'!W8:W10)</f>
        <v>5.9433182421027844E-3</v>
      </c>
      <c r="I4">
        <f>AVERAGE('Bottle Results'!D8:D10)</f>
        <v>8.99</v>
      </c>
      <c r="J4">
        <f>_xlfn.STDEV.S('Bottle Results'!D8:D10)</f>
        <v>1.7320508075688405E-2</v>
      </c>
    </row>
    <row r="5" spans="1:10" x14ac:dyDescent="0.25">
      <c r="A5">
        <v>100</v>
      </c>
      <c r="B5">
        <f>AVERAGE('Bottle Results'!Q11:Q13)</f>
        <v>6.3374840438173194E-2</v>
      </c>
      <c r="C5">
        <f>_xlfn.STDEV.S('Bottle Results'!Q11:Q13)</f>
        <v>9.8295713299239654E-3</v>
      </c>
      <c r="D5">
        <f>AVERAGE('Bottle Results'!U11:U13)</f>
        <v>3025.0443274560475</v>
      </c>
      <c r="E5">
        <f>_xlfn.STDEV.S('Bottle Results'!U11:U13)</f>
        <v>50.819988198928094</v>
      </c>
      <c r="F5">
        <f>AVERAGE('Bottle Results'!S11:S13)</f>
        <v>97.786500000000004</v>
      </c>
      <c r="G5">
        <f>AVERAGE('Bottle Results'!W11:W13)</f>
        <v>0.93519060357189066</v>
      </c>
      <c r="H5">
        <f>_xlfn.STDEV.S('Bottle Results'!W11:W13)</f>
        <v>1.0052073987640393E-2</v>
      </c>
      <c r="I5">
        <f>AVERAGE('Bottle Results'!D11:D13)</f>
        <v>9</v>
      </c>
      <c r="J5">
        <f>_xlfn.STDEV.S('Bottle Results'!D3:D11)</f>
        <v>1.4529663145135268E-2</v>
      </c>
    </row>
    <row r="6" spans="1:10" x14ac:dyDescent="0.25">
      <c r="A6">
        <v>250</v>
      </c>
      <c r="B6">
        <f>AVERAGE('Bottle Results'!Q14:Q16)</f>
        <v>0.24122852931518332</v>
      </c>
      <c r="C6">
        <f>_xlfn.STDEV.S('Bottle Results'!Q14:Q16)</f>
        <v>3.7288986971533745E-2</v>
      </c>
      <c r="D6">
        <f>AVERAGE('Bottle Results'!U14:U16)</f>
        <v>7332.0338173200971</v>
      </c>
      <c r="E6">
        <f>_xlfn.STDEV.S('Bottle Results'!U14:U16)</f>
        <v>86.333322355887105</v>
      </c>
      <c r="F6">
        <f>AVERAGE('Bottle Results'!S14:S16)</f>
        <v>244.81799999999998</v>
      </c>
      <c r="G6">
        <f>AVERAGE('Bottle Results'!W14:W16)</f>
        <v>0.90146617923715444</v>
      </c>
      <c r="H6">
        <f>_xlfn.STDEV.S('Bottle Results'!W14:W16)</f>
        <v>1.5231309369218682E-2</v>
      </c>
      <c r="I6">
        <f>AVERAGE('Bottle Results'!D14:D16)</f>
        <v>9.0066666666666659</v>
      </c>
      <c r="J6">
        <f>_xlfn.STDEV.S('Bottle Results'!D14:D16)</f>
        <v>1.154700538379227E-2</v>
      </c>
    </row>
    <row r="7" spans="1:10" x14ac:dyDescent="0.25">
      <c r="A7">
        <v>500</v>
      </c>
      <c r="B7">
        <f>AVERAGE('Bottle Results'!Q17:Q19)</f>
        <v>0.48770208015804167</v>
      </c>
      <c r="C7">
        <f>_xlfn.STDEV.S('Bottle Results'!Q17:Q19)</f>
        <v>2.8512789654999628E-2</v>
      </c>
      <c r="D7">
        <f>AVERAGE('Bottle Results'!U17:U19)</f>
        <v>14679.955354889733</v>
      </c>
      <c r="E7">
        <f>_xlfn.STDEV.S('Bottle Results'!U17:U19)</f>
        <v>130.33299320161686</v>
      </c>
      <c r="F7">
        <f>AVERAGE('Bottle Results'!S17:S19)</f>
        <v>489.63599999999997</v>
      </c>
      <c r="G7">
        <f>AVERAGE('Bottle Results'!W17:W19)</f>
        <v>0.9003949709257405</v>
      </c>
      <c r="H7">
        <f>_xlfn.STDEV.S('Bottle Results'!W17:W19)</f>
        <v>5.8232625164407106E-3</v>
      </c>
      <c r="I7">
        <f>AVERAGE('Bottle Results'!D17:D19)</f>
        <v>9.0033333333333321</v>
      </c>
      <c r="J7">
        <f>_xlfn.STDEV.S('Bottle Results'!D17:D19)</f>
        <v>5.7735026918961348E-3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Calibration Data</vt:lpstr>
      <vt:lpstr>Scintillation Counter Results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2017-04-19T17:34:16Z</dcterms:modified>
</cp:coreProperties>
</file>