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B3" i="8"/>
  <c r="B2" i="8"/>
  <c r="Q6" i="5"/>
  <c r="P4" i="8" l="1"/>
  <c r="P3" i="8"/>
  <c r="Q17" i="5" l="1"/>
  <c r="L7" i="8"/>
  <c r="L6" i="8"/>
  <c r="L5" i="8"/>
  <c r="L4" i="8"/>
  <c r="L3" i="8"/>
  <c r="L2" i="8"/>
  <c r="K2" i="8"/>
  <c r="K7" i="8"/>
  <c r="K6" i="8"/>
  <c r="K5" i="8"/>
  <c r="J5" i="8"/>
  <c r="K4" i="8"/>
  <c r="K3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" i="5"/>
  <c r="J7" i="8" l="1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T5" i="5" l="1"/>
  <c r="F3" i="8"/>
  <c r="W10" i="5"/>
  <c r="F4" i="8"/>
  <c r="U10" i="5"/>
  <c r="F6" i="8"/>
  <c r="F2" i="8"/>
  <c r="F5" i="8"/>
  <c r="G18" i="2"/>
  <c r="J18" i="5" s="1"/>
  <c r="R18" i="5" s="1"/>
  <c r="I18" i="5"/>
  <c r="Q18" i="5" s="1"/>
  <c r="G10" i="2"/>
  <c r="J10" i="5" s="1"/>
  <c r="R10" i="5" s="1"/>
  <c r="G19" i="2"/>
  <c r="J19" i="5" s="1"/>
  <c r="I19" i="5"/>
  <c r="Q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S18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I12" i="5"/>
  <c r="Q12" i="5" s="1"/>
  <c r="U12" i="5" s="1"/>
  <c r="I11" i="5"/>
  <c r="Q11" i="5" s="1"/>
  <c r="W11" i="5" s="1"/>
  <c r="F2" i="2"/>
  <c r="G2" i="2" s="1"/>
  <c r="J2" i="5" s="1"/>
  <c r="Q24" i="5" l="1"/>
  <c r="T18" i="5"/>
  <c r="U18" i="5"/>
  <c r="H3" i="8"/>
  <c r="G3" i="8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B6" i="8"/>
  <c r="C6" i="8"/>
  <c r="U8" i="5"/>
  <c r="W8" i="5"/>
  <c r="U16" i="5"/>
  <c r="S19" i="5" s="1"/>
  <c r="U19" i="5" s="1"/>
  <c r="W9" i="5"/>
  <c r="W19" i="5"/>
  <c r="W18" i="5"/>
  <c r="U7" i="5"/>
  <c r="W14" i="5"/>
  <c r="C5" i="8"/>
  <c r="B5" i="8"/>
  <c r="U11" i="5"/>
  <c r="U14" i="5"/>
  <c r="S17" i="5" s="1"/>
  <c r="W17" i="5" s="1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E3" i="8" l="1"/>
  <c r="D3" i="8"/>
  <c r="Q25" i="5"/>
  <c r="T19" i="5"/>
  <c r="Q23" i="5"/>
  <c r="T17" i="5"/>
  <c r="F7" i="8"/>
  <c r="U17" i="5"/>
  <c r="D7" i="8" s="1"/>
  <c r="H5" i="8"/>
  <c r="G6" i="8"/>
  <c r="H6" i="8"/>
  <c r="G4" i="8"/>
  <c r="H4" i="8"/>
  <c r="G7" i="8"/>
  <c r="H7" i="8"/>
  <c r="C2" i="8"/>
  <c r="U2" i="5"/>
  <c r="W2" i="5"/>
  <c r="E6" i="8"/>
  <c r="D6" i="8"/>
  <c r="P2" i="8" s="1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7" i="8" l="1"/>
  <c r="G2" i="8"/>
  <c r="H2" i="8"/>
  <c r="E2" i="8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<sst xmlns="http://schemas.openxmlformats.org/spreadsheetml/2006/main" count="339" uniqueCount="151">
  <si>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</si>
  <si>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</si>
  <si>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</si>
  <si>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</si>
  <si>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</si>
  <si>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</si>
  <si>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</si>
  <si>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</si>
  <si>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</si>
  <si>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</si>
  <si>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</si>
  <si>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</si>
  <si>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</si>
  <si>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</si>
  <si>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</si>
  <si>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</si>
  <si>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</si>
  <si>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</si>
  <si>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</si>
  <si>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</si>
  <si>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</si>
  <si>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</si>
  <si>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</si>
  <si>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</si>
  <si>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</si>
  <si>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</si>
  <si>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</si>
  <si>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</si>
  <si>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</si>
  <si>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</si>
  <si>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</si>
  <si>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</si>
  <si>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</si>
  <si>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</si>
  <si>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</si>
  <si>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</si>
  <si>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</si>
  <si>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</si>
  <si>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</si>
  <si>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</si>
  <si>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</si>
  <si>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</si>
  <si>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</si>
  <si>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</si>
  <si>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</si>
  <si>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</si>
  <si>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</si>
  <si>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</si>
  <si>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</si>
  <si>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</si>
  <si>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</si>
  <si>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</si>
  <si>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</si>
  <si>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</si>
  <si>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</si>
  <si>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</si>
  <si>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</si>
  <si>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</si>
  <si>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</si>
  <si>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</si>
  <si>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</si>
  <si>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</si>
  <si>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</si>
  <si>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</si>
  <si>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</si>
  <si>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</si>
  <si>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</si>
  <si>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</si>
  <si>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</si>
  <si>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</si>
  <si>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</si>
  <si>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</si>
  <si>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</si>
  <si>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</si>
  <si>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</si>
  <si>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</si>
  <si>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</si>
  <si>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</si>
  <si>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</si>
  <si>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</si>
  <si>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</si>
  <si>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</si>
  <si>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</si>
  <si>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</si>
  <si>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</si>
  <si>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</si>
  <si>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</si>
  <si>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</si>
  <si>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</si>
  <si>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</si>
  <si>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</si>
  <si>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</si>
  <si>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</si>
  <si>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</si>
  <si>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</si>
  <si>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</si>
  <si>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</si>
  <si>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</si>
  <si>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</si>
  <si>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</si>
  <si>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</si>
  <si>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</si>
  <si>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</si>
  <si>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</si>
  <si>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</si>
  <si>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</si>
  <si>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</si>
  <si>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</si>
  <si>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</si>
  <si>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</si>
  <si>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</si>
  <si>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</si>
  <si>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</si>
  <si>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</si>
  <si>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</si>
  <si>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</si>
  <si>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</si>
  <si>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</si>
  <si>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</si>
  <si>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</si>
  <si>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</si>
  <si>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</si>
  <si>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</si>
  <si>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T4_A</t>
  </si>
  <si>
    <t>T4_B</t>
  </si>
  <si>
    <t>T4_C</t>
  </si>
  <si>
    <t>T5_A</t>
  </si>
  <si>
    <t>T5_B</t>
  </si>
  <si>
    <t>T5_C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</si>
  <si>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</si>
  <si>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</si>
  <si>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</si>
  <si>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</si>
  <si>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</si>
  <si>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</si>
  <si>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</si>
  <si>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</si>
  <si>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</si>
  <si>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</si>
  <si>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</si>
  <si>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T4</t>
  </si>
  <si>
    <t>T5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</si>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</sst>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319444444444447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Results'!$K$2:$K$6</c:f>
              <c:numCache>
                <c:formatCode>[m]</c:formatCode>
                <c:ptCount val="5"/>
                <c:pt idx="0">
                  <c:v>0.12175925926082225</c:v>
                </c:pt>
                <c:pt idx="1">
                  <c:v>0.25995370370461995</c:v>
                </c:pt>
                <c:pt idx="2">
                  <c:v>1.0004629629644721</c:v>
                </c:pt>
                <c:pt idx="3">
                  <c:v>10.796990740743544</c:v>
                </c:pt>
                <c:pt idx="4">
                  <c:v>10.784953703706075</c:v>
                </c:pt>
              </c:numCache>
            </c:numRef>
          </c:xVal>
          <c:yVal>
            <c:numRef>
              <c:f>'Averaged Results'!$B$2:$B$6</c:f>
              <c:numCache>
                <c:formatCode>General</c:formatCode>
                <c:ptCount val="5"/>
                <c:pt idx="0">
                  <c:v>0.49280272850001111</c:v>
                </c:pt>
                <c:pt idx="1">
                  <c:v>0.4739107033915938</c:v>
                </c:pt>
                <c:pt idx="2">
                  <c:v>0.48737807490377466</c:v>
                </c:pt>
                <c:pt idx="3">
                  <c:v>0.54139351575777994</c:v>
                </c:pt>
                <c:pt idx="4">
                  <c:v>0.6385629273728789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7448"/>
        <c:axId val="131207056"/>
      </c:scatterChart>
      <c:valAx>
        <c:axId val="13120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7056"/>
        <c:crosses val="autoZero"/>
        <c:crossBetween val="midCat"/>
      </c:valAx>
      <c:valAx>
        <c:axId val="1312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114300</xdr:rowOff>
    </xdr:from>
    <xdr:to>
      <xdr:col>9</xdr:col>
      <xdr:colOff>152400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v>1407</v>
      </c>
      <c r="C6" s="23">
        <v>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1" workbookViewId="0">
      <selection activeCell="I26" sqref="I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42563.40347222222</v>
      </c>
      <c r="B2" t="s">
        <v>114</v>
      </c>
      <c r="C2">
        <v>1369</v>
      </c>
      <c r="D2">
        <v>1.71</v>
      </c>
      <c r="E2">
        <v>0.03</v>
      </c>
      <c r="F2">
        <v>10.55</v>
      </c>
    </row>
    <row r="3" spans="1:6" x14ac:dyDescent="0.25">
      <c r="A3" s="24">
        <v>42563.40347222222</v>
      </c>
      <c r="B3" t="s">
        <v>115</v>
      </c>
      <c r="C3">
        <v>1371.7</v>
      </c>
      <c r="D3">
        <v>1.71</v>
      </c>
      <c r="E3">
        <v>0.04</v>
      </c>
      <c r="F3">
        <v>21.18</v>
      </c>
    </row>
    <row r="4" spans="1:6" x14ac:dyDescent="0.25">
      <c r="A4" s="24">
        <v>42563.40347222222</v>
      </c>
      <c r="B4" t="s">
        <v>116</v>
      </c>
      <c r="C4">
        <v>1328.3</v>
      </c>
      <c r="D4">
        <v>1.74</v>
      </c>
      <c r="E4">
        <v>7.0000000000000007E-2</v>
      </c>
      <c r="F4">
        <v>31.85</v>
      </c>
    </row>
    <row r="5" spans="1:6" x14ac:dyDescent="0.25">
      <c r="A5" s="24">
        <v>42563.40347222222</v>
      </c>
      <c r="B5" t="s">
        <v>117</v>
      </c>
      <c r="C5">
        <v>1269.9000000000001</v>
      </c>
      <c r="D5">
        <v>1.77</v>
      </c>
      <c r="E5">
        <v>0.06</v>
      </c>
      <c r="F5">
        <v>42.51</v>
      </c>
    </row>
    <row r="6" spans="1:6" x14ac:dyDescent="0.25">
      <c r="A6" s="24">
        <v>42563.40347222222</v>
      </c>
      <c r="B6" t="s">
        <v>118</v>
      </c>
      <c r="C6">
        <v>15545.1</v>
      </c>
      <c r="D6">
        <v>1.6</v>
      </c>
      <c r="E6">
        <v>0.03</v>
      </c>
      <c r="F6">
        <v>53.15</v>
      </c>
    </row>
    <row r="7" spans="1:6" x14ac:dyDescent="0.25">
      <c r="A7" s="24">
        <v>42563.40347222222</v>
      </c>
      <c r="B7" t="s">
        <v>120</v>
      </c>
      <c r="C7">
        <v>1327.9</v>
      </c>
      <c r="D7">
        <v>1.74</v>
      </c>
      <c r="E7">
        <v>0.04</v>
      </c>
      <c r="F7">
        <v>6.8</v>
      </c>
    </row>
    <row r="8" spans="1:6" x14ac:dyDescent="0.25">
      <c r="A8" s="24">
        <v>42563.40347222222</v>
      </c>
      <c r="B8" t="s">
        <v>121</v>
      </c>
      <c r="C8">
        <v>1265.5999999999999</v>
      </c>
      <c r="D8">
        <v>1.78</v>
      </c>
      <c r="E8">
        <v>0.03</v>
      </c>
      <c r="F8">
        <v>74.44</v>
      </c>
    </row>
    <row r="9" spans="1:6" x14ac:dyDescent="0.25">
      <c r="A9" s="24">
        <v>42563.40347222222</v>
      </c>
      <c r="B9" t="s">
        <v>122</v>
      </c>
      <c r="C9">
        <v>1401.2</v>
      </c>
      <c r="D9">
        <v>1.69</v>
      </c>
      <c r="E9">
        <v>0.03</v>
      </c>
      <c r="F9">
        <v>85.08</v>
      </c>
    </row>
    <row r="10" spans="1:6" x14ac:dyDescent="0.25">
      <c r="A10" s="24">
        <v>42563.40347222222</v>
      </c>
      <c r="B10" t="s">
        <v>119</v>
      </c>
      <c r="C10">
        <v>1371</v>
      </c>
      <c r="D10">
        <v>1.71</v>
      </c>
      <c r="E10">
        <v>0.03</v>
      </c>
      <c r="F10">
        <v>95.72</v>
      </c>
    </row>
    <row r="11" spans="1:6" x14ac:dyDescent="0.25">
      <c r="A11" s="24">
        <v>42563.40347222222</v>
      </c>
      <c r="B11" t="s">
        <v>123</v>
      </c>
      <c r="C11">
        <v>1801.5</v>
      </c>
      <c r="D11">
        <v>1.49</v>
      </c>
      <c r="E11">
        <v>0.02</v>
      </c>
      <c r="F11">
        <v>106.36</v>
      </c>
    </row>
    <row r="12" spans="1:6" x14ac:dyDescent="0.25">
      <c r="A12" s="24">
        <v>42563.40347222222</v>
      </c>
      <c r="B12" t="s">
        <v>124</v>
      </c>
      <c r="C12">
        <v>1316.9</v>
      </c>
      <c r="D12">
        <v>1.74</v>
      </c>
      <c r="E12">
        <v>0.03</v>
      </c>
      <c r="F12">
        <v>117.01</v>
      </c>
    </row>
    <row r="13" spans="1:6" x14ac:dyDescent="0.25">
      <c r="A13" s="24">
        <v>42563.40347222222</v>
      </c>
      <c r="B13" t="s">
        <v>125</v>
      </c>
      <c r="C13">
        <v>1335.3</v>
      </c>
      <c r="D13">
        <v>1.73</v>
      </c>
      <c r="E13">
        <v>0.02</v>
      </c>
      <c r="F13">
        <v>127.66</v>
      </c>
    </row>
    <row r="14" spans="1:6" x14ac:dyDescent="0.25">
      <c r="A14" s="24">
        <v>42563.40347222222</v>
      </c>
      <c r="B14" t="s">
        <v>126</v>
      </c>
      <c r="C14">
        <v>1832.9</v>
      </c>
      <c r="D14">
        <v>1.48</v>
      </c>
      <c r="E14">
        <v>0.01</v>
      </c>
      <c r="F14">
        <v>138.4</v>
      </c>
    </row>
    <row r="15" spans="1:6" x14ac:dyDescent="0.25">
      <c r="A15" s="24">
        <v>42563.40347222222</v>
      </c>
      <c r="B15" t="s">
        <v>127</v>
      </c>
      <c r="C15">
        <v>1580.2</v>
      </c>
      <c r="D15">
        <v>1.59</v>
      </c>
      <c r="E15">
        <v>0.03</v>
      </c>
      <c r="F15">
        <v>149.05000000000001</v>
      </c>
    </row>
    <row r="16" spans="1:6" x14ac:dyDescent="0.25">
      <c r="A16" s="24">
        <v>42563.40347222222</v>
      </c>
      <c r="B16" t="s">
        <v>128</v>
      </c>
      <c r="C16">
        <v>1869</v>
      </c>
      <c r="D16">
        <v>1.46</v>
      </c>
      <c r="E16">
        <v>0.02</v>
      </c>
      <c r="F16">
        <v>159.71</v>
      </c>
    </row>
    <row r="17" spans="1:6" x14ac:dyDescent="0.25">
      <c r="A17" s="24">
        <v>42563.40347222222</v>
      </c>
      <c r="B17" t="s">
        <v>129</v>
      </c>
      <c r="C17">
        <v>5713.3</v>
      </c>
      <c r="D17">
        <v>0.84</v>
      </c>
      <c r="E17">
        <v>0.01</v>
      </c>
      <c r="F17">
        <v>170.38</v>
      </c>
    </row>
    <row r="18" spans="1:6" x14ac:dyDescent="0.25">
      <c r="A18" s="24">
        <v>42563.40347222222</v>
      </c>
      <c r="B18" t="s">
        <v>130</v>
      </c>
      <c r="C18">
        <v>6384</v>
      </c>
      <c r="D18">
        <v>0.79</v>
      </c>
      <c r="E18">
        <v>0</v>
      </c>
      <c r="F18">
        <v>181.04</v>
      </c>
    </row>
    <row r="19" spans="1:6" x14ac:dyDescent="0.25">
      <c r="A19" s="24">
        <v>42563.40347222222</v>
      </c>
      <c r="B19" t="s">
        <v>131</v>
      </c>
      <c r="C19">
        <v>6174.9</v>
      </c>
      <c r="D19">
        <v>0.8</v>
      </c>
      <c r="E19">
        <v>0</v>
      </c>
      <c r="F19">
        <v>191.69</v>
      </c>
    </row>
    <row r="20" spans="1:6" x14ac:dyDescent="0.25">
      <c r="A20" s="24">
        <v>42564.415972222225</v>
      </c>
      <c r="B20" t="s">
        <v>114</v>
      </c>
      <c r="C20">
        <v>1366.2</v>
      </c>
      <c r="D20">
        <v>1.71</v>
      </c>
      <c r="E20">
        <v>0.01</v>
      </c>
      <c r="F20">
        <v>10.52</v>
      </c>
    </row>
    <row r="21" spans="1:6" x14ac:dyDescent="0.25">
      <c r="A21" s="24">
        <v>42564.415972222225</v>
      </c>
      <c r="B21" t="s">
        <v>115</v>
      </c>
      <c r="C21">
        <v>1350.1</v>
      </c>
      <c r="D21">
        <v>1.72</v>
      </c>
      <c r="E21">
        <v>0.02</v>
      </c>
      <c r="F21">
        <v>21.15</v>
      </c>
    </row>
    <row r="22" spans="1:6" x14ac:dyDescent="0.25">
      <c r="A22" s="24">
        <v>42564.415972222225</v>
      </c>
      <c r="B22" t="s">
        <v>116</v>
      </c>
      <c r="C22">
        <v>1332.1</v>
      </c>
      <c r="D22">
        <v>1.73</v>
      </c>
      <c r="E22">
        <v>0.03</v>
      </c>
      <c r="F22">
        <v>31.8</v>
      </c>
    </row>
    <row r="23" spans="1:6" x14ac:dyDescent="0.25">
      <c r="A23" s="24">
        <v>42564.415972222225</v>
      </c>
      <c r="B23" t="s">
        <v>117</v>
      </c>
      <c r="C23">
        <v>1259.9000000000001</v>
      </c>
      <c r="D23">
        <v>1.78</v>
      </c>
      <c r="E23">
        <v>0.03</v>
      </c>
      <c r="F23">
        <v>42.43</v>
      </c>
    </row>
    <row r="24" spans="1:6" x14ac:dyDescent="0.25">
      <c r="A24" s="24">
        <v>42564.415972222225</v>
      </c>
      <c r="B24" t="s">
        <v>118</v>
      </c>
      <c r="C24">
        <v>1549.2</v>
      </c>
      <c r="D24">
        <v>1.61</v>
      </c>
      <c r="E24">
        <v>0.01</v>
      </c>
      <c r="F24">
        <v>53.07</v>
      </c>
    </row>
    <row r="25" spans="1:6" x14ac:dyDescent="0.25">
      <c r="A25" s="24">
        <v>42564.415972222225</v>
      </c>
      <c r="B25" t="s">
        <v>120</v>
      </c>
      <c r="C25">
        <v>1346.8</v>
      </c>
      <c r="D25">
        <v>1.72</v>
      </c>
      <c r="E25">
        <v>0.02</v>
      </c>
      <c r="F25">
        <v>63.71</v>
      </c>
    </row>
    <row r="26" spans="1:6" x14ac:dyDescent="0.25">
      <c r="A26" s="24">
        <v>42564.415972222225</v>
      </c>
      <c r="B26" t="s">
        <v>121</v>
      </c>
      <c r="C26">
        <v>1245</v>
      </c>
      <c r="D26">
        <v>1.79</v>
      </c>
      <c r="E26">
        <v>0.02</v>
      </c>
      <c r="F26">
        <v>74.34</v>
      </c>
    </row>
    <row r="27" spans="1:6" x14ac:dyDescent="0.25">
      <c r="A27" s="24">
        <v>42564.415972222225</v>
      </c>
      <c r="B27" t="s">
        <v>122</v>
      </c>
      <c r="C27">
        <v>1418.8</v>
      </c>
      <c r="D27">
        <v>1.68</v>
      </c>
      <c r="E27">
        <v>0.01</v>
      </c>
      <c r="F27">
        <v>84.97</v>
      </c>
    </row>
    <row r="28" spans="1:6" x14ac:dyDescent="0.25">
      <c r="A28" s="24">
        <v>42564.415972222225</v>
      </c>
      <c r="B28" t="s">
        <v>119</v>
      </c>
      <c r="C28">
        <v>1326.6</v>
      </c>
      <c r="D28">
        <v>1.74</v>
      </c>
      <c r="E28">
        <v>0.02</v>
      </c>
      <c r="F28">
        <v>95.61</v>
      </c>
    </row>
    <row r="29" spans="1:6" x14ac:dyDescent="0.25">
      <c r="A29" s="24">
        <v>42564.415972222225</v>
      </c>
      <c r="B29" t="s">
        <v>123</v>
      </c>
      <c r="C29">
        <v>1811.5</v>
      </c>
      <c r="D29">
        <v>1.49</v>
      </c>
      <c r="E29">
        <v>0.01</v>
      </c>
      <c r="F29">
        <v>106.24</v>
      </c>
    </row>
    <row r="30" spans="1:6" x14ac:dyDescent="0.25">
      <c r="A30" s="24">
        <v>42564.415972222225</v>
      </c>
      <c r="B30" t="s">
        <v>124</v>
      </c>
      <c r="C30">
        <v>1306.0999999999999</v>
      </c>
      <c r="D30">
        <v>1.75</v>
      </c>
      <c r="E30">
        <v>0.02</v>
      </c>
      <c r="F30">
        <v>116.87</v>
      </c>
    </row>
    <row r="31" spans="1:6" x14ac:dyDescent="0.25">
      <c r="A31" s="24">
        <v>42564.415972222225</v>
      </c>
      <c r="B31" t="s">
        <v>125</v>
      </c>
      <c r="C31">
        <v>1345.1</v>
      </c>
      <c r="D31">
        <v>1.72</v>
      </c>
      <c r="E31">
        <v>0.01</v>
      </c>
      <c r="F31">
        <v>127.52</v>
      </c>
    </row>
    <row r="32" spans="1:6" x14ac:dyDescent="0.25">
      <c r="A32" s="24">
        <v>42564.415972222225</v>
      </c>
      <c r="B32" t="s">
        <v>126</v>
      </c>
      <c r="C32">
        <v>1843.9</v>
      </c>
      <c r="D32">
        <v>1.47</v>
      </c>
      <c r="E32">
        <v>0.01</v>
      </c>
      <c r="F32">
        <v>138.25</v>
      </c>
    </row>
    <row r="33" spans="1:6" x14ac:dyDescent="0.25">
      <c r="A33" s="24">
        <v>42564.415972222225</v>
      </c>
      <c r="B33" t="s">
        <v>127</v>
      </c>
      <c r="C33">
        <v>1578.7</v>
      </c>
      <c r="D33">
        <v>1.59</v>
      </c>
      <c r="E33">
        <v>0.01</v>
      </c>
      <c r="F33">
        <v>148.88999999999999</v>
      </c>
    </row>
    <row r="34" spans="1:6" x14ac:dyDescent="0.25">
      <c r="A34" s="24">
        <v>42564.415972222225</v>
      </c>
      <c r="B34" t="s">
        <v>128</v>
      </c>
      <c r="C34">
        <v>1809.5</v>
      </c>
      <c r="D34">
        <v>1.49</v>
      </c>
      <c r="E34">
        <v>0.01</v>
      </c>
      <c r="F34">
        <v>159.54</v>
      </c>
    </row>
    <row r="35" spans="1:6" x14ac:dyDescent="0.25">
      <c r="A35" s="24">
        <v>42564.415972222225</v>
      </c>
      <c r="B35" t="s">
        <v>129</v>
      </c>
      <c r="C35">
        <v>5732.4</v>
      </c>
      <c r="D35">
        <v>0.84</v>
      </c>
      <c r="E35">
        <v>0.01</v>
      </c>
      <c r="F35">
        <v>170.2</v>
      </c>
    </row>
    <row r="36" spans="1:6" x14ac:dyDescent="0.25">
      <c r="A36" s="24">
        <v>42564.415972222225</v>
      </c>
      <c r="B36" t="s">
        <v>130</v>
      </c>
      <c r="C36">
        <v>6421.3</v>
      </c>
      <c r="D36">
        <v>0.79</v>
      </c>
      <c r="E36">
        <v>0</v>
      </c>
      <c r="F36">
        <v>180.87</v>
      </c>
    </row>
    <row r="37" spans="1:6" x14ac:dyDescent="0.25">
      <c r="A37" s="24">
        <v>42564.415972222225</v>
      </c>
      <c r="B37" t="s">
        <v>131</v>
      </c>
      <c r="C37">
        <v>6129.3</v>
      </c>
      <c r="D37">
        <v>0.81</v>
      </c>
      <c r="E37">
        <v>0</v>
      </c>
      <c r="F37">
        <v>191.52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22" sqref="H2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22.793333333333301</v>
      </c>
      <c r="D2">
        <v>0.389766</v>
      </c>
      <c r="E2" s="1" t="s">
        <v>54</v>
      </c>
      <c r="F2" s="1">
        <f>'Calibration Data'!$B$28*'Count-&gt;Actual Activity'!C2+'Calibration Data'!$B$27</f>
        <v>4.9816656759404694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0.23298037390539131</v>
      </c>
    </row>
    <row r="3" spans="1:7" x14ac:dyDescent="0.25">
      <c r="A3" t="s">
        <v>115</v>
      </c>
      <c r="B3" s="21" t="s">
        <v>105</v>
      </c>
      <c r="C3">
        <v>22.6816666666667</v>
      </c>
      <c r="D3">
        <v>0.38899058333333297</v>
      </c>
      <c r="E3" s="1" t="s">
        <v>54</v>
      </c>
      <c r="F3" s="1">
        <f>'Calibration Data'!$B$28*'Count-&gt;Actual Activity'!C3+'Calibration Data'!$B$27</f>
        <v>4.9572182460560992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0.23298035643389295</v>
      </c>
    </row>
    <row r="4" spans="1:7" x14ac:dyDescent="0.25">
      <c r="A4" t="s">
        <v>116</v>
      </c>
      <c r="B4" s="21" t="s">
        <v>105</v>
      </c>
      <c r="C4">
        <v>22.17</v>
      </c>
      <c r="D4">
        <v>0.38464949999999998</v>
      </c>
      <c r="E4" s="1" t="s">
        <v>54</v>
      </c>
      <c r="F4" s="1">
        <f>'Calibration Data'!$B$28*'Count-&gt;Actual Activity'!C4+'Calibration Data'!$B$27</f>
        <v>4.8451979330037638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0.2329802774981565</v>
      </c>
    </row>
    <row r="5" spans="1:7" x14ac:dyDescent="0.25">
      <c r="A5" t="s">
        <v>117</v>
      </c>
      <c r="B5" s="21" t="s">
        <v>105</v>
      </c>
      <c r="C5">
        <v>21.081666666666699</v>
      </c>
      <c r="D5">
        <v>0.37419958333333297</v>
      </c>
      <c r="E5" s="1" t="s">
        <v>54</v>
      </c>
      <c r="F5" s="1">
        <f>'Calibration Data'!$B$28*'Count-&gt;Actual Activity'!C5+'Calibration Data'!$B$27</f>
        <v>4.6069267133843219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0.23298011571524416</v>
      </c>
    </row>
    <row r="6" spans="1:7" x14ac:dyDescent="0.25">
      <c r="A6" t="s">
        <v>118</v>
      </c>
      <c r="B6" s="21" t="s">
        <v>105</v>
      </c>
      <c r="C6">
        <v>142.45249999999999</v>
      </c>
      <c r="D6">
        <v>2.2863626250000002</v>
      </c>
      <c r="E6" s="1" t="s">
        <v>54</v>
      </c>
      <c r="F6" s="1">
        <f>'Calibration Data'!$B$28*'Count-&gt;Actual Activity'!C6+'Calibration Data'!$B$27</f>
        <v>31.178911232124424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0.23304942468540124</v>
      </c>
    </row>
    <row r="7" spans="1:7" x14ac:dyDescent="0.25">
      <c r="A7" t="s">
        <v>120</v>
      </c>
      <c r="B7" s="21" t="s">
        <v>105</v>
      </c>
      <c r="C7">
        <v>22.289166666666699</v>
      </c>
      <c r="D7">
        <v>0.38560258333333303</v>
      </c>
      <c r="E7" s="1" t="s">
        <v>54</v>
      </c>
      <c r="F7" s="1">
        <f>'Calibration Data'!$B$28*'Count-&gt;Actual Activity'!C7+'Calibration Data'!$B$27</f>
        <v>4.8712873544475537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0.23298029571792817</v>
      </c>
    </row>
    <row r="8" spans="1:7" ht="15.75" customHeight="1" x14ac:dyDescent="0.25">
      <c r="A8" t="s">
        <v>121</v>
      </c>
      <c r="B8" s="21" t="s">
        <v>105</v>
      </c>
      <c r="C8">
        <v>20.921666666666699</v>
      </c>
      <c r="D8">
        <v>0.37345175000000003</v>
      </c>
      <c r="E8" s="1" t="s">
        <v>54</v>
      </c>
      <c r="F8" s="1">
        <f>'Calibration Data'!$B$28*'Count-&gt;Actual Activity'!C8+'Calibration Data'!$B$27</f>
        <v>4.5718975601171437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0.23298009263246677</v>
      </c>
    </row>
    <row r="9" spans="1:7" x14ac:dyDescent="0.25">
      <c r="A9" t="s">
        <v>122</v>
      </c>
      <c r="B9" s="21" t="s">
        <v>105</v>
      </c>
      <c r="C9">
        <v>23.5</v>
      </c>
      <c r="D9">
        <v>0.39597500000000002</v>
      </c>
      <c r="E9" s="1" t="s">
        <v>54</v>
      </c>
      <c r="F9" s="1">
        <f>'Calibration Data'!$B$28*'Count-&gt;Actual Activity'!C9+'Calibration Data'!$B$27</f>
        <v>5.1363777695371784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0.23298048650245881</v>
      </c>
    </row>
    <row r="10" spans="1:7" x14ac:dyDescent="0.25">
      <c r="A10" t="s">
        <v>119</v>
      </c>
      <c r="B10" s="21" t="s">
        <v>105</v>
      </c>
      <c r="C10">
        <v>22.48</v>
      </c>
      <c r="D10">
        <v>0.38778000000000001</v>
      </c>
      <c r="E10" s="1" t="s">
        <v>54</v>
      </c>
      <c r="F10" s="1">
        <f>'Calibration Data'!$B$28*'Count-&gt;Actual Activity'!C10+'Calibration Data'!$B$27</f>
        <v>4.9130669174589201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0.23298032510283156</v>
      </c>
    </row>
    <row r="11" spans="1:7" x14ac:dyDescent="0.25">
      <c r="A11" t="s">
        <v>123</v>
      </c>
      <c r="B11" s="21" t="s">
        <v>105</v>
      </c>
      <c r="C11">
        <v>30.108333333333299</v>
      </c>
      <c r="D11">
        <v>0.44861416666666698</v>
      </c>
      <c r="E11" s="1" t="s">
        <v>54</v>
      </c>
      <c r="F11" s="1">
        <f>'Calibration Data'!$B$28*'Count-&gt;Actual Activity'!C11+'Calibration Data'!$B$27</f>
        <v>6.5831547768742507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0.23298170923149206</v>
      </c>
    </row>
    <row r="12" spans="1:7" x14ac:dyDescent="0.25">
      <c r="A12" t="s">
        <v>124</v>
      </c>
      <c r="B12" s="21" t="s">
        <v>105</v>
      </c>
      <c r="C12">
        <v>21.858333333333299</v>
      </c>
      <c r="D12">
        <v>0.38142791666666698</v>
      </c>
      <c r="E12" s="1" t="s">
        <v>54</v>
      </c>
      <c r="F12" s="1">
        <f>'Calibration Data'!$B$28*'Count-&gt;Actual Activity'!C12+'Calibration Data'!$B$27</f>
        <v>4.7769640615353985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0.2329802303180758</v>
      </c>
    </row>
    <row r="13" spans="1:7" x14ac:dyDescent="0.25">
      <c r="A13" t="s">
        <v>125</v>
      </c>
      <c r="B13" s="21" t="s">
        <v>105</v>
      </c>
      <c r="C13">
        <v>22.336666666666702</v>
      </c>
      <c r="D13">
        <v>0.38530750000000002</v>
      </c>
      <c r="E13" s="1" t="s">
        <v>54</v>
      </c>
      <c r="F13" s="1">
        <f>'Calibration Data'!$B$28*'Count-&gt;Actual Activity'!C13+'Calibration Data'!$B$27</f>
        <v>4.8816866343237475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0.232980303008161</v>
      </c>
    </row>
    <row r="14" spans="1:7" x14ac:dyDescent="0.25">
      <c r="A14" t="s">
        <v>126</v>
      </c>
      <c r="B14" s="21" t="s">
        <v>105</v>
      </c>
      <c r="C14">
        <v>30.64</v>
      </c>
      <c r="D14">
        <v>0.45194000000000001</v>
      </c>
      <c r="E14" s="1" t="s">
        <v>54</v>
      </c>
      <c r="F14" s="1">
        <f>'Calibration Data'!$B$28*'Count-&gt;Actual Activity'!C14+'Calibration Data'!$B$27</f>
        <v>6.6995537340849847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0.23298182093806946</v>
      </c>
    </row>
    <row r="15" spans="1:7" x14ac:dyDescent="0.25">
      <c r="A15" t="s">
        <v>127</v>
      </c>
      <c r="B15" s="21" t="s">
        <v>105</v>
      </c>
      <c r="C15">
        <v>26.324166666666699</v>
      </c>
      <c r="D15">
        <v>0.41855425000000002</v>
      </c>
      <c r="E15" s="1" t="s">
        <v>54</v>
      </c>
      <c r="F15" s="1">
        <f>'Calibration Data'!$B$28*'Count-&gt;Actual Activity'!C15+'Calibration Data'!$B$27</f>
        <v>5.7546788134041922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0.23298097151651162</v>
      </c>
    </row>
    <row r="16" spans="1:7" x14ac:dyDescent="0.25">
      <c r="A16" t="s">
        <v>128</v>
      </c>
      <c r="B16" s="21" t="s">
        <v>105</v>
      </c>
      <c r="C16">
        <v>30.654166666666701</v>
      </c>
      <c r="D16">
        <v>0.45214895833333302</v>
      </c>
      <c r="E16" s="1" t="s">
        <v>54</v>
      </c>
      <c r="F16" s="1">
        <f>'Calibration Data'!$B$28*'Count-&gt;Actual Activity'!C16+'Calibration Data'!$B$27</f>
        <v>6.7026552736971903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0.23298182394173644</v>
      </c>
    </row>
    <row r="17" spans="1:7" x14ac:dyDescent="0.25">
      <c r="A17" t="s">
        <v>129</v>
      </c>
      <c r="B17" s="21" t="s">
        <v>105</v>
      </c>
      <c r="C17">
        <v>95.3808333333333</v>
      </c>
      <c r="D17">
        <v>0.80119899999999999</v>
      </c>
      <c r="E17" s="1" t="s">
        <v>54</v>
      </c>
      <c r="F17" s="1">
        <f>'Calibration Data'!$B$28*'Count-&gt;Actual Activity'!C17+'Calibration Data'!$B$27</f>
        <v>20.87340731832337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0.23301026437851405</v>
      </c>
    </row>
    <row r="18" spans="1:7" x14ac:dyDescent="0.25">
      <c r="A18" t="s">
        <v>130</v>
      </c>
      <c r="B18" s="21" t="s">
        <v>105</v>
      </c>
      <c r="C18">
        <v>106.710833333333</v>
      </c>
      <c r="D18">
        <v>0.84301558333333304</v>
      </c>
      <c r="E18" s="1" t="s">
        <v>54</v>
      </c>
      <c r="F18" s="1">
        <f>'Calibration Data'!$B$28*'Count-&gt;Actual Activity'!C18+'Calibration Data'!$B$27</f>
        <v>23.35390923405533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0.23301826860762143</v>
      </c>
    </row>
    <row r="19" spans="1:7" x14ac:dyDescent="0.25">
      <c r="A19" t="s">
        <v>131</v>
      </c>
      <c r="B19" s="21" t="s">
        <v>105</v>
      </c>
      <c r="C19">
        <v>102.535</v>
      </c>
      <c r="D19">
        <v>0.82540674999999997</v>
      </c>
      <c r="E19" s="1" t="s">
        <v>54</v>
      </c>
      <c r="F19" s="1">
        <f>'Calibration Data'!$B$28*'Count-&gt;Actual Activity'!C19+'Calibration Data'!$B$27</f>
        <v>22.439684822483382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0.23301521364992889</v>
      </c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Q23" sqref="Q2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133</v>
      </c>
      <c r="Y1" t="s">
        <v>134</v>
      </c>
      <c r="Z1" t="s">
        <v>136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2.9600000000000001E-2</v>
      </c>
      <c r="F2" s="1">
        <v>1E-4</v>
      </c>
      <c r="G2" s="1">
        <v>100</v>
      </c>
      <c r="H2" s="1">
        <v>5</v>
      </c>
      <c r="I2" s="1">
        <f>'Count-&gt;Actual Activity'!F2</f>
        <v>4.9816656759404694</v>
      </c>
      <c r="J2" s="1">
        <f>'Count-&gt;Actual Activity'!G2</f>
        <v>0.23298037390539131</v>
      </c>
      <c r="K2" s="1">
        <v>10</v>
      </c>
      <c r="L2" s="1">
        <v>0.02</v>
      </c>
      <c r="M2" s="1"/>
      <c r="N2" s="1"/>
      <c r="O2" s="1"/>
      <c r="P2" s="1"/>
      <c r="Q2">
        <f>I2/K2</f>
        <v>0.49816656759404693</v>
      </c>
      <c r="R2">
        <f>SQRT((L2/K2)^2+(J2/I2)^2)*Q2</f>
        <v>2.331933159349198E-2</v>
      </c>
      <c r="S2">
        <f>B2*Parameters!$B$6</f>
        <v>489.63599999999997</v>
      </c>
      <c r="T2">
        <f>SQRT((C2/B2)^2+(Parameters!$C$6/Parameters!$B$6)^2)*'Bottle Results'!S2</f>
        <v>21.758730937258267</v>
      </c>
      <c r="U2">
        <f t="shared" ref="U2:U19" si="0">(S2-Q2*G2)/E2</f>
        <v>14858.761595966056</v>
      </c>
      <c r="W2">
        <f t="shared" ref="W2:W19" si="1">(S2-Q2*G2)/S2</f>
        <v>0.89825777361263326</v>
      </c>
      <c r="X2" s="24">
        <v>42504.5625</v>
      </c>
      <c r="Y2" s="24">
        <v>42504.68472222222</v>
      </c>
      <c r="Z2" s="26">
        <f>Y2-X2</f>
        <v>0.12222222222044365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4.9572182460560992</v>
      </c>
      <c r="J3" s="1">
        <f>'Count-&gt;Actual Activity'!G3</f>
        <v>0.23298035643389295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0.49572182460560993</v>
      </c>
      <c r="R3">
        <f t="shared" ref="R3:R19" si="3">SQRT((L3/K3)^2+(J3/I3)^2)*Q3</f>
        <v>2.3319121453223735E-2</v>
      </c>
      <c r="S3">
        <f>B3*Parameters!$B$6</f>
        <v>489.63599999999997</v>
      </c>
      <c r="T3">
        <f>SQRT((C3/B3)^2+(Parameters!$C$6/Parameters!$B$6)^2)*'Bottle Results'!S3</f>
        <v>21.758730937258267</v>
      </c>
      <c r="U3">
        <f t="shared" si="0"/>
        <v>14767.242199310032</v>
      </c>
      <c r="W3">
        <f t="shared" si="1"/>
        <v>0.89875707166025165</v>
      </c>
      <c r="X3" s="24">
        <v>42504.569444444445</v>
      </c>
      <c r="Y3" s="24">
        <v>42504.69027777778</v>
      </c>
      <c r="Z3" s="26">
        <f t="shared" ref="Z3:Z19" si="4">Y3-X3</f>
        <v>0.12083333333430346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2.9600000000000001E-2</v>
      </c>
      <c r="F4" s="1">
        <v>1E-4</v>
      </c>
      <c r="G4" s="1">
        <v>100</v>
      </c>
      <c r="H4" s="1">
        <v>5</v>
      </c>
      <c r="I4" s="1">
        <f>'Count-&gt;Actual Activity'!F4</f>
        <v>4.8451979330037638</v>
      </c>
      <c r="J4" s="1">
        <f>'Count-&gt;Actual Activity'!G4</f>
        <v>0.2329802774981565</v>
      </c>
      <c r="K4" s="1">
        <v>10</v>
      </c>
      <c r="L4" s="1">
        <v>0.02</v>
      </c>
      <c r="M4" s="1"/>
      <c r="N4" s="1"/>
      <c r="O4" s="1"/>
      <c r="P4" s="1"/>
      <c r="Q4">
        <f t="shared" si="2"/>
        <v>0.48451979330037637</v>
      </c>
      <c r="R4">
        <f t="shared" si="3"/>
        <v>2.3318171771208384E-2</v>
      </c>
      <c r="S4">
        <f>B4*Parameters!$B$6</f>
        <v>489.63599999999997</v>
      </c>
      <c r="T4">
        <f>SQRT((C4/B4)^2+(Parameters!$C$6/Parameters!$B$6)^2)*'Bottle Results'!S4</f>
        <v>21.758730937258267</v>
      </c>
      <c r="U4">
        <f t="shared" si="0"/>
        <v>14904.865563174402</v>
      </c>
      <c r="W4">
        <f t="shared" si="1"/>
        <v>0.90104490002769877</v>
      </c>
      <c r="X4" s="24">
        <v>42504.572916666664</v>
      </c>
      <c r="Y4" s="24">
        <v>42504.695138888892</v>
      </c>
      <c r="Z4" s="26">
        <f t="shared" si="4"/>
        <v>0.12222222222771961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3.0499999999999999E-2</v>
      </c>
      <c r="F5" s="1">
        <v>1E-4</v>
      </c>
      <c r="G5" s="1">
        <v>100</v>
      </c>
      <c r="H5" s="1">
        <v>5</v>
      </c>
      <c r="I5" s="1">
        <f>'Count-&gt;Actual Activity'!F5</f>
        <v>4.6069267133843219</v>
      </c>
      <c r="J5" s="1">
        <f>'Count-&gt;Actual Activity'!G5</f>
        <v>0.23298011571524416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0.46069267133843217</v>
      </c>
      <c r="R5">
        <f t="shared" si="3"/>
        <v>2.3316223839562555E-2</v>
      </c>
      <c r="S5">
        <f>B5*Parameters!$B$6</f>
        <v>489.63599999999997</v>
      </c>
      <c r="T5">
        <f>SQRT((C5/B5)^2+(Parameters!$C$6/Parameters!$B$6)^2)*'Bottle Results'!S5</f>
        <v>21.758730937258267</v>
      </c>
      <c r="U5">
        <f t="shared" si="0"/>
        <v>14543.17156938219</v>
      </c>
      <c r="W5">
        <f t="shared" si="1"/>
        <v>0.9059111929395649</v>
      </c>
      <c r="X5" s="24">
        <v>42504.579861111109</v>
      </c>
      <c r="Y5" s="24">
        <v>42504.838194444441</v>
      </c>
      <c r="Z5" s="26">
        <f t="shared" si="4"/>
        <v>0.25833333333139308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31.178911232124424</v>
      </c>
      <c r="J6" s="1">
        <f>'Count-&gt;Actual Activity'!G6</f>
        <v>0.23304942468540124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3.1178911232124422</v>
      </c>
      <c r="R6">
        <f t="shared" si="3"/>
        <v>2.4124786500335976E-2</v>
      </c>
      <c r="S6">
        <f>B6*Parameters!$B$6</f>
        <v>489.63599999999997</v>
      </c>
      <c r="T6">
        <f>SQRT((C6/B6)^2+(Parameters!$C$6/Parameters!$B$6)^2)*'Bottle Results'!S6</f>
        <v>21.758730937258267</v>
      </c>
      <c r="U6">
        <f t="shared" si="0"/>
        <v>5774.2495999596022</v>
      </c>
      <c r="W6">
        <f t="shared" si="1"/>
        <v>0.36322265454083397</v>
      </c>
      <c r="X6" s="24">
        <v>42504.584722222222</v>
      </c>
      <c r="Y6" s="24">
        <v>42504.84375</v>
      </c>
      <c r="Z6" s="26">
        <f t="shared" si="4"/>
        <v>0.25902777777810115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0.03</v>
      </c>
      <c r="F7" s="1">
        <v>1E-4</v>
      </c>
      <c r="G7" s="1">
        <v>100</v>
      </c>
      <c r="H7" s="1">
        <v>5</v>
      </c>
      <c r="I7" s="1">
        <f>'Count-&gt;Actual Activity'!F7</f>
        <v>4.8712873544475537</v>
      </c>
      <c r="J7" s="1">
        <f>'Count-&gt;Actual Activity'!G7</f>
        <v>0.23298029571792817</v>
      </c>
      <c r="K7" s="1">
        <v>10</v>
      </c>
      <c r="L7" s="1">
        <v>0.02</v>
      </c>
      <c r="M7" s="1"/>
      <c r="N7" s="1"/>
      <c r="O7" s="1"/>
      <c r="P7" s="1"/>
      <c r="Q7">
        <f t="shared" si="2"/>
        <v>0.48712873544475538</v>
      </c>
      <c r="R7">
        <f t="shared" si="3"/>
        <v>2.3318391015413491E-2</v>
      </c>
      <c r="S7">
        <f>B7*Parameters!$B$6</f>
        <v>489.63599999999997</v>
      </c>
      <c r="T7">
        <f>SQRT((C7/B7)^2+(Parameters!$C$6/Parameters!$B$6)^2)*'Bottle Results'!S7</f>
        <v>21.758730937258267</v>
      </c>
      <c r="U7">
        <f t="shared" si="0"/>
        <v>14697.437548517481</v>
      </c>
      <c r="W7">
        <f t="shared" si="1"/>
        <v>0.90051206703658315</v>
      </c>
      <c r="X7" s="24">
        <v>42504.588194444441</v>
      </c>
      <c r="Y7" s="24">
        <v>42504.850694444445</v>
      </c>
      <c r="Z7" s="26">
        <f t="shared" si="4"/>
        <v>0.26250000000436557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3.04E-2</v>
      </c>
      <c r="F8" s="1">
        <v>1E-4</v>
      </c>
      <c r="G8" s="1">
        <v>100</v>
      </c>
      <c r="H8" s="1">
        <v>5</v>
      </c>
      <c r="I8" s="1">
        <f>'Count-&gt;Actual Activity'!F8</f>
        <v>4.5718975601171437</v>
      </c>
      <c r="J8" s="1">
        <f>'Count-&gt;Actual Activity'!G8</f>
        <v>0.23298009263246677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0.45718975601171435</v>
      </c>
      <c r="R8">
        <f t="shared" si="3"/>
        <v>2.3315945735104465E-2</v>
      </c>
      <c r="S8">
        <f>B8*Parameters!$B$6</f>
        <v>489.63599999999997</v>
      </c>
      <c r="T8">
        <f>SQRT((C8/B8)^2+(Parameters!$C$6/Parameters!$B$6)^2)*'Bottle Results'!S8</f>
        <v>21.758730937258267</v>
      </c>
      <c r="U8">
        <f t="shared" si="0"/>
        <v>14602.533697329885</v>
      </c>
      <c r="W8">
        <f t="shared" si="1"/>
        <v>0.90662660506749615</v>
      </c>
      <c r="X8" s="24">
        <v>42504.59375</v>
      </c>
      <c r="Y8" s="24">
        <v>42505.59652777778</v>
      </c>
      <c r="Z8" s="26">
        <f t="shared" si="4"/>
        <v>1.0027777777795563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2.93E-2</v>
      </c>
      <c r="F9" s="1">
        <v>1E-4</v>
      </c>
      <c r="G9" s="1">
        <v>100</v>
      </c>
      <c r="H9" s="1">
        <v>5</v>
      </c>
      <c r="I9" s="1">
        <f>'Count-&gt;Actual Activity'!F9</f>
        <v>5.1363777695371784</v>
      </c>
      <c r="J9" s="1">
        <f>'Count-&gt;Actual Activity'!G9</f>
        <v>0.23298048650245881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0.51363777695371782</v>
      </c>
      <c r="R9">
        <f t="shared" si="3"/>
        <v>2.3320685366705667E-2</v>
      </c>
      <c r="S9">
        <f>B9*Parameters!$B$6</f>
        <v>489.63599999999997</v>
      </c>
      <c r="T9">
        <f>SQRT((C9/B9)^2+(Parameters!$C$6/Parameters!$B$6)^2)*'Bottle Results'!S9</f>
        <v>21.758730937258267</v>
      </c>
      <c r="U9">
        <f t="shared" si="0"/>
        <v>14958.096324390041</v>
      </c>
      <c r="W9">
        <f t="shared" si="1"/>
        <v>0.8950980367142698</v>
      </c>
      <c r="X9" s="24">
        <v>42504.6</v>
      </c>
      <c r="Y9" s="24">
        <v>42505.600694444445</v>
      </c>
      <c r="Z9" s="26">
        <f t="shared" si="4"/>
        <v>1.0006944444467081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4.9130669174589201</v>
      </c>
      <c r="J10" s="1">
        <f>'Count-&gt;Actual Activity'!G10</f>
        <v>0.23298032510283156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0.49130669174589203</v>
      </c>
      <c r="R10">
        <f t="shared" si="3"/>
        <v>2.3318744561224302E-2</v>
      </c>
      <c r="S10">
        <f>B10*Parameters!$B$6</f>
        <v>489.63599999999997</v>
      </c>
      <c r="T10">
        <f>SQRT((C10/B10)^2+(Parameters!$C$6/Parameters!$B$6)^2)*'Bottle Results'!S10</f>
        <v>21.758730937258267</v>
      </c>
      <c r="U10">
        <f t="shared" si="0"/>
        <v>14732.619760047182</v>
      </c>
      <c r="W10">
        <f t="shared" si="1"/>
        <v>0.89965878902983187</v>
      </c>
      <c r="X10" s="24">
        <v>42504.606249999997</v>
      </c>
      <c r="Y10" s="24">
        <v>42505.604166666664</v>
      </c>
      <c r="Z10" s="26">
        <f t="shared" si="4"/>
        <v>0.99791666666715173</v>
      </c>
    </row>
    <row r="11" spans="1:26" x14ac:dyDescent="0.25">
      <c r="A11" t="s">
        <v>123</v>
      </c>
      <c r="B11">
        <v>0.34799999999999998</v>
      </c>
      <c r="C11">
        <v>2E-3</v>
      </c>
      <c r="D11" s="1">
        <v>7.02</v>
      </c>
      <c r="E11" s="1">
        <v>2.9100000000000001E-2</v>
      </c>
      <c r="F11" s="1">
        <v>1E-4</v>
      </c>
      <c r="G11" s="1">
        <v>100</v>
      </c>
      <c r="H11" s="1">
        <v>5</v>
      </c>
      <c r="I11" s="1">
        <f>'Count-&gt;Actual Activity'!F11</f>
        <v>6.5831547768742507</v>
      </c>
      <c r="J11" s="1">
        <f>'Count-&gt;Actual Activity'!G11</f>
        <v>0.23298170923149206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0.65831547768742504</v>
      </c>
      <c r="R11">
        <f t="shared" si="3"/>
        <v>2.3335344125101871E-2</v>
      </c>
      <c r="S11">
        <f>B11*Parameters!$B$6</f>
        <v>489.63599999999997</v>
      </c>
      <c r="T11">
        <f>SQRT((C11/B11)^2+(Parameters!$C$6/Parameters!$B$6)^2)*'Bottle Results'!S11</f>
        <v>21.758730937258267</v>
      </c>
      <c r="U11">
        <f t="shared" si="0"/>
        <v>14563.726880799226</v>
      </c>
      <c r="W11">
        <f t="shared" si="1"/>
        <v>0.86555002538877346</v>
      </c>
      <c r="X11" s="24">
        <v>42504.611111111109</v>
      </c>
      <c r="Y11" s="24">
        <v>42515.411111111112</v>
      </c>
      <c r="Z11" s="26">
        <f t="shared" si="4"/>
        <v>10.80000000000291</v>
      </c>
    </row>
    <row r="12" spans="1:26" x14ac:dyDescent="0.25">
      <c r="A12" t="s">
        <v>124</v>
      </c>
      <c r="B12">
        <v>0.34799999999999998</v>
      </c>
      <c r="C12">
        <v>2E-3</v>
      </c>
      <c r="D12" s="1">
        <v>6.99</v>
      </c>
      <c r="E12" s="1">
        <v>3.0599999999999999E-2</v>
      </c>
      <c r="F12" s="1">
        <v>1E-4</v>
      </c>
      <c r="G12" s="1">
        <v>100</v>
      </c>
      <c r="H12" s="1">
        <v>5</v>
      </c>
      <c r="I12" s="1">
        <f>'Count-&gt;Actual Activity'!F12</f>
        <v>4.7769640615353985</v>
      </c>
      <c r="J12" s="1">
        <f>'Count-&gt;Actual Activity'!G12</f>
        <v>0.2329802303180758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0.47769640615353987</v>
      </c>
      <c r="R12">
        <f t="shared" si="3"/>
        <v>2.3317603920995925E-2</v>
      </c>
      <c r="S12">
        <f>B12*Parameters!$B$6</f>
        <v>489.63599999999997</v>
      </c>
      <c r="T12">
        <f>SQRT((C12/B12)^2+(Parameters!$C$6/Parameters!$B$6)^2)*'Bottle Results'!S12</f>
        <v>21.758730937258267</v>
      </c>
      <c r="U12">
        <f t="shared" si="0"/>
        <v>14440.0771040734</v>
      </c>
      <c r="W12">
        <f t="shared" si="1"/>
        <v>0.90243846323523191</v>
      </c>
      <c r="X12" s="24">
        <v>42504.615972222222</v>
      </c>
      <c r="Y12" s="24">
        <v>42515.412499999999</v>
      </c>
      <c r="Z12" s="26">
        <f t="shared" si="4"/>
        <v>10.796527777776646</v>
      </c>
    </row>
    <row r="13" spans="1:26" x14ac:dyDescent="0.25">
      <c r="A13" t="s">
        <v>125</v>
      </c>
      <c r="B13">
        <v>0.34799999999999998</v>
      </c>
      <c r="C13">
        <v>2E-3</v>
      </c>
      <c r="D13" s="1">
        <v>6.98</v>
      </c>
      <c r="E13" s="1">
        <v>2.9399999999999999E-2</v>
      </c>
      <c r="F13" s="1">
        <v>1E-4</v>
      </c>
      <c r="G13" s="1">
        <v>100</v>
      </c>
      <c r="H13" s="1">
        <v>5</v>
      </c>
      <c r="I13" s="1">
        <f>'Count-&gt;Actual Activity'!F13</f>
        <v>4.8816866343237475</v>
      </c>
      <c r="J13" s="1">
        <f>'Count-&gt;Actual Activity'!G13</f>
        <v>0.232980303008161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0.48816866343237475</v>
      </c>
      <c r="R13">
        <f t="shared" si="3"/>
        <v>2.3318478734119311E-2</v>
      </c>
      <c r="S13">
        <f>B13*Parameters!$B$6</f>
        <v>489.63599999999997</v>
      </c>
      <c r="T13">
        <f>SQRT((C13/B13)^2+(Parameters!$C$6/Parameters!$B$6)^2)*'Bottle Results'!S13</f>
        <v>21.758730937258267</v>
      </c>
      <c r="U13">
        <f t="shared" si="0"/>
        <v>14993.848083563349</v>
      </c>
      <c r="W13">
        <f t="shared" si="1"/>
        <v>0.90029967906110353</v>
      </c>
      <c r="X13" s="24">
        <v>42504.619444444441</v>
      </c>
      <c r="Y13" s="24">
        <v>42515.413888888892</v>
      </c>
      <c r="Z13" s="26">
        <f t="shared" si="4"/>
        <v>10.794444444451074</v>
      </c>
    </row>
    <row r="14" spans="1:26" x14ac:dyDescent="0.25">
      <c r="A14" t="s">
        <v>126</v>
      </c>
      <c r="B14">
        <v>0.34799999999999998</v>
      </c>
      <c r="C14">
        <v>2E-3</v>
      </c>
      <c r="D14" s="1">
        <v>6.98</v>
      </c>
      <c r="E14" s="1">
        <v>2.92E-2</v>
      </c>
      <c r="F14" s="1">
        <v>1E-4</v>
      </c>
      <c r="G14" s="1">
        <v>100</v>
      </c>
      <c r="H14" s="1">
        <v>5</v>
      </c>
      <c r="I14" s="1">
        <f>'Count-&gt;Actual Activity'!F14</f>
        <v>6.6995537340849847</v>
      </c>
      <c r="J14" s="1">
        <f>'Count-&gt;Actual Activity'!G14</f>
        <v>0.23298182093806946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0.66995537340849842</v>
      </c>
      <c r="R14">
        <f t="shared" si="3"/>
        <v>2.3336680348447641E-2</v>
      </c>
      <c r="S14">
        <f>B14*Parameters!$B$6</f>
        <v>489.63599999999997</v>
      </c>
      <c r="T14">
        <f>SQRT((C14/B14)^2+(Parameters!$C$6/Parameters!$B$6)^2)*'Bottle Results'!S14</f>
        <v>21.758730937258267</v>
      </c>
      <c r="U14">
        <f t="shared" si="0"/>
        <v>14473.988447231168</v>
      </c>
      <c r="W14">
        <f t="shared" si="1"/>
        <v>0.86317277050533481</v>
      </c>
      <c r="X14" s="24">
        <v>42504.622916666667</v>
      </c>
      <c r="Y14" s="24">
        <v>42515.436111111114</v>
      </c>
      <c r="Z14" s="26">
        <f t="shared" si="4"/>
        <v>10.813194444446708</v>
      </c>
    </row>
    <row r="15" spans="1:26" x14ac:dyDescent="0.25">
      <c r="A15" t="s">
        <v>127</v>
      </c>
      <c r="B15">
        <v>0.34799999999999998</v>
      </c>
      <c r="C15">
        <v>2E-3</v>
      </c>
      <c r="D15" s="1">
        <v>6.96</v>
      </c>
      <c r="E15" s="1">
        <v>0.03</v>
      </c>
      <c r="F15" s="1">
        <v>1E-4</v>
      </c>
      <c r="G15" s="1">
        <v>100</v>
      </c>
      <c r="H15" s="1">
        <v>5</v>
      </c>
      <c r="I15" s="1">
        <f>'Count-&gt;Actual Activity'!F15</f>
        <v>5.7546788134041922</v>
      </c>
      <c r="J15" s="1">
        <f>'Count-&gt;Actual Activity'!G15</f>
        <v>0.23298097151651162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0.57546788134041926</v>
      </c>
      <c r="R15">
        <f t="shared" si="3"/>
        <v>2.3326508183129206E-2</v>
      </c>
      <c r="S15">
        <f>B15*Parameters!$B$6</f>
        <v>489.63599999999997</v>
      </c>
      <c r="T15">
        <f>SQRT((C15/B15)^2+(Parameters!$C$6/Parameters!$B$6)^2)*'Bottle Results'!S15</f>
        <v>21.758730937258267</v>
      </c>
      <c r="U15">
        <f t="shared" si="0"/>
        <v>14402.973728865269</v>
      </c>
      <c r="W15">
        <f t="shared" si="1"/>
        <v>0.88247026743531531</v>
      </c>
      <c r="X15" s="24">
        <v>42504.666666666664</v>
      </c>
      <c r="Y15" s="24">
        <v>42515.4375</v>
      </c>
      <c r="Z15" s="26">
        <f t="shared" si="4"/>
        <v>10.770833333335759</v>
      </c>
    </row>
    <row r="16" spans="1:26" x14ac:dyDescent="0.25">
      <c r="A16" t="s">
        <v>128</v>
      </c>
      <c r="B16">
        <v>0.34799999999999998</v>
      </c>
      <c r="C16">
        <v>2E-3</v>
      </c>
      <c r="D16" s="1">
        <v>7.03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6.7026552736971903</v>
      </c>
      <c r="J16" s="1">
        <f>'Count-&gt;Actual Activity'!G16</f>
        <v>0.23298182394173644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0.67026552736971901</v>
      </c>
      <c r="R16">
        <f t="shared" si="3"/>
        <v>2.333671627245152E-2</v>
      </c>
      <c r="S16">
        <f>B16*Parameters!$B$6</f>
        <v>489.63599999999997</v>
      </c>
      <c r="T16">
        <f>SQRT((C16/B16)^2+(Parameters!$C$6/Parameters!$B$6)^2)*'Bottle Results'!S16</f>
        <v>21.758730937258267</v>
      </c>
      <c r="U16">
        <f t="shared" si="0"/>
        <v>14423.530623311539</v>
      </c>
      <c r="W16">
        <f t="shared" si="1"/>
        <v>0.86310942672317414</v>
      </c>
      <c r="X16" s="24">
        <v>42504.669444444444</v>
      </c>
      <c r="Y16" s="24">
        <v>42515.44027777778</v>
      </c>
      <c r="Z16" s="26">
        <f t="shared" si="4"/>
        <v>10.770833333335759</v>
      </c>
    </row>
    <row r="17" spans="1:26" x14ac:dyDescent="0.25">
      <c r="A17" t="s">
        <v>129</v>
      </c>
      <c r="C17">
        <v>2E-3</v>
      </c>
      <c r="D17" s="1">
        <v>7</v>
      </c>
      <c r="E17" s="1">
        <v>2.92E-2</v>
      </c>
      <c r="F17" s="1">
        <v>5.0000000000000001E-4</v>
      </c>
      <c r="G17" s="1">
        <v>100</v>
      </c>
      <c r="H17" s="1">
        <v>5</v>
      </c>
      <c r="I17" s="1">
        <f>'Count-&gt;Actual Activity'!F17</f>
        <v>20.87340731832337</v>
      </c>
      <c r="J17" s="1">
        <f>'Count-&gt;Actual Activity'!G17</f>
        <v>0.23301026437851405</v>
      </c>
      <c r="K17" s="1">
        <v>10</v>
      </c>
      <c r="L17" s="1">
        <v>0.02</v>
      </c>
      <c r="Q17">
        <f t="shared" si="2"/>
        <v>2.0873407318323371</v>
      </c>
      <c r="R17">
        <f t="shared" si="3"/>
        <v>2.3672046772100538E-2</v>
      </c>
      <c r="S17">
        <f>U14*E14</f>
        <v>422.6404626591501</v>
      </c>
      <c r="T17" t="e">
        <f>SQRT((C17/B17)^2+(Parameters!$C$6/Parameters!$B$6)^2)*'Bottle Results'!S17</f>
        <v>#DIV/0!</v>
      </c>
      <c r="U17">
        <f t="shared" si="0"/>
        <v>7325.5612834217945</v>
      </c>
      <c r="W17">
        <f t="shared" si="1"/>
        <v>0.5061190500551459</v>
      </c>
      <c r="X17" s="24">
        <v>42515.473611111112</v>
      </c>
      <c r="Y17" s="24">
        <v>42516.461111111108</v>
      </c>
      <c r="Z17" s="26">
        <f t="shared" si="4"/>
        <v>0.98749999999563443</v>
      </c>
    </row>
    <row r="18" spans="1:26" x14ac:dyDescent="0.25">
      <c r="A18" t="s">
        <v>130</v>
      </c>
      <c r="C18">
        <v>2E-3</v>
      </c>
      <c r="D18" s="1">
        <v>7</v>
      </c>
      <c r="E18" s="1">
        <v>0.03</v>
      </c>
      <c r="F18" s="1">
        <v>5.0000000000000001E-4</v>
      </c>
      <c r="G18" s="1">
        <v>100</v>
      </c>
      <c r="H18" s="1">
        <v>5</v>
      </c>
      <c r="I18" s="1">
        <f>'Count-&gt;Actual Activity'!F18</f>
        <v>23.35390923405533</v>
      </c>
      <c r="J18" s="1">
        <f>'Count-&gt;Actual Activity'!G18</f>
        <v>0.23301826860762143</v>
      </c>
      <c r="K18" s="1">
        <v>10</v>
      </c>
      <c r="L18" s="1">
        <v>0.02</v>
      </c>
      <c r="Q18">
        <f t="shared" si="2"/>
        <v>2.3353909234055328</v>
      </c>
      <c r="R18">
        <f t="shared" si="3"/>
        <v>2.3765339006827479E-2</v>
      </c>
      <c r="S18">
        <f>U15*E15</f>
        <v>432.08921186595802</v>
      </c>
      <c r="T18" t="e">
        <f>SQRT((C18/B18)^2+(Parameters!$C$6/Parameters!$B$6)^2)*'Bottle Results'!S18</f>
        <v>#DIV/0!</v>
      </c>
      <c r="U18">
        <f t="shared" si="0"/>
        <v>6618.3373175134911</v>
      </c>
      <c r="W18">
        <f t="shared" si="1"/>
        <v>0.45951186484840684</v>
      </c>
      <c r="X18" s="24">
        <v>42515.479166666664</v>
      </c>
      <c r="Y18" s="24">
        <v>42516.475694444445</v>
      </c>
      <c r="Z18" s="26">
        <f t="shared" si="4"/>
        <v>0.99652777778101154</v>
      </c>
    </row>
    <row r="19" spans="1:26" x14ac:dyDescent="0.25">
      <c r="A19" t="s">
        <v>131</v>
      </c>
      <c r="C19">
        <v>2E-3</v>
      </c>
      <c r="D19" s="1">
        <v>7</v>
      </c>
      <c r="E19" s="1">
        <v>2.93E-2</v>
      </c>
      <c r="F19" s="1">
        <v>5.0000000000000001E-4</v>
      </c>
      <c r="G19" s="1">
        <v>100</v>
      </c>
      <c r="H19" s="1">
        <v>5</v>
      </c>
      <c r="I19" s="1">
        <f>'Count-&gt;Actual Activity'!F19</f>
        <v>22.439684822483382</v>
      </c>
      <c r="J19" s="1">
        <f>'Count-&gt;Actual Activity'!G19</f>
        <v>0.23301521364992889</v>
      </c>
      <c r="K19" s="1">
        <v>10</v>
      </c>
      <c r="L19" s="1">
        <v>0.02</v>
      </c>
      <c r="Q19">
        <f t="shared" si="2"/>
        <v>2.2439684822483383</v>
      </c>
      <c r="R19">
        <f t="shared" si="3"/>
        <v>2.372978036393333E-2</v>
      </c>
      <c r="S19">
        <f>U16*E16</f>
        <v>422.60944726302807</v>
      </c>
      <c r="T19" t="e">
        <f>SQRT((C19/B19)^2+(Parameters!$C$6/Parameters!$B$6)^2)*'Bottle Results'!S19</f>
        <v>#DIV/0!</v>
      </c>
      <c r="U19">
        <f t="shared" si="0"/>
        <v>6764.9351207574828</v>
      </c>
      <c r="W19">
        <f t="shared" si="1"/>
        <v>0.46902074793143139</v>
      </c>
      <c r="X19" s="24">
        <v>42515.486111111109</v>
      </c>
      <c r="Y19" s="24">
        <v>42516.472916666666</v>
      </c>
      <c r="Z19" s="26">
        <f t="shared" si="4"/>
        <v>0.98680555555620231</v>
      </c>
    </row>
    <row r="23" spans="1:26" x14ac:dyDescent="0.25">
      <c r="Q23">
        <f>(Q17*100-S17)/Q14</f>
        <v>-319.28453441254686</v>
      </c>
    </row>
    <row r="24" spans="1:26" x14ac:dyDescent="0.25">
      <c r="Q24">
        <f>(Q18*100-S18)/Q15</f>
        <v>-345.02380751976665</v>
      </c>
    </row>
    <row r="25" spans="1:26" x14ac:dyDescent="0.25">
      <c r="Q25">
        <f>(Q19*100-S19)/Q16</f>
        <v>-295.7225024178515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L17" sqref="L17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135</v>
      </c>
      <c r="L1" t="s">
        <v>143</v>
      </c>
      <c r="M1" t="s">
        <v>144</v>
      </c>
      <c r="O1" t="s">
        <v>145</v>
      </c>
      <c r="P1">
        <v>90</v>
      </c>
      <c r="Q1" t="s">
        <v>148</v>
      </c>
    </row>
    <row r="2" spans="1:17" x14ac:dyDescent="0.25">
      <c r="A2" t="s">
        <v>137</v>
      </c>
      <c r="B2">
        <f>AVERAGE('Bottle Results'!Q2:Q4)</f>
        <v>0.49280272850001111</v>
      </c>
      <c r="C2">
        <f>_xlfn.STDEV.S('Bottle Results'!Q2:Q4)</f>
        <v>7.2766375277932257E-3</v>
      </c>
      <c r="D2">
        <f>AVERAGE('Bottle Results'!U2:U4)</f>
        <v>14843.623119483498</v>
      </c>
      <c r="E2">
        <f>_xlfn.STDEV.S('Bottle Results'!U2:U4)</f>
        <v>70.049465900861307</v>
      </c>
      <c r="F2">
        <f>AVERAGE('Bottle Results'!S2:S4)</f>
        <v>489.63599999999997</v>
      </c>
      <c r="G2">
        <f>AVERAGE('Bottle Results'!W2:W4)</f>
        <v>0.89935324843352793</v>
      </c>
      <c r="H2">
        <f>_xlfn.STDEV.S('Bottle Results'!W2:W4)</f>
        <v>1.486132050705635E-3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0.12175925926082225</v>
      </c>
      <c r="L2" s="1">
        <f>AVERAGE('Bottle Results'!E2:E4)</f>
        <v>2.9666666666666664E-2</v>
      </c>
      <c r="O2" t="s">
        <v>146</v>
      </c>
      <c r="P2">
        <f>B6*(100-P1)+D6*L6</f>
        <v>432.17380846790718</v>
      </c>
      <c r="Q2" t="s">
        <v>147</v>
      </c>
    </row>
    <row r="3" spans="1:17" x14ac:dyDescent="0.25">
      <c r="A3" t="s">
        <v>138</v>
      </c>
      <c r="B3">
        <f>AVERAGE('Bottle Results'!Q5,'Bottle Results'!Q7)</f>
        <v>0.4739107033915938</v>
      </c>
      <c r="C3">
        <f>_xlfn.STDEV.S('Bottle Results'!Q5,'Bottle Results'!Q7)</f>
        <v>1.8693120197463428E-2</v>
      </c>
      <c r="D3">
        <f>AVERAGE('Bottle Results'!U5,'Bottle Results'!U7)</f>
        <v>14620.304558949836</v>
      </c>
      <c r="E3">
        <f>_xlfn.STDEV.S('Bottle Results'!U5,'Bottle Results'!U7)</f>
        <v>109.08251995294656</v>
      </c>
      <c r="F3">
        <f>AVERAGE('Bottle Results'!S5,'Bottle Results'!S7)</f>
        <v>489.63599999999997</v>
      </c>
      <c r="G3">
        <f>AVERAGE('Bottle Results'!W5,'Bottle Results'!W7)</f>
        <v>0.90321162998807403</v>
      </c>
      <c r="H3">
        <f>_xlfn.STDEV.S('Bottle Results'!W5,'Bottle Results'!W7)</f>
        <v>3.8177585384783367E-3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0.25995370370461995</v>
      </c>
      <c r="L3" s="1">
        <f>AVERAGE('Bottle Results'!E5:E7)</f>
        <v>3.043333333333333E-2</v>
      </c>
      <c r="O3" t="s">
        <v>149</v>
      </c>
      <c r="P3">
        <f>100</f>
        <v>100</v>
      </c>
    </row>
    <row r="4" spans="1:17" x14ac:dyDescent="0.25">
      <c r="A4" t="s">
        <v>139</v>
      </c>
      <c r="B4">
        <f>AVERAGE('Bottle Results'!Q8:Q10)</f>
        <v>0.48737807490377466</v>
      </c>
      <c r="C4">
        <f>_xlfn.STDEV.S('Bottle Results'!Q8:Q10)</f>
        <v>2.8428336036186521E-2</v>
      </c>
      <c r="D4">
        <f>AVERAGE('Bottle Results'!U8:U10)</f>
        <v>14764.416593922369</v>
      </c>
      <c r="E4">
        <f>_xlfn.STDEV.S('Bottle Results'!U8:U10)</f>
        <v>179.90129077870571</v>
      </c>
      <c r="F4">
        <f>AVERAGE('Bottle Results'!S8:S10)</f>
        <v>489.63599999999997</v>
      </c>
      <c r="G4">
        <f>AVERAGE('Bottle Results'!W8:W10)</f>
        <v>0.90046114360386598</v>
      </c>
      <c r="H4">
        <f>_xlfn.STDEV.S('Bottle Results'!W8:W10)</f>
        <v>5.8060142710475741E-3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1.0004629629644721</v>
      </c>
      <c r="L4" s="1">
        <f>AVERAGE('Bottle Results'!E8:E10)</f>
        <v>2.9866666666666666E-2</v>
      </c>
      <c r="O4" t="s">
        <v>150</v>
      </c>
      <c r="P4">
        <f>P3*B7</f>
        <v>222.22333791620693</v>
      </c>
    </row>
    <row r="5" spans="1:17" x14ac:dyDescent="0.25">
      <c r="A5" t="s">
        <v>140</v>
      </c>
      <c r="B5">
        <f>AVERAGE('Bottle Results'!Q11:Q13)</f>
        <v>0.54139351575777994</v>
      </c>
      <c r="C5">
        <f>_xlfn.STDEV.S('Bottle Results'!Q11:Q13)</f>
        <v>0.10139268183274636</v>
      </c>
      <c r="D5">
        <f>AVERAGE('Bottle Results'!U11:U13)</f>
        <v>14665.88402281199</v>
      </c>
      <c r="E5">
        <f>_xlfn.STDEV.S('Bottle Results'!U11:U13)</f>
        <v>290.6761697825894</v>
      </c>
      <c r="F5">
        <f>AVERAGE('Bottle Results'!S11:S13)</f>
        <v>489.63599999999997</v>
      </c>
      <c r="G5">
        <f>AVERAGE('Bottle Results'!W11:W13)</f>
        <v>0.88942938922836967</v>
      </c>
      <c r="H5">
        <f>_xlfn.STDEV.S('Bottle Results'!W11:W13)</f>
        <v>2.0707766960098222E-2</v>
      </c>
      <c r="I5">
        <f>AVERAGE('Bottle Results'!D11:D13)</f>
        <v>6.996666666666667</v>
      </c>
      <c r="J5">
        <f>_xlfn.STDEV.S('Bottle Results'!D11:D13)</f>
        <v>2.0816659994660883E-2</v>
      </c>
      <c r="K5" s="26">
        <f>AVERAGE('Bottle Results'!Z11:Z13)</f>
        <v>10.796990740743544</v>
      </c>
      <c r="L5" s="1">
        <f>AVERAGE('Bottle Results'!E11:E13)</f>
        <v>2.9700000000000001E-2</v>
      </c>
    </row>
    <row r="6" spans="1:17" x14ac:dyDescent="0.25">
      <c r="A6" t="s">
        <v>141</v>
      </c>
      <c r="B6">
        <f>AVERAGE('Bottle Results'!Q14:Q16)</f>
        <v>0.6385629273728789</v>
      </c>
      <c r="C6">
        <f>_xlfn.STDEV.S('Bottle Results'!Q14:Q16)</f>
        <v>5.4642132775437717E-2</v>
      </c>
      <c r="D6">
        <f>AVERAGE('Bottle Results'!U14:U16)</f>
        <v>14433.497599802658</v>
      </c>
      <c r="E6">
        <f>_xlfn.STDEV.S('Bottle Results'!U14:U16)</f>
        <v>36.541456202892242</v>
      </c>
      <c r="F6">
        <f>AVERAGE('Bottle Results'!S14:S16)</f>
        <v>489.63599999999997</v>
      </c>
      <c r="G6">
        <f>AVERAGE('Bottle Results'!W14:W16)</f>
        <v>0.86958415488794139</v>
      </c>
      <c r="H6">
        <f>_xlfn.STDEV.S('Bottle Results'!W14:W16)</f>
        <v>1.1159745765310907E-2</v>
      </c>
      <c r="I6">
        <f>AVERAGE('Bottle Results'!D14:D16)</f>
        <v>6.9900000000000011</v>
      </c>
      <c r="J6">
        <f>_xlfn.STDEV.S('Bottle Results'!D14:D16)</f>
        <v>3.6055512754639987E-2</v>
      </c>
      <c r="K6" s="26">
        <f>AVERAGE('Bottle Results'!Z14:Z16)</f>
        <v>10.784953703706075</v>
      </c>
      <c r="L6" s="1">
        <f>AVERAGE('Bottle Results'!E14:E16)</f>
        <v>2.9499999999999998E-2</v>
      </c>
    </row>
    <row r="7" spans="1:17" x14ac:dyDescent="0.25">
      <c r="A7" t="s">
        <v>142</v>
      </c>
      <c r="B7">
        <f>AVERAGE('Bottle Results'!Q17:Q19)</f>
        <v>2.2222333791620694</v>
      </c>
      <c r="C7">
        <f>_xlfn.STDEV.S('Bottle Results'!Q17:Q19)</f>
        <v>0.12544534831751561</v>
      </c>
      <c r="D7">
        <f>AVERAGE('Bottle Results'!U17:U19)</f>
        <v>6902.9445738975892</v>
      </c>
      <c r="E7">
        <f>_xlfn.STDEV.S('Bottle Results'!U17:U19)</f>
        <v>373.26450588797047</v>
      </c>
      <c r="F7">
        <f>AVERAGE('Bottle Results'!S17:S19)</f>
        <v>425.77970726271207</v>
      </c>
      <c r="G7">
        <f>AVERAGE('Bottle Results'!W17:W19)</f>
        <v>0.47821722094499469</v>
      </c>
      <c r="H7">
        <f>_xlfn.STDEV.S('Bottle Results'!W17:W19)</f>
        <v>2.4626992612593157E-2</v>
      </c>
      <c r="I7">
        <f>AVERAGE('Bottle Results'!D17:D19)</f>
        <v>7</v>
      </c>
      <c r="J7">
        <f>_xlfn.STDEV.S('Bottle Results'!D17:D19)</f>
        <v>0</v>
      </c>
      <c r="K7" s="26">
        <f>AVERAGE('Bottle Results'!Z17:Z19)</f>
        <v>0.99027777777761605</v>
      </c>
      <c r="L7" s="1">
        <f>AVERAGE('Bottle Results'!E17:E19)</f>
        <v>2.9499999999999998E-2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2017-04-19T17:42:20Z</dcterms:modified>
</cp:coreProperties>
</file>