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9\"/>
    </mc:Choice>
  </mc:AlternateContent>
  <bookViews>
    <workbookView xWindow="0" yWindow="0" windowWidth="7470" windowHeight="12285" firstSheet="2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J2" i="8"/>
  <c r="I7" i="8"/>
  <c r="I6" i="8"/>
  <c r="I5" i="8"/>
  <c r="I4" i="8"/>
  <c r="I3" i="8"/>
  <c r="I2" i="8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" i="2"/>
  <c r="G2" i="2" s="1"/>
  <c r="L10" i="7"/>
  <c r="L9" i="7"/>
  <c r="K9" i="7"/>
  <c r="G9" i="7"/>
  <c r="E9" i="7"/>
  <c r="D9" i="7"/>
  <c r="C9" i="7"/>
  <c r="L8" i="7"/>
  <c r="K8" i="7"/>
  <c r="H8" i="7"/>
  <c r="I8" i="7" s="1"/>
  <c r="E8" i="7"/>
  <c r="D8" i="7"/>
  <c r="K7" i="7"/>
  <c r="I7" i="7"/>
  <c r="E7" i="7"/>
  <c r="D7" i="7"/>
  <c r="L7" i="7" s="1"/>
  <c r="L6" i="7"/>
  <c r="K6" i="7"/>
  <c r="H6" i="7"/>
  <c r="I6" i="7" s="1"/>
  <c r="E6" i="7"/>
  <c r="D6" i="7"/>
  <c r="K5" i="7"/>
  <c r="H5" i="7"/>
  <c r="I5" i="7" s="1"/>
  <c r="J5" i="7" s="1"/>
  <c r="E5" i="7"/>
  <c r="D5" i="7"/>
  <c r="L5" i="7" s="1"/>
  <c r="K4" i="7"/>
  <c r="H4" i="7"/>
  <c r="I4" i="7" s="1"/>
  <c r="E4" i="7"/>
  <c r="D4" i="7"/>
  <c r="L4" i="7" s="1"/>
  <c r="L3" i="7"/>
  <c r="K3" i="7"/>
  <c r="I3" i="7"/>
  <c r="J3" i="7" s="1"/>
  <c r="H3" i="7"/>
  <c r="E3" i="7"/>
  <c r="D3" i="7"/>
  <c r="K2" i="7"/>
  <c r="E2" i="7"/>
  <c r="D2" i="7"/>
  <c r="L2" i="7" s="1"/>
  <c r="J7" i="7" l="1"/>
  <c r="J4" i="7"/>
  <c r="J6" i="7"/>
  <c r="J8" i="7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I10" i="5"/>
  <c r="Q10" i="5" s="1"/>
  <c r="J11" i="5"/>
  <c r="J12" i="5"/>
  <c r="J17" i="5"/>
  <c r="T2" i="5" l="1"/>
  <c r="W10" i="5"/>
  <c r="F4" i="8"/>
  <c r="F6" i="8"/>
  <c r="F3" i="8"/>
  <c r="F2" i="8"/>
  <c r="F5" i="8"/>
  <c r="F7" i="8"/>
  <c r="J18" i="5"/>
  <c r="I18" i="5"/>
  <c r="Q18" i="5" s="1"/>
  <c r="J10" i="5"/>
  <c r="R10" i="5" s="1"/>
  <c r="J19" i="5"/>
  <c r="I19" i="5"/>
  <c r="Q19" i="5" s="1"/>
  <c r="J3" i="5"/>
  <c r="I3" i="5"/>
  <c r="Q3" i="5" s="1"/>
  <c r="J9" i="5"/>
  <c r="I9" i="5"/>
  <c r="Q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J7" i="5"/>
  <c r="I7" i="5"/>
  <c r="Q7" i="5" s="1"/>
  <c r="W7" i="5" s="1"/>
  <c r="I14" i="5"/>
  <c r="Q14" i="5" s="1"/>
  <c r="J14" i="5"/>
  <c r="J6" i="5"/>
  <c r="I6" i="5"/>
  <c r="Q6" i="5" s="1"/>
  <c r="J13" i="5"/>
  <c r="I13" i="5"/>
  <c r="Q13" i="5" s="1"/>
  <c r="W13" i="5" s="1"/>
  <c r="J5" i="5"/>
  <c r="I5" i="5"/>
  <c r="Q5" i="5" s="1"/>
  <c r="W5" i="5" s="1"/>
  <c r="I4" i="5"/>
  <c r="Q4" i="5" s="1"/>
  <c r="J4" i="5"/>
  <c r="I17" i="5"/>
  <c r="Q17" i="5" s="1"/>
  <c r="I12" i="5"/>
  <c r="Q12" i="5" s="1"/>
  <c r="I11" i="5"/>
  <c r="Q11" i="5" s="1"/>
  <c r="W11" i="5" s="1"/>
  <c r="J2" i="5"/>
  <c r="R18" i="5" l="1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W15" i="5"/>
  <c r="B7" i="8"/>
  <c r="C7" i="8"/>
  <c r="B4" i="8"/>
  <c r="C4" i="8"/>
  <c r="W12" i="5"/>
  <c r="G5" i="8" s="1"/>
  <c r="W3" i="5"/>
  <c r="W6" i="5"/>
  <c r="H3" i="8" s="1"/>
  <c r="B6" i="8"/>
  <c r="C6" i="8"/>
  <c r="W8" i="5"/>
  <c r="C3" i="8"/>
  <c r="B3" i="8"/>
  <c r="W9" i="5"/>
  <c r="W19" i="5"/>
  <c r="W18" i="5"/>
  <c r="W17" i="5"/>
  <c r="W14" i="5"/>
  <c r="C5" i="8"/>
  <c r="B5" i="8"/>
  <c r="I2" i="5"/>
  <c r="Q2" i="5" s="1"/>
  <c r="R2" i="5" l="1"/>
  <c r="U2" i="5"/>
  <c r="H5" i="8"/>
  <c r="G3" i="8"/>
  <c r="D3" i="8"/>
  <c r="G6" i="8"/>
  <c r="H6" i="8"/>
  <c r="G4" i="8"/>
  <c r="H4" i="8"/>
  <c r="G7" i="8"/>
  <c r="H7" i="8"/>
  <c r="E3" i="8"/>
  <c r="E7" i="8"/>
  <c r="D7" i="8"/>
  <c r="C2" i="8"/>
  <c r="B2" i="8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<sst xmlns="http://schemas.openxmlformats.org/spreadsheetml/2006/main" count="320" uniqueCount="147">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</sst>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General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87024"/>
        <c:axId val="551188200"/>
      </c:scatterChart>
      <c:valAx>
        <c:axId val="55118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188200"/>
        <c:crosses val="autoZero"/>
        <c:crossBetween val="midCat"/>
      </c:valAx>
      <c:valAx>
        <c:axId val="551188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118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141</v>
      </c>
    </row>
    <row r="5" spans="1:5" x14ac:dyDescent="0.25">
      <c r="A5" t="s">
        <v>22</v>
      </c>
      <c r="B5" t="s">
        <v>142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C38" sqref="C38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42530.357638888891</v>
      </c>
      <c r="B2" t="s">
        <v>116</v>
      </c>
      <c r="C2">
        <v>86.4</v>
      </c>
      <c r="D2">
        <v>6.8</v>
      </c>
      <c r="E2">
        <v>0.15</v>
      </c>
      <c r="F2">
        <v>585.55999999999995</v>
      </c>
    </row>
    <row r="3" spans="1:6" x14ac:dyDescent="0.25">
      <c r="A3" s="18">
        <v>42530.357638888891</v>
      </c>
      <c r="B3" t="s">
        <v>117</v>
      </c>
      <c r="C3">
        <v>83.9</v>
      </c>
      <c r="D3">
        <v>6.9</v>
      </c>
      <c r="E3">
        <v>0.16</v>
      </c>
      <c r="F3">
        <v>596.19000000000005</v>
      </c>
    </row>
    <row r="4" spans="1:6" x14ac:dyDescent="0.25">
      <c r="A4" s="18">
        <v>42530.357638888891</v>
      </c>
      <c r="B4" t="s">
        <v>118</v>
      </c>
      <c r="C4">
        <v>81.7</v>
      </c>
      <c r="D4">
        <v>7</v>
      </c>
      <c r="E4">
        <v>0.16</v>
      </c>
      <c r="F4">
        <v>606.83000000000004</v>
      </c>
    </row>
    <row r="5" spans="1:6" x14ac:dyDescent="0.25">
      <c r="A5" s="18">
        <v>42530.357638888891</v>
      </c>
      <c r="B5" t="s">
        <v>119</v>
      </c>
      <c r="C5">
        <v>249.7</v>
      </c>
      <c r="D5">
        <v>4</v>
      </c>
      <c r="E5">
        <v>7.0000000000000007E-2</v>
      </c>
      <c r="F5">
        <v>617.46</v>
      </c>
    </row>
    <row r="6" spans="1:6" x14ac:dyDescent="0.25">
      <c r="A6" s="18">
        <v>42530.357638888891</v>
      </c>
      <c r="B6" t="s">
        <v>120</v>
      </c>
      <c r="C6">
        <v>255.4</v>
      </c>
      <c r="D6">
        <v>3.96</v>
      </c>
      <c r="E6">
        <v>0.06</v>
      </c>
      <c r="F6">
        <v>628.09</v>
      </c>
    </row>
    <row r="7" spans="1:6" x14ac:dyDescent="0.25">
      <c r="A7" s="18">
        <v>42530.357638888891</v>
      </c>
      <c r="B7" t="s">
        <v>121</v>
      </c>
      <c r="C7">
        <v>221.9</v>
      </c>
      <c r="D7">
        <v>4.25</v>
      </c>
      <c r="E7">
        <v>7.0000000000000007E-2</v>
      </c>
      <c r="F7">
        <v>638.73</v>
      </c>
    </row>
    <row r="8" spans="1:6" x14ac:dyDescent="0.25">
      <c r="A8" s="18">
        <v>42530.357638888891</v>
      </c>
      <c r="B8" t="s">
        <v>122</v>
      </c>
      <c r="C8">
        <v>916.1</v>
      </c>
      <c r="D8">
        <v>2.09</v>
      </c>
      <c r="E8">
        <v>0.03</v>
      </c>
      <c r="F8">
        <v>649.47</v>
      </c>
    </row>
    <row r="9" spans="1:6" x14ac:dyDescent="0.25">
      <c r="A9" s="18">
        <v>42530.357638888891</v>
      </c>
      <c r="B9" t="s">
        <v>123</v>
      </c>
      <c r="C9">
        <v>982.9</v>
      </c>
      <c r="D9">
        <v>2.02</v>
      </c>
      <c r="E9">
        <v>0.02</v>
      </c>
      <c r="F9">
        <v>660.11</v>
      </c>
    </row>
    <row r="10" spans="1:6" x14ac:dyDescent="0.25">
      <c r="A10" s="18">
        <v>42530.357638888891</v>
      </c>
      <c r="B10" t="s">
        <v>124</v>
      </c>
      <c r="C10">
        <v>924.1</v>
      </c>
      <c r="D10">
        <v>2.08</v>
      </c>
      <c r="E10">
        <v>0.03</v>
      </c>
      <c r="F10">
        <v>670.75</v>
      </c>
    </row>
    <row r="11" spans="1:6" x14ac:dyDescent="0.25">
      <c r="A11" s="18">
        <v>42530.357638888891</v>
      </c>
      <c r="B11" t="s">
        <v>125</v>
      </c>
      <c r="C11">
        <v>1839.1</v>
      </c>
      <c r="D11">
        <v>1.47</v>
      </c>
      <c r="E11">
        <v>0.01</v>
      </c>
      <c r="F11">
        <v>681.39</v>
      </c>
    </row>
    <row r="12" spans="1:6" x14ac:dyDescent="0.25">
      <c r="A12" s="18">
        <v>42530.357638888891</v>
      </c>
      <c r="B12" t="s">
        <v>126</v>
      </c>
      <c r="C12">
        <v>1814.4</v>
      </c>
      <c r="D12">
        <v>1.48</v>
      </c>
      <c r="E12">
        <v>0.01</v>
      </c>
      <c r="F12">
        <v>692.03</v>
      </c>
    </row>
    <row r="13" spans="1:6" x14ac:dyDescent="0.25">
      <c r="A13" s="18">
        <v>42530.357638888891</v>
      </c>
      <c r="B13" t="s">
        <v>127</v>
      </c>
      <c r="C13">
        <v>1850.3</v>
      </c>
      <c r="D13">
        <v>1.47</v>
      </c>
      <c r="E13">
        <v>0.01</v>
      </c>
      <c r="F13">
        <v>702.67</v>
      </c>
    </row>
    <row r="14" spans="1:6" x14ac:dyDescent="0.25">
      <c r="A14" s="18">
        <v>42530.357638888891</v>
      </c>
      <c r="B14" t="s">
        <v>128</v>
      </c>
      <c r="C14">
        <v>4659.6000000000004</v>
      </c>
      <c r="D14">
        <v>0.93</v>
      </c>
      <c r="E14">
        <v>0</v>
      </c>
      <c r="F14">
        <v>713.33</v>
      </c>
    </row>
    <row r="15" spans="1:6" x14ac:dyDescent="0.25">
      <c r="A15" s="18">
        <v>42530.357638888891</v>
      </c>
      <c r="B15" t="s">
        <v>129</v>
      </c>
      <c r="C15">
        <v>5117.5</v>
      </c>
      <c r="D15">
        <v>0.88</v>
      </c>
      <c r="E15">
        <v>0</v>
      </c>
      <c r="F15">
        <v>723.98</v>
      </c>
    </row>
    <row r="16" spans="1:6" x14ac:dyDescent="0.25">
      <c r="A16" s="18">
        <v>42530.357638888891</v>
      </c>
      <c r="B16" t="s">
        <v>130</v>
      </c>
      <c r="C16">
        <v>4823.2</v>
      </c>
      <c r="D16">
        <v>0.91</v>
      </c>
      <c r="E16">
        <v>0</v>
      </c>
      <c r="F16">
        <v>734.63</v>
      </c>
    </row>
    <row r="17" spans="1:6" x14ac:dyDescent="0.25">
      <c r="A17" s="18">
        <v>42530.357638888891</v>
      </c>
      <c r="B17" t="s">
        <v>131</v>
      </c>
      <c r="C17">
        <v>9296.7999999999993</v>
      </c>
      <c r="D17">
        <v>0.66</v>
      </c>
      <c r="E17">
        <v>0</v>
      </c>
      <c r="F17">
        <v>745.3</v>
      </c>
    </row>
    <row r="18" spans="1:6" x14ac:dyDescent="0.25">
      <c r="A18" s="18">
        <v>42530.357638888891</v>
      </c>
      <c r="B18" t="s">
        <v>132</v>
      </c>
      <c r="C18">
        <v>9884.5</v>
      </c>
      <c r="D18">
        <v>0.64</v>
      </c>
      <c r="E18">
        <v>0</v>
      </c>
      <c r="F18">
        <v>755.97</v>
      </c>
    </row>
    <row r="19" spans="1:6" x14ac:dyDescent="0.25">
      <c r="A19" s="18">
        <v>42530.357638888891</v>
      </c>
      <c r="B19" t="s">
        <v>133</v>
      </c>
      <c r="C19">
        <v>10000.200000000001</v>
      </c>
      <c r="D19">
        <v>0.63</v>
      </c>
      <c r="E19">
        <v>0</v>
      </c>
      <c r="F19">
        <v>766.66</v>
      </c>
    </row>
    <row r="20" spans="1:6" x14ac:dyDescent="0.25">
      <c r="A20" s="18">
        <v>42531.56527777778</v>
      </c>
      <c r="B20" t="s">
        <v>116</v>
      </c>
      <c r="C20">
        <v>82.6</v>
      </c>
      <c r="D20">
        <v>6.96</v>
      </c>
      <c r="E20">
        <v>0.13</v>
      </c>
      <c r="F20">
        <v>585.36</v>
      </c>
    </row>
    <row r="21" spans="1:6" x14ac:dyDescent="0.25">
      <c r="A21" s="18">
        <v>42531.56527777778</v>
      </c>
      <c r="B21" t="s">
        <v>117</v>
      </c>
      <c r="C21">
        <v>81.7</v>
      </c>
      <c r="D21">
        <v>7</v>
      </c>
      <c r="E21">
        <v>0.15</v>
      </c>
      <c r="F21">
        <v>595.99</v>
      </c>
    </row>
    <row r="22" spans="1:6" x14ac:dyDescent="0.25">
      <c r="A22" s="18">
        <v>42531.56527777778</v>
      </c>
      <c r="B22" t="s">
        <v>118</v>
      </c>
      <c r="C22">
        <v>72.7</v>
      </c>
      <c r="D22">
        <v>7.42</v>
      </c>
      <c r="E22">
        <v>0.17</v>
      </c>
      <c r="F22">
        <v>606.63</v>
      </c>
    </row>
    <row r="23" spans="1:6" x14ac:dyDescent="0.25">
      <c r="A23" s="18">
        <v>42531.56527777778</v>
      </c>
      <c r="B23" t="s">
        <v>119</v>
      </c>
      <c r="C23">
        <v>251.1</v>
      </c>
      <c r="D23">
        <v>3.99</v>
      </c>
      <c r="E23">
        <v>0.06</v>
      </c>
      <c r="F23">
        <v>617.26</v>
      </c>
    </row>
    <row r="24" spans="1:6" x14ac:dyDescent="0.25">
      <c r="A24" s="18">
        <v>42531.56527777778</v>
      </c>
      <c r="B24" t="s">
        <v>120</v>
      </c>
      <c r="C24">
        <v>250.7</v>
      </c>
      <c r="D24">
        <v>3.99</v>
      </c>
      <c r="E24">
        <v>0.06</v>
      </c>
      <c r="F24">
        <v>627.9</v>
      </c>
    </row>
    <row r="25" spans="1:6" x14ac:dyDescent="0.25">
      <c r="A25" s="18">
        <v>42531.56527777778</v>
      </c>
      <c r="B25" t="s">
        <v>121</v>
      </c>
      <c r="C25">
        <v>218.9</v>
      </c>
      <c r="D25">
        <v>4.2699999999999996</v>
      </c>
      <c r="E25">
        <v>6.0000000000000001E-3</v>
      </c>
      <c r="F25">
        <v>638.53</v>
      </c>
    </row>
    <row r="26" spans="1:6" x14ac:dyDescent="0.25">
      <c r="A26" s="18">
        <v>42531.56527777778</v>
      </c>
      <c r="B26" t="s">
        <v>122</v>
      </c>
      <c r="C26">
        <v>924.9</v>
      </c>
      <c r="D26">
        <v>2.08</v>
      </c>
      <c r="E26">
        <v>0.02</v>
      </c>
      <c r="F26">
        <v>649.26</v>
      </c>
    </row>
    <row r="27" spans="1:6" x14ac:dyDescent="0.25">
      <c r="A27" s="18">
        <v>42531.56527777778</v>
      </c>
      <c r="B27" t="s">
        <v>123</v>
      </c>
      <c r="C27">
        <v>975.1</v>
      </c>
      <c r="D27">
        <v>2.0299999999999998</v>
      </c>
      <c r="E27">
        <v>0.01</v>
      </c>
      <c r="F27">
        <v>659.9</v>
      </c>
    </row>
    <row r="28" spans="1:6" x14ac:dyDescent="0.25">
      <c r="A28" s="18">
        <v>42531.56527777778</v>
      </c>
      <c r="B28" t="s">
        <v>124</v>
      </c>
      <c r="C28">
        <v>916.7</v>
      </c>
      <c r="D28">
        <v>2.09</v>
      </c>
      <c r="E28">
        <v>0.02</v>
      </c>
      <c r="F28">
        <v>670.53</v>
      </c>
    </row>
    <row r="29" spans="1:6" x14ac:dyDescent="0.25">
      <c r="A29" s="18">
        <v>42531.56527777778</v>
      </c>
      <c r="B29" t="s">
        <v>125</v>
      </c>
      <c r="C29">
        <v>1820.2</v>
      </c>
      <c r="D29">
        <v>1.48</v>
      </c>
      <c r="E29">
        <v>0.01</v>
      </c>
      <c r="F29">
        <v>681.19</v>
      </c>
    </row>
    <row r="30" spans="1:6" x14ac:dyDescent="0.25">
      <c r="A30" s="18">
        <v>42531.56527777778</v>
      </c>
      <c r="B30" t="s">
        <v>126</v>
      </c>
      <c r="C30">
        <v>1816.4</v>
      </c>
      <c r="D30">
        <v>1.48</v>
      </c>
      <c r="E30">
        <v>0.01</v>
      </c>
      <c r="F30">
        <v>691.81</v>
      </c>
    </row>
    <row r="31" spans="1:6" x14ac:dyDescent="0.25">
      <c r="A31" s="18">
        <v>42531.56527777778</v>
      </c>
      <c r="B31" t="s">
        <v>127</v>
      </c>
      <c r="C31">
        <v>1784</v>
      </c>
      <c r="D31">
        <v>1.5</v>
      </c>
      <c r="E31">
        <v>0.01</v>
      </c>
      <c r="F31">
        <v>702.45</v>
      </c>
    </row>
    <row r="32" spans="1:6" x14ac:dyDescent="0.25">
      <c r="A32" s="18">
        <v>42531.56527777778</v>
      </c>
      <c r="B32" t="s">
        <v>128</v>
      </c>
      <c r="C32">
        <v>4633.1000000000004</v>
      </c>
      <c r="D32">
        <v>0.93</v>
      </c>
      <c r="E32">
        <v>0</v>
      </c>
      <c r="F32">
        <v>713.1</v>
      </c>
    </row>
    <row r="33" spans="1:6" x14ac:dyDescent="0.25">
      <c r="A33" s="18">
        <v>42531.56527777778</v>
      </c>
      <c r="B33" t="s">
        <v>129</v>
      </c>
      <c r="C33">
        <v>5078.7</v>
      </c>
      <c r="D33">
        <v>0.89</v>
      </c>
      <c r="E33">
        <v>0</v>
      </c>
      <c r="F33">
        <v>723.75</v>
      </c>
    </row>
    <row r="34" spans="1:6" x14ac:dyDescent="0.25">
      <c r="A34" s="18">
        <v>42531.56527777778</v>
      </c>
      <c r="B34" t="s">
        <v>130</v>
      </c>
      <c r="C34">
        <v>4773.8999999999996</v>
      </c>
      <c r="D34">
        <v>0.92</v>
      </c>
      <c r="E34">
        <v>0</v>
      </c>
      <c r="F34">
        <v>734.4</v>
      </c>
    </row>
    <row r="35" spans="1:6" x14ac:dyDescent="0.25">
      <c r="A35" s="18">
        <v>42531.56527777778</v>
      </c>
      <c r="B35" t="s">
        <v>131</v>
      </c>
      <c r="C35">
        <v>9227.9</v>
      </c>
      <c r="D35">
        <v>0.66</v>
      </c>
      <c r="E35">
        <v>0</v>
      </c>
      <c r="F35">
        <v>745.06</v>
      </c>
    </row>
    <row r="36" spans="1:6" x14ac:dyDescent="0.25">
      <c r="A36" s="18">
        <v>42531.56527777778</v>
      </c>
      <c r="B36" t="s">
        <v>132</v>
      </c>
      <c r="C36">
        <v>9848.5</v>
      </c>
      <c r="D36">
        <v>0.64</v>
      </c>
      <c r="E36">
        <v>0</v>
      </c>
      <c r="F36">
        <v>755.73</v>
      </c>
    </row>
    <row r="37" spans="1:6" x14ac:dyDescent="0.25">
      <c r="A37" s="18">
        <v>42531.56527777778</v>
      </c>
      <c r="B37" t="s">
        <v>133</v>
      </c>
      <c r="C37">
        <v>9924.4</v>
      </c>
      <c r="D37">
        <v>0.63</v>
      </c>
      <c r="E37">
        <v>0</v>
      </c>
      <c r="F37">
        <v>766.42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25" sqref="H25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1.4083333333333301</v>
      </c>
      <c r="D2">
        <v>9.6893333333333304E-2</v>
      </c>
      <c r="E2" s="1" t="s">
        <v>51</v>
      </c>
      <c r="F2" s="1">
        <f>(C2-'Calibration Data'!$L$29)/'Calibration Data'!$L$30</f>
        <v>0.16205601189199126</v>
      </c>
      <c r="G2" s="17">
        <f>'Calibration Data'!$L$19/ABS('Calibration Data'!$L$30)*SQRT(1/'Calibration Data'!$L$20+1+(F2-AVERAGE('Calibration Data'!$L$3:$L$9))^2/('Calibration Data'!$L$30^2*SUM('Calibration Data'!$J$3:$J$8)))</f>
        <v>0.12664733829843663</v>
      </c>
    </row>
    <row r="3" spans="1:7" x14ac:dyDescent="0.25">
      <c r="A3" t="s">
        <v>117</v>
      </c>
      <c r="B3" s="15" t="s">
        <v>114</v>
      </c>
      <c r="C3">
        <v>1.38</v>
      </c>
      <c r="D3">
        <v>9.5909999999999995E-2</v>
      </c>
      <c r="E3" s="1" t="s">
        <v>51</v>
      </c>
      <c r="F3" s="1">
        <f>(C3-'Calibration Data'!$L$29)/'Calibration Data'!$L$30</f>
        <v>0.15870087771947045</v>
      </c>
      <c r="G3" s="17">
        <f>'Calibration Data'!$L$19/ABS('Calibration Data'!$L$30)*SQRT(1/'Calibration Data'!$L$20+1+(F3-AVERAGE('Calibration Data'!$L$3:$L$9))^2/('Calibration Data'!$L$30^2*SUM('Calibration Data'!$J$3:$J$8)))</f>
        <v>0.12664737180388735</v>
      </c>
    </row>
    <row r="4" spans="1:7" x14ac:dyDescent="0.25">
      <c r="A4" t="s">
        <v>118</v>
      </c>
      <c r="B4" s="15" t="s">
        <v>114</v>
      </c>
      <c r="C4">
        <v>1.28666666666667</v>
      </c>
      <c r="D4">
        <v>9.2768666666666694E-2</v>
      </c>
      <c r="E4" s="1" t="s">
        <v>51</v>
      </c>
      <c r="F4" s="1">
        <f>(C4-'Calibration Data'!$L$29)/'Calibration Data'!$L$30</f>
        <v>0.14764867103351878</v>
      </c>
      <c r="G4" s="17">
        <f>'Calibration Data'!$L$19/ABS('Calibration Data'!$L$30)*SQRT(1/'Calibration Data'!$L$20+1+(F4-AVERAGE('Calibration Data'!$L$3:$L$9))^2/('Calibration Data'!$L$30^2*SUM('Calibration Data'!$J$3:$J$8)))</f>
        <v>0.12664748218100097</v>
      </c>
    </row>
    <row r="5" spans="1:7" x14ac:dyDescent="0.25">
      <c r="A5" t="s">
        <v>119</v>
      </c>
      <c r="B5" s="15" t="s">
        <v>114</v>
      </c>
      <c r="C5">
        <v>4.1733333333333302</v>
      </c>
      <c r="D5">
        <v>0.16672466666666699</v>
      </c>
      <c r="E5" s="1" t="s">
        <v>51</v>
      </c>
      <c r="F5" s="1">
        <f>(C5-'Calibration Data'!$L$29)/'Calibration Data'!$L$30</f>
        <v>0.48947763496332142</v>
      </c>
      <c r="G5" s="17">
        <f>'Calibration Data'!$L$19/ABS('Calibration Data'!$L$30)*SQRT(1/'Calibration Data'!$L$20+1+(F5-AVERAGE('Calibration Data'!$L$3:$L$9))^2/('Calibration Data'!$L$30^2*SUM('Calibration Data'!$J$3:$J$8)))</f>
        <v>0.12664407278936082</v>
      </c>
    </row>
    <row r="6" spans="1:7" x14ac:dyDescent="0.25">
      <c r="A6" t="s">
        <v>120</v>
      </c>
      <c r="B6" s="15" t="s">
        <v>114</v>
      </c>
      <c r="C6">
        <v>4.2175000000000002</v>
      </c>
      <c r="D6">
        <v>0.16764562499999999</v>
      </c>
      <c r="E6" s="1" t="s">
        <v>51</v>
      </c>
      <c r="F6" s="1">
        <f>(C6-'Calibration Data'!$L$29)/'Calibration Data'!$L$30</f>
        <v>0.49470769705578127</v>
      </c>
      <c r="G6" s="17">
        <f>'Calibration Data'!$L$19/ABS('Calibration Data'!$L$30)*SQRT(1/'Calibration Data'!$L$20+1+(F6-AVERAGE('Calibration Data'!$L$3:$L$9))^2/('Calibration Data'!$L$30^2*SUM('Calibration Data'!$J$3:$J$8)))</f>
        <v>0.1266440206957557</v>
      </c>
    </row>
    <row r="7" spans="1:7" x14ac:dyDescent="0.25">
      <c r="A7" t="s">
        <v>121</v>
      </c>
      <c r="B7" s="15" t="s">
        <v>114</v>
      </c>
      <c r="C7">
        <v>3.6733333333333298</v>
      </c>
      <c r="D7">
        <v>0.15648400000000001</v>
      </c>
      <c r="E7" s="1" t="s">
        <v>51</v>
      </c>
      <c r="F7" s="1">
        <f>(C7-'Calibration Data'!$L$29)/'Calibration Data'!$L$30</f>
        <v>0.43026938486000665</v>
      </c>
      <c r="G7" s="17">
        <f>'Calibration Data'!$L$19/ABS('Calibration Data'!$L$30)*SQRT(1/'Calibration Data'!$L$20+1+(F7-AVERAGE('Calibration Data'!$L$3:$L$9))^2/('Calibration Data'!$L$30^2*SUM('Calibration Data'!$J$3:$J$8)))</f>
        <v>0.1266446626772624</v>
      </c>
    </row>
    <row r="8" spans="1:7" ht="15.75" customHeight="1" x14ac:dyDescent="0.25">
      <c r="A8" t="s">
        <v>122</v>
      </c>
      <c r="B8" s="15" t="s">
        <v>114</v>
      </c>
      <c r="C8">
        <v>15.341666666666701</v>
      </c>
      <c r="D8">
        <v>0.31987375000000001</v>
      </c>
      <c r="E8" s="1" t="s">
        <v>51</v>
      </c>
      <c r="F8" s="1">
        <f>(C8-'Calibration Data'!$L$29)/'Calibration Data'!$L$30</f>
        <v>1.8119925814376978</v>
      </c>
      <c r="G8" s="17">
        <f>'Calibration Data'!$L$19/ABS('Calibration Data'!$L$30)*SQRT(1/'Calibration Data'!$L$20+1+(F8-AVERAGE('Calibration Data'!$L$3:$L$9))^2/('Calibration Data'!$L$30^2*SUM('Calibration Data'!$J$3:$J$8)))</f>
        <v>0.12663096801997253</v>
      </c>
    </row>
    <row r="9" spans="1:7" x14ac:dyDescent="0.25">
      <c r="A9" t="s">
        <v>123</v>
      </c>
      <c r="B9" s="15" t="s">
        <v>114</v>
      </c>
      <c r="C9">
        <v>16.316666666666698</v>
      </c>
      <c r="D9">
        <v>0.3304125</v>
      </c>
      <c r="E9" s="1" t="s">
        <v>51</v>
      </c>
      <c r="F9" s="1">
        <f>(C9-'Calibration Data'!$L$29)/'Calibration Data'!$L$30</f>
        <v>1.9274486691391612</v>
      </c>
      <c r="G9" s="17">
        <f>'Calibration Data'!$L$19/ABS('Calibration Data'!$L$30)*SQRT(1/'Calibration Data'!$L$20+1+(F9-AVERAGE('Calibration Data'!$L$3:$L$9))^2/('Calibration Data'!$L$30^2*SUM('Calibration Data'!$J$3:$J$8)))</f>
        <v>0.12662983045244836</v>
      </c>
    </row>
    <row r="10" spans="1:7" x14ac:dyDescent="0.25">
      <c r="A10" t="s">
        <v>124</v>
      </c>
      <c r="B10" s="15" t="s">
        <v>114</v>
      </c>
      <c r="C10">
        <v>15.34</v>
      </c>
      <c r="D10">
        <v>0.31983899999999998</v>
      </c>
      <c r="E10" s="1" t="s">
        <v>51</v>
      </c>
      <c r="F10" s="1">
        <f>(C10-'Calibration Data'!$L$29)/'Calibration Data'!$L$30</f>
        <v>1.811795220604016</v>
      </c>
      <c r="G10" s="17">
        <f>'Calibration Data'!$L$19/ABS('Calibration Data'!$L$30)*SQRT(1/'Calibration Data'!$L$20+1+(F10-AVERAGE('Calibration Data'!$L$3:$L$9))^2/('Calibration Data'!$L$30^2*SUM('Calibration Data'!$J$3:$J$8)))</f>
        <v>0.12663096996542395</v>
      </c>
    </row>
    <row r="11" spans="1:7" x14ac:dyDescent="0.25">
      <c r="A11" t="s">
        <v>125</v>
      </c>
      <c r="B11" s="15" t="s">
        <v>114</v>
      </c>
      <c r="C11">
        <v>30.4941666666667</v>
      </c>
      <c r="D11">
        <v>0.44978895833333299</v>
      </c>
      <c r="E11" s="1" t="s">
        <v>51</v>
      </c>
      <c r="F11" s="1">
        <f>(C11-'Calibration Data'!$L$29)/'Calibration Data'!$L$30</f>
        <v>3.6062986008186488</v>
      </c>
      <c r="G11" s="17">
        <f>'Calibration Data'!$L$19/ABS('Calibration Data'!$L$30)*SQRT(1/'Calibration Data'!$L$20+1+(F11-AVERAGE('Calibration Data'!$L$3:$L$9))^2/('Calibration Data'!$L$30^2*SUM('Calibration Data'!$J$3:$J$8)))</f>
        <v>0.12661340673263699</v>
      </c>
    </row>
    <row r="12" spans="1:7" x14ac:dyDescent="0.25">
      <c r="A12" t="s">
        <v>126</v>
      </c>
      <c r="B12" s="15" t="s">
        <v>114</v>
      </c>
      <c r="C12">
        <v>30.2566666666667</v>
      </c>
      <c r="D12">
        <v>0.44779866666666701</v>
      </c>
      <c r="E12" s="1" t="s">
        <v>51</v>
      </c>
      <c r="F12" s="1">
        <f>(C12-'Calibration Data'!$L$29)/'Calibration Data'!$L$30</f>
        <v>3.5781746820195743</v>
      </c>
      <c r="G12" s="17">
        <f>'Calibration Data'!$L$19/ABS('Calibration Data'!$L$30)*SQRT(1/'Calibration Data'!$L$20+1+(F12-AVERAGE('Calibration Data'!$L$3:$L$9))^2/('Calibration Data'!$L$30^2*SUM('Calibration Data'!$J$3:$J$8)))</f>
        <v>0.12661368004723386</v>
      </c>
    </row>
    <row r="13" spans="1:7" x14ac:dyDescent="0.25">
      <c r="A13" t="s">
        <v>127</v>
      </c>
      <c r="B13" s="15" t="s">
        <v>114</v>
      </c>
      <c r="C13">
        <v>30.285833333333301</v>
      </c>
      <c r="D13">
        <v>0.44974462500000001</v>
      </c>
      <c r="E13" s="1" t="s">
        <v>51</v>
      </c>
      <c r="F13" s="1">
        <f>(C13-'Calibration Data'!$L$29)/'Calibration Data'!$L$30</f>
        <v>3.5816284966089267</v>
      </c>
      <c r="G13" s="17">
        <f>'Calibration Data'!$L$19/ABS('Calibration Data'!$L$30)*SQRT(1/'Calibration Data'!$L$20+1+(F13-AVERAGE('Calibration Data'!$L$3:$L$9))^2/('Calibration Data'!$L$30^2*SUM('Calibration Data'!$J$3:$J$8)))</f>
        <v>0.1266136464789539</v>
      </c>
    </row>
    <row r="14" spans="1:7" x14ac:dyDescent="0.25">
      <c r="A14" t="s">
        <v>128</v>
      </c>
      <c r="B14" s="15" t="s">
        <v>114</v>
      </c>
      <c r="C14">
        <v>77.439166666666694</v>
      </c>
      <c r="D14">
        <v>0.72018424999999997</v>
      </c>
      <c r="E14" s="1" t="s">
        <v>51</v>
      </c>
      <c r="F14" s="1">
        <f>(C14-'Calibration Data'!$L$29)/'Calibration Data'!$L$30</f>
        <v>9.1653612030188629</v>
      </c>
      <c r="G14" s="17">
        <f>'Calibration Data'!$L$19/ABS('Calibration Data'!$L$30)*SQRT(1/'Calibration Data'!$L$20+1+(F14-AVERAGE('Calibration Data'!$L$3:$L$9))^2/('Calibration Data'!$L$30^2*SUM('Calibration Data'!$J$3:$J$8)))</f>
        <v>0.12656059668607403</v>
      </c>
    </row>
    <row r="15" spans="1:7" x14ac:dyDescent="0.25">
      <c r="A15" t="s">
        <v>129</v>
      </c>
      <c r="B15" s="15" t="s">
        <v>114</v>
      </c>
      <c r="C15">
        <v>84.968333333333305</v>
      </c>
      <c r="D15">
        <v>0.75196974999999999</v>
      </c>
      <c r="E15" s="1" t="s">
        <v>51</v>
      </c>
      <c r="F15" s="1">
        <f>(C15-'Calibration Data'!$L$29)/'Calibration Data'!$L$30</f>
        <v>10.056938769157936</v>
      </c>
      <c r="G15" s="17">
        <f>'Calibration Data'!$L$19/ABS('Calibration Data'!$L$30)*SQRT(1/'Calibration Data'!$L$20+1+(F15-AVERAGE('Calibration Data'!$L$3:$L$9))^2/('Calibration Data'!$L$30^2*SUM('Calibration Data'!$J$3:$J$8)))</f>
        <v>0.12655235180434848</v>
      </c>
    </row>
    <row r="16" spans="1:7" x14ac:dyDescent="0.25">
      <c r="A16" t="s">
        <v>130</v>
      </c>
      <c r="B16" s="15" t="s">
        <v>114</v>
      </c>
      <c r="C16">
        <v>79.975833333333298</v>
      </c>
      <c r="D16">
        <v>0.73177887500000005</v>
      </c>
      <c r="E16" s="1" t="s">
        <v>51</v>
      </c>
      <c r="F16" s="1">
        <f>(C16-'Calibration Data'!$L$29)/'Calibration Data'!$L$30</f>
        <v>9.4657443918763384</v>
      </c>
      <c r="G16" s="17">
        <f>'Calibration Data'!$L$19/ABS('Calibration Data'!$L$30)*SQRT(1/'Calibration Data'!$L$20+1+(F16-AVERAGE('Calibration Data'!$L$3:$L$9))^2/('Calibration Data'!$L$30^2*SUM('Calibration Data'!$J$3:$J$8)))</f>
        <v>0.12655781193787366</v>
      </c>
    </row>
    <row r="17" spans="1:7" x14ac:dyDescent="0.25">
      <c r="A17" t="s">
        <v>131</v>
      </c>
      <c r="B17" s="15" t="s">
        <v>114</v>
      </c>
      <c r="C17">
        <v>154.3725</v>
      </c>
      <c r="D17">
        <v>1.0188584999999999</v>
      </c>
      <c r="E17" s="1" t="s">
        <v>51</v>
      </c>
      <c r="F17" s="1">
        <f>(C17-'Calibration Data'!$L$29)/'Calibration Data'!$L$30</f>
        <v>18.27553728558221</v>
      </c>
      <c r="G17" s="17">
        <f>'Calibration Data'!$L$19/ABS('Calibration Data'!$L$30)*SQRT(1/'Calibration Data'!$L$20+1+(F17-AVERAGE('Calibration Data'!$L$3:$L$9))^2/('Calibration Data'!$L$30^2*SUM('Calibration Data'!$J$3:$J$8)))</f>
        <v>0.12647928162407002</v>
      </c>
    </row>
    <row r="18" spans="1:7" x14ac:dyDescent="0.25">
      <c r="A18" t="s">
        <v>132</v>
      </c>
      <c r="B18" s="15" t="s">
        <v>114</v>
      </c>
      <c r="C18">
        <v>164.441666666667</v>
      </c>
      <c r="D18">
        <v>1.05242666666667</v>
      </c>
      <c r="E18" s="1" t="s">
        <v>51</v>
      </c>
      <c r="F18" s="1">
        <f>(C18-'Calibration Data'!$L$29)/'Calibration Data'!$L$30</f>
        <v>19.467892762246169</v>
      </c>
      <c r="G18" s="17">
        <f>'Calibration Data'!$L$19/ABS('Calibration Data'!$L$30)*SQRT(1/'Calibration Data'!$L$20+1+(F18-AVERAGE('Calibration Data'!$L$3:$L$9))^2/('Calibration Data'!$L$30^2*SUM('Calibration Data'!$J$3:$J$8)))</f>
        <v>0.12646912025023671</v>
      </c>
    </row>
    <row r="19" spans="1:7" x14ac:dyDescent="0.25">
      <c r="A19" t="s">
        <v>133</v>
      </c>
      <c r="B19" s="15" t="s">
        <v>114</v>
      </c>
      <c r="C19">
        <v>166.03833333333299</v>
      </c>
      <c r="D19">
        <v>1.0460415000000001</v>
      </c>
      <c r="E19" s="1" t="s">
        <v>51</v>
      </c>
      <c r="F19" s="1">
        <f>(C19-'Calibration Data'!$L$29)/'Calibration Data'!$L$30</f>
        <v>19.656964440909338</v>
      </c>
      <c r="G19" s="17">
        <f>'Calibration Data'!$L$19/ABS('Calibration Data'!$L$30)*SQRT(1/'Calibration Data'!$L$20+1+(F19-AVERAGE('Calibration Data'!$L$3:$L$9))^2/('Calibration Data'!$L$30^2*SUM('Calibration Data'!$J$3:$J$8)))</f>
        <v>0.12646751920268454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>
        <v>9</v>
      </c>
      <c r="E2" s="1">
        <v>4.8000000000000001E-2</v>
      </c>
      <c r="F2" s="1">
        <v>1E-3</v>
      </c>
      <c r="G2" s="1">
        <v>100</v>
      </c>
      <c r="H2" s="1">
        <v>5</v>
      </c>
      <c r="I2" s="1">
        <f>'Count-&gt;Actual Activity'!F2</f>
        <v>0.16205601189199126</v>
      </c>
      <c r="J2" s="1">
        <f>'Count-&gt;Actual Activity'!G2</f>
        <v>0.12664733829843663</v>
      </c>
      <c r="K2" s="1">
        <v>10</v>
      </c>
      <c r="L2" s="1">
        <v>0.02</v>
      </c>
      <c r="M2" s="1"/>
      <c r="N2" s="1"/>
      <c r="O2" s="1"/>
      <c r="P2" s="1"/>
      <c r="Q2">
        <f>I2/K2</f>
        <v>1.6205601189199125E-2</v>
      </c>
      <c r="R2">
        <f>SQRT((L2/K2)^2+(J2/I2)^2)*Q2</f>
        <v>1.26647753026584E-2</v>
      </c>
      <c r="S2">
        <f>B2*Parameters!$B$6</f>
        <v>0</v>
      </c>
      <c r="T2" t="e">
        <f>SQRT((C2/B2)^2+(Parameters!$C$6/Parameters!$B$6)^2)*'Bottle Results'!S2</f>
        <v>#DIV/0!</v>
      </c>
      <c r="U2">
        <f>(S2-Q2*G2)/E2</f>
        <v>-33.761669144164841</v>
      </c>
      <c r="W2" t="e">
        <f t="shared" ref="W2:W19" si="0">(S2-Q2*G2)/S2</f>
        <v>#DIV/0!</v>
      </c>
    </row>
    <row r="3" spans="1:23" x14ac:dyDescent="0.25">
      <c r="A3" t="s">
        <v>117</v>
      </c>
      <c r="B3">
        <v>0</v>
      </c>
      <c r="C3">
        <v>0</v>
      </c>
      <c r="D3">
        <v>9</v>
      </c>
      <c r="E3" s="1">
        <v>3.2000000000000001E-2</v>
      </c>
      <c r="F3" s="1">
        <v>1E-3</v>
      </c>
      <c r="G3" s="1">
        <v>100</v>
      </c>
      <c r="H3" s="1">
        <v>5</v>
      </c>
      <c r="I3" s="1">
        <f>'Count-&gt;Actual Activity'!F3</f>
        <v>0.15870087771947045</v>
      </c>
      <c r="J3" s="1">
        <f>'Count-&gt;Actual Activity'!G3</f>
        <v>0.12664737180388735</v>
      </c>
      <c r="K3" s="1">
        <v>10</v>
      </c>
      <c r="L3" s="1">
        <v>0.02</v>
      </c>
      <c r="M3" s="1"/>
      <c r="N3" s="1"/>
      <c r="O3" s="1"/>
      <c r="P3" s="1"/>
      <c r="Q3">
        <f t="shared" ref="Q3:Q19" si="1">I3/K3</f>
        <v>1.5870087771947046E-2</v>
      </c>
      <c r="R3">
        <f t="shared" ref="R3:R19" si="2">SQRT((L3/K3)^2+(J3/I3)^2)*Q3</f>
        <v>1.26647769537037E-2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ref="U3:U19" si="3">(S3-Q3*G3)/E3</f>
        <v>-49.59402428733452</v>
      </c>
      <c r="W3" t="e">
        <f t="shared" si="0"/>
        <v>#DIV/0!</v>
      </c>
    </row>
    <row r="4" spans="1:23" x14ac:dyDescent="0.25">
      <c r="A4" t="s">
        <v>118</v>
      </c>
      <c r="B4">
        <v>0</v>
      </c>
      <c r="C4">
        <v>0</v>
      </c>
      <c r="D4">
        <v>9</v>
      </c>
      <c r="E4" s="1">
        <v>4.4999999999999998E-2</v>
      </c>
      <c r="F4" s="1">
        <v>1E-3</v>
      </c>
      <c r="G4" s="1">
        <v>100</v>
      </c>
      <c r="H4" s="1">
        <v>5</v>
      </c>
      <c r="I4" s="1">
        <f>'Count-&gt;Actual Activity'!F4</f>
        <v>0.14764867103351878</v>
      </c>
      <c r="J4" s="1">
        <f>'Count-&gt;Actual Activity'!G4</f>
        <v>0.12664748218100097</v>
      </c>
      <c r="K4" s="1">
        <v>10</v>
      </c>
      <c r="L4" s="1">
        <v>0.02</v>
      </c>
      <c r="M4" s="1"/>
      <c r="N4" s="1"/>
      <c r="O4" s="1"/>
      <c r="P4" s="1"/>
      <c r="Q4">
        <f t="shared" si="1"/>
        <v>1.4764867103351878E-2</v>
      </c>
      <c r="R4">
        <f t="shared" si="2"/>
        <v>1.2664782644525406E-2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3"/>
        <v>-32.810815785226396</v>
      </c>
      <c r="W4" t="e">
        <f t="shared" si="0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>
        <v>8.98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0.48947763496332142</v>
      </c>
      <c r="J5" s="1">
        <f>'Count-&gt;Actual Activity'!G5</f>
        <v>0.12664407278936082</v>
      </c>
      <c r="K5" s="1">
        <v>10</v>
      </c>
      <c r="L5" s="1">
        <v>0.02</v>
      </c>
      <c r="M5" s="1"/>
      <c r="N5" s="1"/>
      <c r="O5" s="1"/>
      <c r="P5" s="1"/>
      <c r="Q5">
        <f t="shared" si="1"/>
        <v>4.894776349633214E-2</v>
      </c>
      <c r="R5">
        <f t="shared" si="2"/>
        <v>1.2664785638177E-2</v>
      </c>
      <c r="S5">
        <f>B5*Parameters!$B$6</f>
        <v>4.6944468354083231</v>
      </c>
      <c r="T5">
        <f>SQRT((C5/B5)^2+(Parameters!$C$6/Parameters!$B$6)^2)*'Bottle Results'!S5</f>
        <v>6.8217960029032382E-3</v>
      </c>
      <c r="U5">
        <f t="shared" si="3"/>
        <v>-5.5647087284691974</v>
      </c>
      <c r="W5">
        <f t="shared" si="0"/>
        <v>-4.2673720940641223E-2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>
        <v>9.01</v>
      </c>
      <c r="E6" s="1">
        <v>4.4999999999999998E-2</v>
      </c>
      <c r="F6" s="1">
        <v>1E-3</v>
      </c>
      <c r="G6" s="1">
        <v>100</v>
      </c>
      <c r="H6" s="1">
        <v>5</v>
      </c>
      <c r="I6" s="1">
        <f>'Count-&gt;Actual Activity'!F6</f>
        <v>0.49470769705578127</v>
      </c>
      <c r="J6" s="1">
        <f>'Count-&gt;Actual Activity'!G6</f>
        <v>0.1266440206957557</v>
      </c>
      <c r="K6" s="1">
        <v>10</v>
      </c>
      <c r="L6" s="1">
        <v>0.02</v>
      </c>
      <c r="M6" s="1"/>
      <c r="N6" s="1"/>
      <c r="O6" s="1"/>
      <c r="P6" s="1"/>
      <c r="Q6">
        <f t="shared" si="1"/>
        <v>4.9470769705578128E-2</v>
      </c>
      <c r="R6">
        <f t="shared" si="2"/>
        <v>1.2664788557575331E-2</v>
      </c>
      <c r="S6">
        <f>B6*Parameters!$B$6</f>
        <v>4.6944468354083231</v>
      </c>
      <c r="T6">
        <f>SQRT((C6/B6)^2+(Parameters!$C$6/Parameters!$B$6)^2)*'Bottle Results'!S6</f>
        <v>6.8217960029032382E-3</v>
      </c>
      <c r="U6">
        <f t="shared" si="3"/>
        <v>-5.6140030033219945</v>
      </c>
      <c r="W6">
        <f t="shared" si="0"/>
        <v>-5.3814675936683806E-2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>
        <v>8.98</v>
      </c>
      <c r="E7" s="1">
        <v>3.9E-2</v>
      </c>
      <c r="F7" s="1">
        <v>1E-3</v>
      </c>
      <c r="G7" s="1">
        <v>100</v>
      </c>
      <c r="H7" s="1">
        <v>5</v>
      </c>
      <c r="I7" s="1">
        <f>'Count-&gt;Actual Activity'!F7</f>
        <v>0.43026938486000665</v>
      </c>
      <c r="J7" s="1">
        <f>'Count-&gt;Actual Activity'!G7</f>
        <v>0.1266446626772624</v>
      </c>
      <c r="K7" s="1">
        <v>10</v>
      </c>
      <c r="L7" s="1">
        <v>0.02</v>
      </c>
      <c r="M7" s="1"/>
      <c r="N7" s="1"/>
      <c r="O7" s="1"/>
      <c r="P7" s="1"/>
      <c r="Q7">
        <f t="shared" si="1"/>
        <v>4.3026938486000664E-2</v>
      </c>
      <c r="R7">
        <f t="shared" si="2"/>
        <v>1.2664758628419167E-2</v>
      </c>
      <c r="S7">
        <f>B7*Parameters!$B$6</f>
        <v>4.6944468354083231</v>
      </c>
      <c r="T7">
        <f>SQRT((C7/B7)^2+(Parameters!$C$6/Parameters!$B$6)^2)*'Bottle Results'!S7</f>
        <v>6.8217960029032382E-3</v>
      </c>
      <c r="U7">
        <f t="shared" si="3"/>
        <v>10.044948379698891</v>
      </c>
      <c r="W7">
        <f t="shared" si="0"/>
        <v>8.3450297882472893E-2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>
        <v>9</v>
      </c>
      <c r="E8" s="1">
        <v>4.9000000000000002E-2</v>
      </c>
      <c r="F8" s="1">
        <v>1E-3</v>
      </c>
      <c r="G8" s="1">
        <v>100</v>
      </c>
      <c r="H8" s="1">
        <v>5</v>
      </c>
      <c r="I8" s="1">
        <f>'Count-&gt;Actual Activity'!F8</f>
        <v>1.8119925814376978</v>
      </c>
      <c r="J8" s="1">
        <f>'Count-&gt;Actual Activity'!G8</f>
        <v>0.12663096801997253</v>
      </c>
      <c r="K8" s="1">
        <v>10</v>
      </c>
      <c r="L8" s="1">
        <v>0.02</v>
      </c>
      <c r="M8" s="1"/>
      <c r="N8" s="1"/>
      <c r="O8" s="1"/>
      <c r="P8" s="1"/>
      <c r="Q8">
        <f t="shared" si="1"/>
        <v>0.18119925814376978</v>
      </c>
      <c r="R8">
        <f t="shared" si="2"/>
        <v>1.2668281387045382E-2</v>
      </c>
      <c r="S8">
        <f>B8*Parameters!$B$6</f>
        <v>23.506007175857501</v>
      </c>
      <c r="T8">
        <f>SQRT((C8/B8)^2+(Parameters!$C$6/Parameters!$B$6)^2)*'Bottle Results'!S8</f>
        <v>6.7715098344118985E-2</v>
      </c>
      <c r="U8">
        <f t="shared" si="3"/>
        <v>109.92002778531682</v>
      </c>
      <c r="W8">
        <f t="shared" si="0"/>
        <v>0.2291363786790829</v>
      </c>
    </row>
    <row r="9" spans="1:23" x14ac:dyDescent="0.25">
      <c r="A9" t="s">
        <v>123</v>
      </c>
      <c r="B9" s="17">
        <v>3.4799999999999998E-2</v>
      </c>
      <c r="C9" s="17">
        <v>1E-4</v>
      </c>
      <c r="D9">
        <v>8.98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1.9274486691391612</v>
      </c>
      <c r="J9" s="1">
        <f>'Count-&gt;Actual Activity'!G9</f>
        <v>0.12662983045244836</v>
      </c>
      <c r="K9" s="1">
        <v>10</v>
      </c>
      <c r="L9" s="1">
        <v>0.02</v>
      </c>
      <c r="M9" s="1"/>
      <c r="N9" s="1"/>
      <c r="O9" s="1"/>
      <c r="P9" s="1"/>
      <c r="Q9">
        <f t="shared" si="1"/>
        <v>0.19274486691391612</v>
      </c>
      <c r="R9">
        <f t="shared" si="2"/>
        <v>1.2668849274462332E-2</v>
      </c>
      <c r="S9">
        <f>B9*Parameters!$B$6</f>
        <v>23.506007175857501</v>
      </c>
      <c r="T9">
        <f>SQRT((C9/B9)^2+(Parameters!$C$6/Parameters!$B$6)^2)*'Bottle Results'!S9</f>
        <v>6.7715098344118985E-2</v>
      </c>
      <c r="U9">
        <f t="shared" si="3"/>
        <v>108.50052524271511</v>
      </c>
      <c r="W9">
        <f t="shared" si="0"/>
        <v>0.18001868427965045</v>
      </c>
    </row>
    <row r="10" spans="1:23" x14ac:dyDescent="0.25">
      <c r="A10" t="s">
        <v>124</v>
      </c>
      <c r="B10" s="17">
        <v>3.4799999999999998E-2</v>
      </c>
      <c r="C10" s="17">
        <v>1E-4</v>
      </c>
      <c r="D10">
        <v>8.98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1.811795220604016</v>
      </c>
      <c r="J10" s="1">
        <f>'Count-&gt;Actual Activity'!G10</f>
        <v>0.12663096996542395</v>
      </c>
      <c r="K10" s="1">
        <v>10</v>
      </c>
      <c r="L10" s="1">
        <v>0.02</v>
      </c>
      <c r="M10" s="1"/>
      <c r="N10" s="1"/>
      <c r="O10" s="1"/>
      <c r="P10" s="1"/>
      <c r="Q10">
        <f t="shared" si="1"/>
        <v>0.18117952206040161</v>
      </c>
      <c r="R10">
        <f t="shared" si="2"/>
        <v>1.2668280452401469E-2</v>
      </c>
      <c r="S10">
        <f>B10*Parameters!$B$6</f>
        <v>23.506007175857501</v>
      </c>
      <c r="T10">
        <f>SQRT((C10/B10)^2+(Parameters!$C$6/Parameters!$B$6)^2)*'Bottle Results'!S10</f>
        <v>6.7715098344118985E-2</v>
      </c>
      <c r="U10">
        <f t="shared" si="3"/>
        <v>138.15525563634205</v>
      </c>
      <c r="W10">
        <f t="shared" si="0"/>
        <v>0.22922034054985277</v>
      </c>
    </row>
    <row r="11" spans="1:23" x14ac:dyDescent="0.25">
      <c r="A11" t="s">
        <v>125</v>
      </c>
      <c r="B11" s="17">
        <v>6.9500000000000006E-2</v>
      </c>
      <c r="C11" s="17">
        <v>1E-4</v>
      </c>
      <c r="D11">
        <v>8.9700000000000006</v>
      </c>
      <c r="E11" s="1">
        <v>4.2999999999999997E-2</v>
      </c>
      <c r="F11" s="1">
        <v>1E-3</v>
      </c>
      <c r="G11" s="1">
        <v>100</v>
      </c>
      <c r="H11" s="1">
        <v>5</v>
      </c>
      <c r="I11" s="1">
        <f>'Count-&gt;Actual Activity'!F11</f>
        <v>3.6062986008186488</v>
      </c>
      <c r="J11" s="1">
        <f>'Count-&gt;Actual Activity'!G11</f>
        <v>0.12661340673263699</v>
      </c>
      <c r="K11" s="1">
        <v>10</v>
      </c>
      <c r="L11" s="1">
        <v>0.02</v>
      </c>
      <c r="M11" s="1"/>
      <c r="N11" s="1"/>
      <c r="O11" s="1"/>
      <c r="P11" s="1"/>
      <c r="Q11">
        <f t="shared" si="1"/>
        <v>0.36062986008186487</v>
      </c>
      <c r="R11">
        <f t="shared" si="2"/>
        <v>1.2681867497666591E-2</v>
      </c>
      <c r="S11">
        <f>B11*Parameters!$B$6</f>
        <v>46.944468354083234</v>
      </c>
      <c r="T11">
        <f>SQRT((C11/B11)^2+(Parameters!$C$6/Parameters!$B$6)^2)*'Bottle Results'!S11</f>
        <v>6.8217960029032368E-2</v>
      </c>
      <c r="U11">
        <f t="shared" si="3"/>
        <v>253.05772897434304</v>
      </c>
      <c r="W11">
        <f t="shared" si="0"/>
        <v>0.23179477215125979</v>
      </c>
    </row>
    <row r="12" spans="1:23" x14ac:dyDescent="0.25">
      <c r="A12" t="s">
        <v>126</v>
      </c>
      <c r="B12" s="17">
        <v>6.9500000000000006E-2</v>
      </c>
      <c r="C12" s="17">
        <v>1E-4</v>
      </c>
      <c r="D12">
        <v>8.98</v>
      </c>
      <c r="E12" s="1">
        <v>3.9E-2</v>
      </c>
      <c r="F12" s="1">
        <v>1E-3</v>
      </c>
      <c r="G12" s="1">
        <v>100</v>
      </c>
      <c r="H12" s="1">
        <v>5</v>
      </c>
      <c r="I12" s="1">
        <f>'Count-&gt;Actual Activity'!F12</f>
        <v>3.5781746820195743</v>
      </c>
      <c r="J12" s="1">
        <f>'Count-&gt;Actual Activity'!G12</f>
        <v>0.12661368004723386</v>
      </c>
      <c r="K12" s="1">
        <v>10</v>
      </c>
      <c r="L12" s="1">
        <v>0.02</v>
      </c>
      <c r="M12" s="1"/>
      <c r="N12" s="1"/>
      <c r="O12" s="1"/>
      <c r="P12" s="1"/>
      <c r="Q12">
        <f t="shared" si="1"/>
        <v>0.35781746820195742</v>
      </c>
      <c r="R12">
        <f t="shared" si="2"/>
        <v>1.2681576128905858E-2</v>
      </c>
      <c r="S12">
        <f>B12*Parameters!$B$6</f>
        <v>46.944468354083234</v>
      </c>
      <c r="T12">
        <f>SQRT((C12/B12)^2+(Parameters!$C$6/Parameters!$B$6)^2)*'Bottle Results'!S12</f>
        <v>6.8217960029032368E-2</v>
      </c>
      <c r="U12">
        <f t="shared" si="3"/>
        <v>286.22362907403823</v>
      </c>
      <c r="W12">
        <f t="shared" si="0"/>
        <v>0.23778566304535767</v>
      </c>
    </row>
    <row r="13" spans="1:23" x14ac:dyDescent="0.25">
      <c r="A13" t="s">
        <v>127</v>
      </c>
      <c r="B13" s="17">
        <v>6.9500000000000006E-2</v>
      </c>
      <c r="C13" s="17">
        <v>1E-4</v>
      </c>
      <c r="D13">
        <v>8.99</v>
      </c>
      <c r="E13" s="1">
        <v>4.3999999999999997E-2</v>
      </c>
      <c r="F13" s="1">
        <v>1E-3</v>
      </c>
      <c r="G13" s="1">
        <v>100</v>
      </c>
      <c r="H13" s="1">
        <v>5</v>
      </c>
      <c r="I13" s="1">
        <f>'Count-&gt;Actual Activity'!F13</f>
        <v>3.5816284966089267</v>
      </c>
      <c r="J13" s="1">
        <f>'Count-&gt;Actual Activity'!G13</f>
        <v>0.1266136464789539</v>
      </c>
      <c r="K13" s="1">
        <v>10</v>
      </c>
      <c r="L13" s="1">
        <v>0.02</v>
      </c>
      <c r="M13" s="1"/>
      <c r="N13" s="1"/>
      <c r="O13" s="1"/>
      <c r="P13" s="1"/>
      <c r="Q13">
        <f t="shared" si="1"/>
        <v>0.35816284966089268</v>
      </c>
      <c r="R13">
        <f t="shared" si="2"/>
        <v>1.2681611776682174E-2</v>
      </c>
      <c r="S13">
        <f>B13*Parameters!$B$6</f>
        <v>46.944468354083234</v>
      </c>
      <c r="T13">
        <f>SQRT((C13/B13)^2+(Parameters!$C$6/Parameters!$B$6)^2)*'Bottle Results'!S13</f>
        <v>6.8217960029032368E-2</v>
      </c>
      <c r="U13">
        <f t="shared" si="3"/>
        <v>252.91325881804465</v>
      </c>
      <c r="W13">
        <f t="shared" si="0"/>
        <v>0.23704993960222437</v>
      </c>
    </row>
    <row r="14" spans="1:23" x14ac:dyDescent="0.25">
      <c r="A14" t="s">
        <v>128</v>
      </c>
      <c r="B14" s="17">
        <v>0.17399999999999999</v>
      </c>
      <c r="C14" s="17">
        <v>1E-3</v>
      </c>
      <c r="D14">
        <v>8.9700000000000006</v>
      </c>
      <c r="E14" s="1">
        <v>4.8000000000000001E-2</v>
      </c>
      <c r="F14" s="1">
        <v>1E-3</v>
      </c>
      <c r="G14" s="1">
        <v>100</v>
      </c>
      <c r="H14" s="1">
        <v>5</v>
      </c>
      <c r="I14" s="1">
        <f>'Count-&gt;Actual Activity'!F14</f>
        <v>9.1653612030188629</v>
      </c>
      <c r="J14" s="1">
        <f>'Count-&gt;Actual Activity'!G14</f>
        <v>0.12656059668607403</v>
      </c>
      <c r="K14" s="1">
        <v>10</v>
      </c>
      <c r="L14" s="1">
        <v>0.02</v>
      </c>
      <c r="M14" s="1"/>
      <c r="N14" s="1"/>
      <c r="O14" s="1"/>
      <c r="P14" s="1"/>
      <c r="Q14">
        <f t="shared" si="1"/>
        <v>0.91653612030188625</v>
      </c>
      <c r="R14">
        <f t="shared" si="2"/>
        <v>1.2788119493288411E-2</v>
      </c>
      <c r="S14">
        <f>B14*Parameters!$B$6</f>
        <v>117.53003587928751</v>
      </c>
      <c r="T14">
        <f>SQRT((C14/B14)^2+(Parameters!$C$6/Parameters!$B$6)^2)*'Bottle Results'!S14</f>
        <v>0.67588312473327705</v>
      </c>
      <c r="U14">
        <f t="shared" si="3"/>
        <v>539.09216352289343</v>
      </c>
      <c r="W14">
        <f t="shared" si="0"/>
        <v>0.22016860333196855</v>
      </c>
    </row>
    <row r="15" spans="1:23" x14ac:dyDescent="0.25">
      <c r="A15" t="s">
        <v>129</v>
      </c>
      <c r="B15" s="17">
        <v>0.17399999999999999</v>
      </c>
      <c r="C15" s="17">
        <v>1E-3</v>
      </c>
      <c r="D15">
        <v>9</v>
      </c>
      <c r="E15" s="1">
        <v>4.7E-2</v>
      </c>
      <c r="F15" s="1">
        <v>1E-3</v>
      </c>
      <c r="G15" s="1">
        <v>100</v>
      </c>
      <c r="H15" s="1">
        <v>5</v>
      </c>
      <c r="I15" s="1">
        <f>'Count-&gt;Actual Activity'!F15</f>
        <v>10.056938769157936</v>
      </c>
      <c r="J15" s="1">
        <f>'Count-&gt;Actual Activity'!G15</f>
        <v>0.12655235180434848</v>
      </c>
      <c r="K15" s="1">
        <v>10</v>
      </c>
      <c r="L15" s="1">
        <v>0.02</v>
      </c>
      <c r="M15" s="1"/>
      <c r="N15" s="1"/>
      <c r="O15" s="1"/>
      <c r="P15" s="1"/>
      <c r="Q15">
        <f t="shared" si="1"/>
        <v>1.0056938769157937</v>
      </c>
      <c r="R15">
        <f t="shared" si="2"/>
        <v>1.2814080465190609E-2</v>
      </c>
      <c r="S15">
        <f>B15*Parameters!$B$6</f>
        <v>117.53003587928751</v>
      </c>
      <c r="T15">
        <f>SQRT((C15/B15)^2+(Parameters!$C$6/Parameters!$B$6)^2)*'Bottle Results'!S15</f>
        <v>0.67588312473327705</v>
      </c>
      <c r="U15">
        <f t="shared" si="3"/>
        <v>360.8648550576201</v>
      </c>
      <c r="W15">
        <f t="shared" si="0"/>
        <v>0.14430905309284556</v>
      </c>
    </row>
    <row r="16" spans="1:23" x14ac:dyDescent="0.25">
      <c r="A16" t="s">
        <v>130</v>
      </c>
      <c r="B16" s="17">
        <v>0.17399999999999999</v>
      </c>
      <c r="C16" s="17">
        <v>1E-3</v>
      </c>
      <c r="D16">
        <v>9.02</v>
      </c>
      <c r="E16" s="1">
        <v>0.03</v>
      </c>
      <c r="F16" s="1">
        <v>1E-3</v>
      </c>
      <c r="G16" s="1">
        <v>100</v>
      </c>
      <c r="H16" s="1">
        <v>5</v>
      </c>
      <c r="I16" s="1">
        <f>'Count-&gt;Actual Activity'!F16</f>
        <v>9.4657443918763384</v>
      </c>
      <c r="J16" s="1">
        <f>'Count-&gt;Actual Activity'!G16</f>
        <v>0.12655781193787366</v>
      </c>
      <c r="K16" s="1">
        <v>10</v>
      </c>
      <c r="L16" s="1">
        <v>0.02</v>
      </c>
      <c r="M16" s="1"/>
      <c r="N16" s="1"/>
      <c r="O16" s="1"/>
      <c r="P16" s="1"/>
      <c r="Q16">
        <f t="shared" si="1"/>
        <v>0.94657443918763384</v>
      </c>
      <c r="R16">
        <f t="shared" si="2"/>
        <v>1.279659369913398E-2</v>
      </c>
      <c r="S16">
        <f>B16*Parameters!$B$6</f>
        <v>117.53003587928751</v>
      </c>
      <c r="T16">
        <f>SQRT((C16/B16)^2+(Parameters!$C$6/Parameters!$B$6)^2)*'Bottle Results'!S16</f>
        <v>0.67588312473327705</v>
      </c>
      <c r="U16">
        <f t="shared" si="3"/>
        <v>762.41973201747066</v>
      </c>
      <c r="W16">
        <f t="shared" si="0"/>
        <v>0.19461060987011056</v>
      </c>
    </row>
    <row r="17" spans="1:23" x14ac:dyDescent="0.25">
      <c r="A17" t="s">
        <v>131</v>
      </c>
      <c r="B17" s="17">
        <v>0.34799999999999998</v>
      </c>
      <c r="C17" s="17">
        <v>1E-3</v>
      </c>
      <c r="D17">
        <v>8.99</v>
      </c>
      <c r="E17" s="1">
        <v>4.7E-2</v>
      </c>
      <c r="F17" s="1">
        <v>1E-3</v>
      </c>
      <c r="G17" s="1">
        <v>100</v>
      </c>
      <c r="H17" s="1">
        <v>5</v>
      </c>
      <c r="I17" s="1">
        <f>'Count-&gt;Actual Activity'!F17</f>
        <v>18.27553728558221</v>
      </c>
      <c r="J17" s="1">
        <f>'Count-&gt;Actual Activity'!G17</f>
        <v>0.12647928162407002</v>
      </c>
      <c r="K17" s="1">
        <v>10</v>
      </c>
      <c r="L17" s="1">
        <v>0.02</v>
      </c>
      <c r="Q17">
        <f t="shared" si="1"/>
        <v>1.8275537285582211</v>
      </c>
      <c r="R17">
        <f t="shared" si="2"/>
        <v>1.3165481279637155E-2</v>
      </c>
      <c r="S17">
        <f>B17*Parameters!$B$6</f>
        <v>235.06007175857502</v>
      </c>
      <c r="T17">
        <f>SQRT((C17/B17)^2+(Parameters!$C$6/Parameters!$B$6)^2)*'Bottle Results'!S17</f>
        <v>0.67715098344118985</v>
      </c>
      <c r="U17">
        <f t="shared" si="3"/>
        <v>1112.8659341011255</v>
      </c>
      <c r="W17">
        <f t="shared" si="0"/>
        <v>0.22251630619969306</v>
      </c>
    </row>
    <row r="18" spans="1:23" x14ac:dyDescent="0.25">
      <c r="A18" t="s">
        <v>132</v>
      </c>
      <c r="B18" s="17">
        <v>0.34799999999999998</v>
      </c>
      <c r="C18" s="17">
        <v>1E-3</v>
      </c>
      <c r="D18">
        <v>8.98</v>
      </c>
      <c r="E18" s="1">
        <v>4.1000000000000002E-2</v>
      </c>
      <c r="F18" s="1">
        <v>1E-3</v>
      </c>
      <c r="G18" s="1">
        <v>100</v>
      </c>
      <c r="H18" s="1">
        <v>5</v>
      </c>
      <c r="I18" s="1">
        <f>'Count-&gt;Actual Activity'!F18</f>
        <v>19.467892762246169</v>
      </c>
      <c r="J18" s="1">
        <f>'Count-&gt;Actual Activity'!G18</f>
        <v>0.12646912025023671</v>
      </c>
      <c r="K18" s="1">
        <v>10</v>
      </c>
      <c r="L18" s="1">
        <v>0.02</v>
      </c>
      <c r="Q18">
        <f t="shared" si="1"/>
        <v>1.9467892762246168</v>
      </c>
      <c r="R18">
        <f t="shared" si="2"/>
        <v>1.3232699562552647E-2</v>
      </c>
      <c r="S18">
        <f>B18*Parameters!$B$6</f>
        <v>235.06007175857502</v>
      </c>
      <c r="T18">
        <f>SQRT((C18/B18)^2+(Parameters!$C$6/Parameters!$B$6)^2)*'Bottle Results'!S18</f>
        <v>0.67715098344118985</v>
      </c>
      <c r="U18">
        <f t="shared" si="3"/>
        <v>984.90595453934964</v>
      </c>
      <c r="W18">
        <f t="shared" si="0"/>
        <v>0.17179074197504676</v>
      </c>
    </row>
    <row r="19" spans="1:23" x14ac:dyDescent="0.25">
      <c r="A19" t="s">
        <v>133</v>
      </c>
      <c r="B19" s="17">
        <v>0.34799999999999998</v>
      </c>
      <c r="C19" s="17">
        <v>1E-3</v>
      </c>
      <c r="D19">
        <v>9</v>
      </c>
      <c r="E19" s="1">
        <v>0.04</v>
      </c>
      <c r="F19" s="1">
        <v>1E-3</v>
      </c>
      <c r="G19" s="1">
        <v>100</v>
      </c>
      <c r="H19" s="1">
        <v>5</v>
      </c>
      <c r="I19" s="1">
        <f>'Count-&gt;Actual Activity'!F19</f>
        <v>19.656964440909338</v>
      </c>
      <c r="J19" s="1">
        <f>'Count-&gt;Actual Activity'!G19</f>
        <v>0.12646751920268454</v>
      </c>
      <c r="K19" s="1">
        <v>10</v>
      </c>
      <c r="L19" s="1">
        <v>0.02</v>
      </c>
      <c r="Q19">
        <f t="shared" si="1"/>
        <v>1.9656964440909337</v>
      </c>
      <c r="R19">
        <f t="shared" si="2"/>
        <v>1.3243722444013268E-2</v>
      </c>
      <c r="S19">
        <f>B19*Parameters!$B$6</f>
        <v>235.06007175857502</v>
      </c>
      <c r="T19">
        <f>SQRT((C19/B19)^2+(Parameters!$C$6/Parameters!$B$6)^2)*'Bottle Results'!S19</f>
        <v>0.67715098344118985</v>
      </c>
      <c r="U19">
        <f t="shared" si="3"/>
        <v>962.26068373704118</v>
      </c>
      <c r="W19">
        <f t="shared" si="0"/>
        <v>0.16374719475545091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1.5613518688166015E-2</v>
      </c>
      <c r="C2">
        <f>_xlfn.STDEV.S('Bottle Results'!Q2:Q4)</f>
        <v>7.5385638393178254E-4</v>
      </c>
      <c r="D2">
        <f>AVERAGE('Bottle Results'!U2:U4)</f>
        <v>-38.722169738908583</v>
      </c>
      <c r="E2">
        <f>_xlfn.STDEV.S('Bottle Results'!U2:U4)</f>
        <v>9.4272979436924746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9</v>
      </c>
      <c r="J2">
        <f>_xlfn.STDEV.S('Bottle Results'!D2:D4)</f>
        <v>0</v>
      </c>
    </row>
    <row r="3" spans="1:10" x14ac:dyDescent="0.25">
      <c r="A3">
        <v>10</v>
      </c>
      <c r="B3">
        <f>AVERAGE('Bottle Results'!Q5:Q7)</f>
        <v>4.714849056263698E-2</v>
      </c>
      <c r="C3">
        <f>_xlfn.STDEV.S('Bottle Results'!Q5:Q7)</f>
        <v>3.5789352486523553E-3</v>
      </c>
      <c r="D3">
        <f>AVERAGE('Bottle Results'!U5:U7)</f>
        <v>-0.37792111736410067</v>
      </c>
      <c r="E3">
        <f>_xlfn.STDEV.S('Bottle Results'!U5:U7)</f>
        <v>9.0265034147219989</v>
      </c>
      <c r="F3">
        <f>AVERAGE('Bottle Results'!S5:S7)</f>
        <v>4.6944468354083231</v>
      </c>
      <c r="G3">
        <f>AVERAGE('Bottle Results'!W5:W7)</f>
        <v>-4.3460329982840428E-3</v>
      </c>
      <c r="H3">
        <f>_xlfn.STDEV.S('Bottle Results'!W5:W7)</f>
        <v>7.6237635106609108E-2</v>
      </c>
      <c r="I3">
        <f>AVERAGE('Bottle Results'!D5:D7)</f>
        <v>8.99</v>
      </c>
      <c r="J3">
        <f>_xlfn.STDEV.S('Bottle Results'!D5:D7)</f>
        <v>1.7320508075688402E-2</v>
      </c>
    </row>
    <row r="4" spans="1:10" x14ac:dyDescent="0.25">
      <c r="A4">
        <v>50</v>
      </c>
      <c r="B4">
        <f>AVERAGE('Bottle Results'!Q8:Q10)</f>
        <v>0.18504121570602919</v>
      </c>
      <c r="C4">
        <f>_xlfn.STDEV.S('Bottle Results'!Q8:Q10)</f>
        <v>6.6715649459351198E-3</v>
      </c>
      <c r="D4">
        <f>AVERAGE('Bottle Results'!U8:U10)</f>
        <v>118.85860288812466</v>
      </c>
      <c r="E4">
        <f>_xlfn.STDEV.S('Bottle Results'!U8:U10)</f>
        <v>16.726456657973756</v>
      </c>
      <c r="F4">
        <f>AVERAGE('Bottle Results'!S8:S10)</f>
        <v>23.506007175857501</v>
      </c>
      <c r="G4">
        <f>AVERAGE('Bottle Results'!W8:W10)</f>
        <v>0.2127918011695287</v>
      </c>
      <c r="H4">
        <f>_xlfn.STDEV.S('Bottle Results'!W8:W10)</f>
        <v>2.8382382835258149E-2</v>
      </c>
      <c r="I4">
        <f>AVERAGE('Bottle Results'!D8:D10)</f>
        <v>8.9866666666666664</v>
      </c>
      <c r="J4">
        <f>_xlfn.STDEV.S('Bottle Results'!D8:D10)</f>
        <v>1.154700538379227E-2</v>
      </c>
    </row>
    <row r="5" spans="1:10" x14ac:dyDescent="0.25">
      <c r="A5">
        <v>100</v>
      </c>
      <c r="B5">
        <f>AVERAGE('Bottle Results'!Q11:Q13)</f>
        <v>0.35887005931490501</v>
      </c>
      <c r="C5">
        <f>_xlfn.STDEV.S('Bottle Results'!Q11:Q13)</f>
        <v>1.5337849075370707E-3</v>
      </c>
      <c r="D5">
        <f>AVERAGE('Bottle Results'!U11:U13)</f>
        <v>264.0648722888086</v>
      </c>
      <c r="E5">
        <f>_xlfn.STDEV.S('Bottle Results'!U11:U13)</f>
        <v>19.190182245271512</v>
      </c>
      <c r="F5">
        <f>AVERAGE('Bottle Results'!S11:S13)</f>
        <v>46.944468354083234</v>
      </c>
      <c r="G5">
        <f>AVERAGE('Bottle Results'!W11:W13)</f>
        <v>0.23554345826628062</v>
      </c>
      <c r="H5">
        <f>_xlfn.STDEV.S('Bottle Results'!W11:W13)</f>
        <v>3.2672324585046571E-3</v>
      </c>
      <c r="I5">
        <f>AVERAGE('Bottle Results'!D11:D13)</f>
        <v>8.9800000000000022</v>
      </c>
      <c r="J5">
        <f>_xlfn.STDEV.S('Bottle Results'!D11:D13)</f>
        <v>9.9999999999997868E-3</v>
      </c>
    </row>
    <row r="6" spans="1:10" x14ac:dyDescent="0.25">
      <c r="A6">
        <v>250</v>
      </c>
      <c r="B6">
        <f>AVERAGE('Bottle Results'!Q14:Q16)</f>
        <v>0.95626814546843786</v>
      </c>
      <c r="C6">
        <f>_xlfn.STDEV.S('Bottle Results'!Q14:Q16)</f>
        <v>4.5362455259829855E-2</v>
      </c>
      <c r="D6">
        <f>AVERAGE('Bottle Results'!U14:U16)</f>
        <v>554.12558353266138</v>
      </c>
      <c r="E6">
        <f>_xlfn.STDEV.S('Bottle Results'!U14:U16)</f>
        <v>201.19911180333975</v>
      </c>
      <c r="F6">
        <f>AVERAGE('Bottle Results'!S14:S16)</f>
        <v>117.5300358792875</v>
      </c>
      <c r="G6">
        <f>AVERAGE('Bottle Results'!W14:W16)</f>
        <v>0.18636275543164157</v>
      </c>
      <c r="H6">
        <f>_xlfn.STDEV.S('Bottle Results'!W14:W16)</f>
        <v>3.8596478696237779E-2</v>
      </c>
      <c r="I6">
        <f>AVERAGE('Bottle Results'!D14:D16)</f>
        <v>8.9966666666666661</v>
      </c>
      <c r="J6">
        <f>_xlfn.STDEV.S('Bottle Results'!D14:D16)</f>
        <v>2.5166114784235295E-2</v>
      </c>
    </row>
    <row r="7" spans="1:10" x14ac:dyDescent="0.25">
      <c r="A7">
        <v>500</v>
      </c>
      <c r="B7">
        <f>AVERAGE('Bottle Results'!Q17:Q19)</f>
        <v>1.9133464829579239</v>
      </c>
      <c r="C7">
        <f>_xlfn.STDEV.S('Bottle Results'!Q17:Q19)</f>
        <v>7.4897715451120839E-2</v>
      </c>
      <c r="D7">
        <f>AVERAGE('Bottle Results'!U17:U19)</f>
        <v>1020.0108574591721</v>
      </c>
      <c r="E7">
        <f>_xlfn.STDEV.S('Bottle Results'!U17:U19)</f>
        <v>81.208072357769652</v>
      </c>
      <c r="F7">
        <f>AVERAGE('Bottle Results'!S17:S19)</f>
        <v>235.06007175857499</v>
      </c>
      <c r="G7">
        <f>AVERAGE('Bottle Results'!W17:W19)</f>
        <v>0.18601808097673023</v>
      </c>
      <c r="H7">
        <f>_xlfn.STDEV.S('Bottle Results'!W17:W19)</f>
        <v>3.1863223256413671E-2</v>
      </c>
      <c r="I7">
        <f>AVERAGE('Bottle Results'!D17:D19)</f>
        <v>8.99</v>
      </c>
      <c r="J7">
        <f>_xlfn.STDEV.S('Bottle Results'!D17:D19)</f>
        <v>9.9999999999997868E-3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2016-06-13T20:16:20Z</dcterms:modified>
</cp:coreProperties>
</file>