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 Sorption\Sorption Experiments\RaFHY_pH9\"/>
    </mc:Choice>
  </mc:AlternateContent>
  <bookViews>
    <workbookView xWindow="240" yWindow="15" windowWidth="16095" windowHeight="9660" firstSheet="3" activeTab="5"/>
  </bookViews>
  <sheets>
    <sheet name="Parameters" sheetId="1" r:id="rId1"/>
    <sheet name="Equilibrated Data" sheetId="3" r:id="rId2"/>
    <sheet name="Bottle Results" sheetId="2" r:id="rId3"/>
    <sheet name="Gamma Counter Results" sheetId="5" r:id="rId4"/>
    <sheet name="Gamma Counter Cal" sheetId="7" r:id="rId5"/>
    <sheet name="Result" sheetId="4" r:id="rId6"/>
  </sheets>
  <calcPr calcId="152511"/>
</workbook>
</file>

<file path=xl/calcChain.xml><?xml version="1.0" encoding="utf-8"?>
<calcChain xmlns="http://schemas.openxmlformats.org/spreadsheetml/2006/main">
  <c r="K4" i="4" l="1"/>
  <c r="K5" i="4"/>
  <c r="K6" i="4"/>
  <c r="K7" i="4"/>
  <c r="K8" i="4"/>
  <c r="K3" i="4"/>
  <c r="I20" i="5" l="1"/>
  <c r="K20" i="5"/>
  <c r="G18" i="5"/>
  <c r="G19" i="5"/>
  <c r="G20" i="5"/>
  <c r="F15" i="5"/>
  <c r="F16" i="5"/>
  <c r="F17" i="5"/>
  <c r="F18" i="5"/>
  <c r="F19" i="5"/>
  <c r="F20" i="5"/>
  <c r="H20" i="5" s="1"/>
  <c r="J20" i="5" l="1"/>
  <c r="L20" i="5" s="1"/>
  <c r="I18" i="5"/>
  <c r="I17" i="5"/>
  <c r="G17" i="5"/>
  <c r="N3" i="7"/>
  <c r="F14" i="5"/>
  <c r="O43" i="7"/>
  <c r="O42" i="7"/>
  <c r="O41" i="7"/>
  <c r="O40" i="7"/>
  <c r="O39" i="7"/>
  <c r="O38" i="7"/>
  <c r="L8" i="7"/>
  <c r="K8" i="7"/>
  <c r="I8" i="7"/>
  <c r="M8" i="7" s="1"/>
  <c r="H8" i="7"/>
  <c r="E8" i="7"/>
  <c r="D8" i="7"/>
  <c r="L7" i="7"/>
  <c r="K7" i="7"/>
  <c r="I7" i="7"/>
  <c r="E7" i="7"/>
  <c r="D7" i="7"/>
  <c r="L6" i="7"/>
  <c r="K6" i="7"/>
  <c r="I6" i="7"/>
  <c r="H6" i="7"/>
  <c r="E6" i="7"/>
  <c r="D6" i="7"/>
  <c r="K5" i="7"/>
  <c r="I5" i="7"/>
  <c r="H5" i="7"/>
  <c r="E5" i="7"/>
  <c r="D5" i="7"/>
  <c r="L5" i="7" s="1"/>
  <c r="L4" i="7"/>
  <c r="K4" i="7"/>
  <c r="H4" i="7"/>
  <c r="I4" i="7" s="1"/>
  <c r="E4" i="7"/>
  <c r="D4" i="7"/>
  <c r="K3" i="7"/>
  <c r="H3" i="7"/>
  <c r="I3" i="7" s="1"/>
  <c r="E3" i="7"/>
  <c r="D3" i="7"/>
  <c r="L2" i="7"/>
  <c r="E2" i="7"/>
  <c r="D2" i="7"/>
  <c r="M4" i="7" l="1"/>
  <c r="J4" i="7"/>
  <c r="N8" i="7"/>
  <c r="M5" i="7"/>
  <c r="N5" i="7" s="1"/>
  <c r="J6" i="7"/>
  <c r="J8" i="7"/>
  <c r="M3" i="7"/>
  <c r="J7" i="7"/>
  <c r="J5" i="7"/>
  <c r="M6" i="7"/>
  <c r="M7" i="7"/>
  <c r="J3" i="7"/>
  <c r="N7" i="7"/>
  <c r="L3" i="7"/>
  <c r="N6" i="7" l="1"/>
  <c r="J9" i="7"/>
  <c r="N2" i="7"/>
  <c r="N4" i="7"/>
</calcChain>
</file>

<file path=xl/sharedStrings.xml><?xml version="1.0" encoding="utf-8"?>
<sst xmlns="http://schemas.openxmlformats.org/spreadsheetml/2006/main" count="293" uniqueCount="140">
  <si>
    <t>Value</t>
  </si>
  <si>
    <t>Error</t>
  </si>
  <si>
    <t>Units</t>
  </si>
  <si>
    <t>Notes</t>
  </si>
  <si>
    <t>Parameters</t>
  </si>
  <si>
    <t>Experiment Date</t>
  </si>
  <si>
    <t>Sample Volume</t>
  </si>
  <si>
    <t>Mineral Type</t>
  </si>
  <si>
    <t>Radium Stock Used</t>
  </si>
  <si>
    <t>Stock Activity</t>
  </si>
  <si>
    <t>Independent Cs?</t>
  </si>
  <si>
    <t>FHY</t>
  </si>
  <si>
    <t>Ra_Stock_4</t>
  </si>
  <si>
    <t>mL</t>
  </si>
  <si>
    <t>Bq/mL</t>
  </si>
  <si>
    <t>Liquid volume</t>
  </si>
  <si>
    <t>Activity of stock used to add radium (note you should use the actual activity, not the counted activity)</t>
  </si>
  <si>
    <t>Stock Volume Added (mL)</t>
  </si>
  <si>
    <t>Stock Vol Err (mL)</t>
  </si>
  <si>
    <t>Final pH</t>
  </si>
  <si>
    <t>Mineral Mass (g)</t>
  </si>
  <si>
    <t>Mineral Mass Error (g)</t>
  </si>
  <si>
    <t>Include</t>
  </si>
  <si>
    <t>Cw (Bq/mL)</t>
  </si>
  <si>
    <t>dCw (Bq/mL)</t>
  </si>
  <si>
    <t>Total Activity (Bq)</t>
  </si>
  <si>
    <t>dTotal Activity (Bq)</t>
  </si>
  <si>
    <t>Cs (Bq/g)</t>
  </si>
  <si>
    <t>dCs (Bq/g)</t>
  </si>
  <si>
    <t>Sample ID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</si>
  <si>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</si>
  <si>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</si>
  <si>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</si>
  <si>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</si>
  <si>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</si>
  <si>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</si>
  <si>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</si>
  <si>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</si>
  <si>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</si>
  <si>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</si>
  <si>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</si>
  <si>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</si>
  <si>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</si>
  <si>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</si>
  <si>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</si>
  <si>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</si>
  <si>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</si>
  <si>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</si>
  <si>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Counts (cps)</t>
  </si>
  <si>
    <t>Error (cps)</t>
  </si>
  <si>
    <t>Scintillation volume (mL)</t>
  </si>
  <si>
    <t>Scintillation volume error (mL)</t>
  </si>
  <si>
    <t>Solid Concentration (g/L)</t>
  </si>
  <si>
    <t>Solid Concentration Error (g/L)</t>
  </si>
  <si>
    <t>expID</t>
  </si>
  <si>
    <t>0</t>
  </si>
  <si>
    <t>5</t>
  </si>
  <si>
    <t>10</t>
  </si>
  <si>
    <t>50</t>
  </si>
  <si>
    <t>100</t>
  </si>
  <si>
    <t>500</t>
  </si>
  <si>
    <t>Cw</t>
  </si>
  <si>
    <t>sCw</t>
  </si>
  <si>
    <t>Cs</t>
  </si>
  <si>
    <t>sCs</t>
  </si>
  <si>
    <t>pH</t>
  </si>
  <si>
    <t>spH</t>
  </si>
  <si>
    <t>totAct</t>
  </si>
  <si>
    <t>stotAct</t>
  </si>
  <si>
    <t>nVals</t>
  </si>
  <si>
    <t>Sample</t>
  </si>
  <si>
    <t>Counts W (CPS)</t>
  </si>
  <si>
    <t>Counts Solid (CPS)</t>
  </si>
  <si>
    <t>Counts W error (%)</t>
  </si>
  <si>
    <t>Counts Solid Error (%)</t>
  </si>
  <si>
    <t>*Counts are at radium peak, 186 keV</t>
  </si>
  <si>
    <t>Mean (CPM)</t>
  </si>
  <si>
    <t>Error (CPM)</t>
  </si>
  <si>
    <t>Scintillation Counter (cps)</t>
  </si>
  <si>
    <t>Gamma Counter (CPS)</t>
  </si>
  <si>
    <t>Error (CPS)</t>
  </si>
  <si>
    <t>Known Activity (uCi)</t>
  </si>
  <si>
    <t>Known Activity (Bq)</t>
  </si>
  <si>
    <t>Known-Average</t>
  </si>
  <si>
    <t>Gamma Counter Calculated Activity</t>
  </si>
  <si>
    <t>Scint Counter Calculated Activity (Bq)</t>
  </si>
  <si>
    <t>Squared Actual Activity Variation from Average</t>
  </si>
  <si>
    <t>Error (Bq)</t>
  </si>
  <si>
    <t>Background</t>
  </si>
  <si>
    <t>RaStd_0.01mL</t>
  </si>
  <si>
    <t>RaStd_0.05mL</t>
  </si>
  <si>
    <t>RaStd_0.1mL</t>
  </si>
  <si>
    <t>RaStd_0.5mL</t>
  </si>
  <si>
    <t>RaStd_1mL</t>
  </si>
  <si>
    <t>RaStd_5mL</t>
  </si>
  <si>
    <t>Scintillation Counter</t>
  </si>
  <si>
    <t>SUMMARY OUTPUT</t>
  </si>
  <si>
    <t>Counter CPS-&gt;Activity (Bq)</t>
  </si>
  <si>
    <t>DOES NOT INCLUDE BACKGROUND</t>
  </si>
  <si>
    <t>Activity (Bq) - &gt; Counter CPS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</si>
  <si>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</si>
  <si>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</si>
  <si>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</si>
  <si>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</si>
  <si>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</si>
  <si>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</si>
  <si>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</si>
  <si>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Std dev of residuals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</si>
  <si>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</si>
  <si>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</si>
  <si>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</si>
  <si>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</si>
  <si>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</si>
  <si>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</si>
  <si>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</si>
  <si>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</si>
  <si>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</si>
  <si>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</si>
  <si>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</si>
  <si>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</si>
  <si>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</si>
  <si>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</si>
  <si>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</si>
  <si>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</si>
  <si>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</si>
  <si>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</si>
  <si>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</si>
  <si>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</si>
  <si>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</si>
  <si>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Residual Squared</t>
  </si>
  <si>
    <t>Parsons Gamma Counter</t>
  </si>
  <si>
    <t>Gamma Counter CPS-&gt;Bq</t>
  </si>
  <si>
    <t>Calculated Water activity (Bq)</t>
  </si>
  <si>
    <t>Calculated Solid Activity (Bq)</t>
  </si>
  <si>
    <t>500_A_T1</t>
  </si>
  <si>
    <t>Total Expected Activity (Bq)</t>
  </si>
  <si>
    <t>Calculated Activity (Bq)</t>
  </si>
  <si>
    <t>Cs_gammaC</t>
  </si>
  <si>
    <t>dCs (gamma)</t>
  </si>
  <si>
    <t>fSorb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</si>
</sst>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1" fontId="0" fillId="0" borderId="0" xfId="0" applyNumberFormat="1"/>
    <xf numFmtId="0" fontId="2" fillId="0" borderId="0" xfId="0" applyFont="1"/>
    <xf numFmtId="0" fontId="3" fillId="0" borderId="3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11" fontId="2" fillId="0" borderId="0" xfId="0" applyNumberFormat="1" applyFont="1"/>
    <xf numFmtId="0" fontId="3" fillId="0" borderId="0" xfId="0" applyFont="1" applyFill="1" applyAlignment="1">
      <alignment horizontal="center" vertical="top"/>
    </xf>
    <xf numFmtId="0" fontId="1" fillId="0" borderId="0" xfId="0" applyFont="1"/>
    <xf numFmtId="0" fontId="5" fillId="0" borderId="4" xfId="0" applyFont="1" applyFill="1" applyBorder="1" applyAlignment="1">
      <alignment horizontal="centerContinuous"/>
    </xf>
    <xf numFmtId="0" fontId="0" fillId="0" borderId="0" xfId="0" applyFill="1"/>
    <xf numFmtId="0" fontId="6" fillId="0" borderId="5" xfId="0" applyFont="1" applyFill="1" applyBorder="1" applyAlignment="1">
      <alignment horizontal="centerContinuous"/>
    </xf>
    <xf numFmtId="0" fontId="0" fillId="0" borderId="0" xfId="0" applyFill="1" applyBorder="1" applyAlignment="1"/>
    <xf numFmtId="0" fontId="6" fillId="0" borderId="0" xfId="0" applyFont="1" applyFill="1" applyBorder="1" applyAlignment="1">
      <alignment horizontal="centerContinuous"/>
    </xf>
    <xf numFmtId="0" fontId="0" fillId="0" borderId="6" xfId="0" applyFill="1" applyBorder="1"/>
    <xf numFmtId="0" fontId="0" fillId="0" borderId="7" xfId="0" applyFill="1" applyBorder="1" applyAlignment="1"/>
    <xf numFmtId="0" fontId="5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/>
    <xf numFmtId="0" fontId="1" fillId="0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"/>
  <sheetViews>
    <sheetView workbookViewId="0">
      <selection activeCell="B7" sqref="B7:C7"/>
    </sheetView>
  </sheetViews>
  <sheetFormatPr defaultRowHeight="15" x14ac:dyDescent="0.25"/>
  <cols>
    <col min="1" max="1" width="18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6</v>
      </c>
      <c r="B4">
        <v>100</v>
      </c>
      <c r="C4">
        <v>0.17199999999999999</v>
      </c>
      <c r="D4" t="s">
        <v>13</v>
      </c>
      <c r="E4" t="s">
        <v>15</v>
      </c>
    </row>
    <row r="5" spans="1:5" x14ac:dyDescent="0.25">
      <c r="A5" s="1" t="s">
        <v>7</v>
      </c>
      <c r="B5" t="s">
        <v>11</v>
      </c>
    </row>
    <row r="6" spans="1:5" x14ac:dyDescent="0.25">
      <c r="A6" s="1" t="s">
        <v>8</v>
      </c>
      <c r="B6" t="s">
        <v>12</v>
      </c>
    </row>
    <row r="7" spans="1:5" x14ac:dyDescent="0.25">
      <c r="A7" s="1" t="s">
        <v>9</v>
      </c>
      <c r="B7">
        <v>631.52245819489701</v>
      </c>
      <c r="C7">
        <v>0.53167165791808602</v>
      </c>
      <c r="D7" t="s">
        <v>14</v>
      </c>
      <c r="E7" t="s">
        <v>16</v>
      </c>
    </row>
    <row r="8" spans="1:5" x14ac:dyDescent="0.25">
      <c r="A8" s="1" t="s">
        <v>10</v>
      </c>
      <c r="B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0"/>
  <sheetViews>
    <sheetView workbookViewId="0">
      <selection activeCell="D3" sqref="D3:E20"/>
    </sheetView>
  </sheetViews>
  <sheetFormatPr defaultRowHeight="15" x14ac:dyDescent="0.25"/>
  <cols>
    <col min="1" max="1" width="9.85546875" bestFit="1" customWidth="1"/>
    <col min="2" max="3" width="12" bestFit="1" customWidth="1"/>
    <col min="4" max="4" width="23.5703125" bestFit="1" customWidth="1"/>
    <col min="5" max="5" width="28.5703125" bestFit="1" customWidth="1"/>
    <col min="6" max="6" width="23.42578125" bestFit="1" customWidth="1"/>
    <col min="7" max="7" width="28.28515625" bestFit="1" customWidth="1"/>
    <col min="8" max="8" width="6.140625" bestFit="1" customWidth="1"/>
    <col min="9" max="9" width="28.140625" bestFit="1" customWidth="1"/>
    <col min="10" max="10" width="17" bestFit="1" customWidth="1"/>
    <col min="11" max="11" width="16.5703125" bestFit="1" customWidth="1"/>
  </cols>
  <sheetData>
    <row r="1" spans="1:11" x14ac:dyDescent="0.25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2"/>
      <c r="J1" s="2"/>
      <c r="K1" s="2"/>
    </row>
    <row r="2" spans="1:11" x14ac:dyDescent="0.25">
      <c r="A2" s="1" t="s">
        <v>29</v>
      </c>
      <c r="I2" s="3"/>
    </row>
    <row r="3" spans="1:11" x14ac:dyDescent="0.25">
      <c r="A3" s="1" t="s">
        <v>30</v>
      </c>
      <c r="B3">
        <v>1.21055555555556</v>
      </c>
      <c r="C3">
        <v>8.9823222222222193E-2</v>
      </c>
      <c r="D3">
        <v>10</v>
      </c>
      <c r="E3">
        <v>0.02</v>
      </c>
      <c r="H3" t="s">
        <v>55</v>
      </c>
    </row>
    <row r="4" spans="1:11" x14ac:dyDescent="0.25">
      <c r="A4" s="1" t="s">
        <v>31</v>
      </c>
      <c r="B4">
        <v>1.2450000000000001</v>
      </c>
      <c r="C4">
        <v>9.1134000000000007E-2</v>
      </c>
      <c r="D4">
        <v>10</v>
      </c>
      <c r="E4">
        <v>0.02</v>
      </c>
      <c r="H4" t="s">
        <v>55</v>
      </c>
    </row>
    <row r="5" spans="1:11" x14ac:dyDescent="0.25">
      <c r="A5" s="1" t="s">
        <v>32</v>
      </c>
      <c r="B5">
        <v>1.17444444444444</v>
      </c>
      <c r="C5">
        <v>8.8553111111111096E-2</v>
      </c>
      <c r="D5">
        <v>10</v>
      </c>
      <c r="E5">
        <v>0.02</v>
      </c>
      <c r="H5" t="s">
        <v>55</v>
      </c>
    </row>
    <row r="6" spans="1:11" x14ac:dyDescent="0.25">
      <c r="A6" s="1" t="s">
        <v>33</v>
      </c>
      <c r="B6">
        <v>1.1783333333333299</v>
      </c>
      <c r="C6">
        <v>8.8728500000000002E-2</v>
      </c>
      <c r="D6">
        <v>10</v>
      </c>
      <c r="E6">
        <v>0.02</v>
      </c>
      <c r="H6" t="s">
        <v>56</v>
      </c>
    </row>
    <row r="7" spans="1:11" x14ac:dyDescent="0.25">
      <c r="A7" s="1" t="s">
        <v>34</v>
      </c>
      <c r="B7">
        <v>1.2150000000000001</v>
      </c>
      <c r="C7">
        <v>9.0112499999999998E-2</v>
      </c>
      <c r="D7">
        <v>10</v>
      </c>
      <c r="E7">
        <v>0.02</v>
      </c>
      <c r="H7" t="s">
        <v>56</v>
      </c>
    </row>
    <row r="8" spans="1:11" x14ac:dyDescent="0.25">
      <c r="A8" s="1" t="s">
        <v>35</v>
      </c>
      <c r="B8">
        <v>1.145</v>
      </c>
      <c r="C8">
        <v>8.74016666666666E-2</v>
      </c>
      <c r="D8">
        <v>10</v>
      </c>
      <c r="E8">
        <v>0.02</v>
      </c>
      <c r="H8" t="s">
        <v>56</v>
      </c>
    </row>
    <row r="9" spans="1:11" x14ac:dyDescent="0.25">
      <c r="A9" s="1" t="s">
        <v>36</v>
      </c>
      <c r="B9">
        <v>1.15888888888889</v>
      </c>
      <c r="C9">
        <v>8.7921037037037006E-2</v>
      </c>
      <c r="D9">
        <v>10</v>
      </c>
      <c r="E9">
        <v>0.02</v>
      </c>
      <c r="H9" t="s">
        <v>57</v>
      </c>
    </row>
    <row r="10" spans="1:11" x14ac:dyDescent="0.25">
      <c r="A10" s="1" t="s">
        <v>37</v>
      </c>
      <c r="B10">
        <v>1.19</v>
      </c>
      <c r="C10">
        <v>8.9131000000000002E-2</v>
      </c>
      <c r="D10">
        <v>10</v>
      </c>
      <c r="E10">
        <v>0.02</v>
      </c>
      <c r="H10" t="s">
        <v>57</v>
      </c>
    </row>
    <row r="11" spans="1:11" x14ac:dyDescent="0.25">
      <c r="A11" s="1" t="s">
        <v>38</v>
      </c>
      <c r="B11">
        <v>1.2177777777777801</v>
      </c>
      <c r="C11">
        <v>9.0074962962962996E-2</v>
      </c>
      <c r="D11">
        <v>10</v>
      </c>
      <c r="E11">
        <v>0.02</v>
      </c>
      <c r="H11" t="s">
        <v>57</v>
      </c>
    </row>
    <row r="12" spans="1:11" x14ac:dyDescent="0.25">
      <c r="A12" s="1" t="s">
        <v>39</v>
      </c>
      <c r="B12">
        <v>1.21444444444444</v>
      </c>
      <c r="C12">
        <v>8.9990333333333297E-2</v>
      </c>
      <c r="D12">
        <v>10</v>
      </c>
      <c r="E12">
        <v>0.02</v>
      </c>
      <c r="H12" t="s">
        <v>58</v>
      </c>
    </row>
    <row r="13" spans="1:11" x14ac:dyDescent="0.25">
      <c r="A13" s="1" t="s">
        <v>40</v>
      </c>
      <c r="B13">
        <v>1.1983333333333299</v>
      </c>
      <c r="C13">
        <v>8.9435611111111105E-2</v>
      </c>
      <c r="D13">
        <v>10</v>
      </c>
      <c r="E13">
        <v>0.02</v>
      </c>
      <c r="H13" t="s">
        <v>58</v>
      </c>
    </row>
    <row r="14" spans="1:11" x14ac:dyDescent="0.25">
      <c r="A14" s="1" t="s">
        <v>41</v>
      </c>
      <c r="B14">
        <v>1.2233333333333301</v>
      </c>
      <c r="C14">
        <v>9.0282000000000001E-2</v>
      </c>
      <c r="D14">
        <v>10</v>
      </c>
      <c r="E14">
        <v>0.02</v>
      </c>
      <c r="H14" t="s">
        <v>58</v>
      </c>
    </row>
    <row r="15" spans="1:11" x14ac:dyDescent="0.25">
      <c r="A15" s="1" t="s">
        <v>42</v>
      </c>
      <c r="B15">
        <v>1.28</v>
      </c>
      <c r="C15">
        <v>9.2373333333333293E-2</v>
      </c>
      <c r="D15">
        <v>10</v>
      </c>
      <c r="E15">
        <v>0.02</v>
      </c>
      <c r="H15" t="s">
        <v>59</v>
      </c>
    </row>
    <row r="16" spans="1:11" x14ac:dyDescent="0.25">
      <c r="A16" s="1" t="s">
        <v>43</v>
      </c>
      <c r="B16">
        <v>1.2949999999999999</v>
      </c>
      <c r="C16">
        <v>9.2980999999999994E-2</v>
      </c>
      <c r="D16">
        <v>10</v>
      </c>
      <c r="E16">
        <v>0.02</v>
      </c>
      <c r="H16" t="s">
        <v>59</v>
      </c>
    </row>
    <row r="17" spans="1:8" x14ac:dyDescent="0.25">
      <c r="A17" s="1" t="s">
        <v>44</v>
      </c>
      <c r="B17">
        <v>1.3205555555555599</v>
      </c>
      <c r="C17">
        <v>9.3838677777777796E-2</v>
      </c>
      <c r="D17">
        <v>10</v>
      </c>
      <c r="E17">
        <v>0.02</v>
      </c>
      <c r="H17" t="s">
        <v>59</v>
      </c>
    </row>
    <row r="18" spans="1:8" x14ac:dyDescent="0.25">
      <c r="A18" s="1" t="s">
        <v>45</v>
      </c>
      <c r="B18">
        <v>3.06555555555556</v>
      </c>
      <c r="C18">
        <v>0.14295707407407399</v>
      </c>
      <c r="D18">
        <v>10</v>
      </c>
      <c r="E18">
        <v>0.02</v>
      </c>
      <c r="H18" t="s">
        <v>60</v>
      </c>
    </row>
    <row r="19" spans="1:8" x14ac:dyDescent="0.25">
      <c r="A19" s="1" t="s">
        <v>46</v>
      </c>
      <c r="B19">
        <v>2.56111111111111</v>
      </c>
      <c r="C19">
        <v>0.13078740740740699</v>
      </c>
      <c r="D19">
        <v>10</v>
      </c>
      <c r="E19">
        <v>0.02</v>
      </c>
      <c r="H19" t="s">
        <v>60</v>
      </c>
    </row>
    <row r="20" spans="1:8" x14ac:dyDescent="0.25">
      <c r="A20" s="1" t="s">
        <v>47</v>
      </c>
      <c r="B20">
        <v>2.5472222222222198</v>
      </c>
      <c r="C20">
        <v>0.13041777777777799</v>
      </c>
      <c r="D20">
        <v>10</v>
      </c>
      <c r="E20">
        <v>0.02</v>
      </c>
      <c r="H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0"/>
  <sheetViews>
    <sheetView topLeftCell="C1" workbookViewId="0">
      <selection activeCell="H3" sqref="H3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6" bestFit="1" customWidth="1"/>
    <col min="6" max="6" width="20.85546875" bestFit="1" customWidth="1"/>
    <col min="7" max="7" width="7.5703125" bestFit="1" customWidth="1"/>
    <col min="8" max="8" width="12" bestFit="1" customWidth="1"/>
    <col min="9" max="9" width="12.42578125" bestFit="1" customWidth="1"/>
    <col min="10" max="10" width="16.85546875" bestFit="1" customWidth="1"/>
    <col min="11" max="11" width="18.140625" bestFit="1" customWidth="1"/>
    <col min="12" max="12" width="12.7109375" bestFit="1" customWidth="1"/>
    <col min="13" max="13" width="12" bestFit="1" customWidth="1"/>
    <col min="14" max="14" width="11.5703125" bestFit="1" customWidth="1"/>
  </cols>
  <sheetData>
    <row r="1" spans="1:15" x14ac:dyDescent="0.2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2" t="s">
        <v>137</v>
      </c>
      <c r="O1" s="23" t="s">
        <v>138</v>
      </c>
    </row>
    <row r="2" spans="1:15" x14ac:dyDescent="0.25">
      <c r="A2" s="1" t="s">
        <v>29</v>
      </c>
    </row>
    <row r="3" spans="1:15" x14ac:dyDescent="0.25">
      <c r="A3" s="1" t="s">
        <v>30</v>
      </c>
      <c r="B3">
        <v>0</v>
      </c>
      <c r="C3">
        <v>0</v>
      </c>
      <c r="D3">
        <v>8.9600000000000009</v>
      </c>
      <c r="E3">
        <v>0.03</v>
      </c>
      <c r="F3">
        <v>9.0000000000000006E-5</v>
      </c>
      <c r="G3">
        <v>1</v>
      </c>
      <c r="H3">
        <v>2.1040930603186798E-2</v>
      </c>
      <c r="I3">
        <v>2.1898285490991098E-2</v>
      </c>
      <c r="J3">
        <v>0</v>
      </c>
      <c r="L3">
        <v>-70.136435343955995</v>
      </c>
    </row>
    <row r="4" spans="1:15" x14ac:dyDescent="0.25">
      <c r="A4" s="1" t="s">
        <v>31</v>
      </c>
      <c r="B4">
        <v>0</v>
      </c>
      <c r="C4">
        <v>0</v>
      </c>
      <c r="D4">
        <v>8.9499999999999993</v>
      </c>
      <c r="E4">
        <v>0.03</v>
      </c>
      <c r="F4">
        <v>9.0000000000000006E-5</v>
      </c>
      <c r="G4">
        <v>1</v>
      </c>
      <c r="H4">
        <v>2.1795181967300199E-2</v>
      </c>
      <c r="I4">
        <v>2.1898160661692801E-2</v>
      </c>
      <c r="J4">
        <v>0</v>
      </c>
      <c r="L4">
        <v>-72.650606557667203</v>
      </c>
    </row>
    <row r="5" spans="1:15" x14ac:dyDescent="0.25">
      <c r="A5" s="1" t="s">
        <v>32</v>
      </c>
      <c r="B5">
        <v>0</v>
      </c>
      <c r="C5">
        <v>0</v>
      </c>
      <c r="D5">
        <v>8.93</v>
      </c>
      <c r="E5">
        <v>0.03</v>
      </c>
      <c r="F5">
        <v>9.0000000000000006E-5</v>
      </c>
      <c r="G5">
        <v>1</v>
      </c>
      <c r="H5">
        <v>2.0250183205326001E-2</v>
      </c>
      <c r="I5">
        <v>2.1898416489791499E-2</v>
      </c>
      <c r="J5">
        <v>0</v>
      </c>
      <c r="L5">
        <v>-67.500610684420096</v>
      </c>
    </row>
    <row r="6" spans="1:15" x14ac:dyDescent="0.25">
      <c r="A6" s="1" t="s">
        <v>33</v>
      </c>
      <c r="B6">
        <v>7.92E-3</v>
      </c>
      <c r="C6">
        <v>1E-3</v>
      </c>
      <c r="D6">
        <v>8.92</v>
      </c>
      <c r="E6">
        <v>0.03</v>
      </c>
      <c r="F6">
        <v>9.0000000000000006E-5</v>
      </c>
      <c r="G6">
        <v>1</v>
      </c>
      <c r="H6">
        <v>2.0335340617403299E-2</v>
      </c>
      <c r="I6">
        <v>2.1898402375865499E-2</v>
      </c>
      <c r="J6">
        <v>5.00165786890358</v>
      </c>
      <c r="K6">
        <v>0.63153649647037702</v>
      </c>
      <c r="L6">
        <v>98.937460238775003</v>
      </c>
      <c r="M6">
        <v>75.970243693121802</v>
      </c>
    </row>
    <row r="7" spans="1:15" x14ac:dyDescent="0.25">
      <c r="A7" s="1" t="s">
        <v>34</v>
      </c>
      <c r="B7">
        <v>7.92E-3</v>
      </c>
      <c r="C7">
        <v>1E-3</v>
      </c>
      <c r="D7">
        <v>8.9</v>
      </c>
      <c r="E7">
        <v>0.03</v>
      </c>
      <c r="F7">
        <v>9.0000000000000006E-5</v>
      </c>
      <c r="G7">
        <v>1</v>
      </c>
      <c r="H7">
        <v>2.11382533598466E-2</v>
      </c>
      <c r="I7">
        <v>2.18982693772144E-2</v>
      </c>
      <c r="J7">
        <v>5.00165786890358</v>
      </c>
      <c r="K7">
        <v>0.63153649647037702</v>
      </c>
      <c r="L7">
        <v>96.261084430630802</v>
      </c>
      <c r="M7">
        <v>75.969793987320401</v>
      </c>
    </row>
    <row r="8" spans="1:15" x14ac:dyDescent="0.25">
      <c r="A8" s="1" t="s">
        <v>35</v>
      </c>
      <c r="B8">
        <v>7.92E-3</v>
      </c>
      <c r="C8">
        <v>1E-3</v>
      </c>
      <c r="D8">
        <v>8.93</v>
      </c>
      <c r="E8">
        <v>0.03</v>
      </c>
      <c r="F8">
        <v>9.0000000000000006E-5</v>
      </c>
      <c r="G8">
        <v>1</v>
      </c>
      <c r="H8">
        <v>1.9605419942454901E-2</v>
      </c>
      <c r="I8">
        <v>2.1898523402210799E-2</v>
      </c>
      <c r="J8">
        <v>5.00165786890358</v>
      </c>
      <c r="K8">
        <v>0.63153649647037702</v>
      </c>
      <c r="L8">
        <v>101.37052915527001</v>
      </c>
      <c r="M8">
        <v>75.970653874399801</v>
      </c>
    </row>
    <row r="9" spans="1:15" x14ac:dyDescent="0.25">
      <c r="A9" s="1" t="s">
        <v>36</v>
      </c>
      <c r="B9">
        <v>1.5800000000000002E-2</v>
      </c>
      <c r="C9">
        <v>1E-3</v>
      </c>
      <c r="D9">
        <v>8.92</v>
      </c>
      <c r="E9">
        <v>0.03</v>
      </c>
      <c r="F9">
        <v>9.0000000000000006E-5</v>
      </c>
      <c r="G9">
        <v>1</v>
      </c>
      <c r="H9">
        <v>1.9909553557016801E-2</v>
      </c>
      <c r="I9">
        <v>2.1898472960853999E-2</v>
      </c>
      <c r="J9">
        <v>9.9780548394793698</v>
      </c>
      <c r="K9">
        <v>0.63157832620315002</v>
      </c>
      <c r="L9">
        <v>266.23664945925702</v>
      </c>
      <c r="M9">
        <v>75.974471099302605</v>
      </c>
    </row>
    <row r="10" spans="1:15" x14ac:dyDescent="0.25">
      <c r="A10" s="1" t="s">
        <v>37</v>
      </c>
      <c r="B10">
        <v>1.5800000000000002E-2</v>
      </c>
      <c r="C10">
        <v>1E-3</v>
      </c>
      <c r="D10">
        <v>8.9</v>
      </c>
      <c r="E10">
        <v>0.03</v>
      </c>
      <c r="F10">
        <v>9.0000000000000006E-5</v>
      </c>
      <c r="G10">
        <v>1</v>
      </c>
      <c r="H10">
        <v>2.0590812853635301E-2</v>
      </c>
      <c r="I10">
        <v>2.18983600433026E-2</v>
      </c>
      <c r="J10">
        <v>9.9780548394793698</v>
      </c>
      <c r="K10">
        <v>0.63157832620315002</v>
      </c>
      <c r="L10">
        <v>263.96578513719498</v>
      </c>
      <c r="M10">
        <v>75.974044122837299</v>
      </c>
    </row>
    <row r="11" spans="1:15" x14ac:dyDescent="0.25">
      <c r="A11" s="1" t="s">
        <v>38</v>
      </c>
      <c r="B11">
        <v>1.5800000000000002E-2</v>
      </c>
      <c r="C11">
        <v>1E-3</v>
      </c>
      <c r="D11">
        <v>8.9</v>
      </c>
      <c r="E11">
        <v>0.03</v>
      </c>
      <c r="F11">
        <v>9.0000000000000006E-5</v>
      </c>
      <c r="G11">
        <v>1</v>
      </c>
      <c r="H11">
        <v>2.1199080082759E-2</v>
      </c>
      <c r="I11">
        <v>2.1898259307122601E-2</v>
      </c>
      <c r="J11">
        <v>9.9780548394793698</v>
      </c>
      <c r="K11">
        <v>0.63157832620315002</v>
      </c>
      <c r="L11">
        <v>261.93822770678298</v>
      </c>
      <c r="M11">
        <v>75.973663845316693</v>
      </c>
    </row>
    <row r="12" spans="1:15" x14ac:dyDescent="0.25">
      <c r="A12" s="1" t="s">
        <v>39</v>
      </c>
      <c r="B12">
        <v>7.9100000000000004E-2</v>
      </c>
      <c r="C12">
        <v>2E-3</v>
      </c>
      <c r="D12">
        <v>8.94</v>
      </c>
      <c r="E12">
        <v>0.03</v>
      </c>
      <c r="F12">
        <v>9.0000000000000006E-5</v>
      </c>
      <c r="G12">
        <v>1</v>
      </c>
      <c r="H12">
        <v>2.11260880152641E-2</v>
      </c>
      <c r="I12">
        <v>2.1898271391326801E-2</v>
      </c>
      <c r="J12">
        <v>49.953426443216401</v>
      </c>
      <c r="K12">
        <v>1.26374487260369</v>
      </c>
      <c r="L12">
        <v>1594.6939213896601</v>
      </c>
      <c r="M12">
        <v>84.413044677084798</v>
      </c>
    </row>
    <row r="13" spans="1:15" x14ac:dyDescent="0.25">
      <c r="A13" s="1" t="s">
        <v>40</v>
      </c>
      <c r="B13">
        <v>7.9100000000000004E-2</v>
      </c>
      <c r="C13">
        <v>2E-3</v>
      </c>
      <c r="D13">
        <v>8.89</v>
      </c>
      <c r="E13">
        <v>0.03</v>
      </c>
      <c r="F13">
        <v>9.0000000000000006E-5</v>
      </c>
      <c r="G13">
        <v>1</v>
      </c>
      <c r="H13">
        <v>2.0773293022372401E-2</v>
      </c>
      <c r="I13">
        <v>2.1898329814220699E-2</v>
      </c>
      <c r="J13">
        <v>49.953426443216401</v>
      </c>
      <c r="K13">
        <v>1.26374487260369</v>
      </c>
      <c r="L13">
        <v>1595.8699046992999</v>
      </c>
      <c r="M13">
        <v>84.413410217069995</v>
      </c>
    </row>
    <row r="14" spans="1:15" x14ac:dyDescent="0.25">
      <c r="A14" s="1" t="s">
        <v>41</v>
      </c>
      <c r="B14">
        <v>7.9100000000000004E-2</v>
      </c>
      <c r="C14">
        <v>2E-3</v>
      </c>
      <c r="D14">
        <v>8.92</v>
      </c>
      <c r="E14">
        <v>0.03</v>
      </c>
      <c r="F14">
        <v>9.0000000000000006E-5</v>
      </c>
      <c r="G14">
        <v>1</v>
      </c>
      <c r="H14">
        <v>2.1320733528583699E-2</v>
      </c>
      <c r="I14">
        <v>2.1898239169289999E-2</v>
      </c>
      <c r="J14">
        <v>49.953426443216401</v>
      </c>
      <c r="K14">
        <v>1.26374487260369</v>
      </c>
      <c r="L14">
        <v>1594.04510301193</v>
      </c>
      <c r="M14">
        <v>84.412843115755393</v>
      </c>
    </row>
    <row r="15" spans="1:15" x14ac:dyDescent="0.25">
      <c r="A15" s="1" t="s">
        <v>42</v>
      </c>
      <c r="B15">
        <v>0.158</v>
      </c>
      <c r="C15">
        <v>2E-3</v>
      </c>
      <c r="D15">
        <v>8.81</v>
      </c>
      <c r="E15">
        <v>0.03</v>
      </c>
      <c r="F15">
        <v>9.0000000000000006E-5</v>
      </c>
      <c r="G15">
        <v>1</v>
      </c>
      <c r="H15">
        <v>2.2561598675996001E-2</v>
      </c>
      <c r="I15">
        <v>2.18980339424402E-2</v>
      </c>
      <c r="J15">
        <v>99.780548394793698</v>
      </c>
      <c r="K15">
        <v>1.26583535790515</v>
      </c>
      <c r="L15">
        <v>3250.8129509064702</v>
      </c>
      <c r="M15">
        <v>84.873711248610604</v>
      </c>
    </row>
    <row r="16" spans="1:15" x14ac:dyDescent="0.25">
      <c r="A16" s="1" t="s">
        <v>43</v>
      </c>
      <c r="B16">
        <v>0.158</v>
      </c>
      <c r="C16">
        <v>2E-3</v>
      </c>
      <c r="D16">
        <v>8.8699999999999992</v>
      </c>
      <c r="E16">
        <v>0.03</v>
      </c>
      <c r="F16">
        <v>9.0000000000000006E-5</v>
      </c>
      <c r="G16">
        <v>1</v>
      </c>
      <c r="H16">
        <v>2.2890062979722799E-2</v>
      </c>
      <c r="I16">
        <v>2.1897979672273998E-2</v>
      </c>
      <c r="J16">
        <v>99.780548394793698</v>
      </c>
      <c r="K16">
        <v>1.26583535790515</v>
      </c>
      <c r="L16">
        <v>3249.7180698940501</v>
      </c>
      <c r="M16">
        <v>84.8731811999793</v>
      </c>
    </row>
    <row r="17" spans="1:13" x14ac:dyDescent="0.25">
      <c r="A17" s="1" t="s">
        <v>44</v>
      </c>
      <c r="B17">
        <v>0.158</v>
      </c>
      <c r="C17">
        <v>2E-3</v>
      </c>
      <c r="D17">
        <v>8.91</v>
      </c>
      <c r="E17">
        <v>0.03</v>
      </c>
      <c r="F17">
        <v>9.0000000000000006E-5</v>
      </c>
      <c r="G17">
        <v>1</v>
      </c>
      <c r="H17">
        <v>2.34496688305166E-2</v>
      </c>
      <c r="I17">
        <v>2.1897887264620601E-2</v>
      </c>
      <c r="J17">
        <v>99.780548394793698</v>
      </c>
      <c r="K17">
        <v>1.26583535790515</v>
      </c>
      <c r="L17">
        <v>3247.8527170580701</v>
      </c>
      <c r="M17">
        <v>84.8722786873183</v>
      </c>
    </row>
    <row r="18" spans="1:13" x14ac:dyDescent="0.25">
      <c r="A18" s="1" t="s">
        <v>45</v>
      </c>
      <c r="B18">
        <v>0.79200000000000004</v>
      </c>
      <c r="C18">
        <v>2E-3</v>
      </c>
      <c r="D18">
        <v>8.9</v>
      </c>
      <c r="E18">
        <v>0.03</v>
      </c>
      <c r="F18">
        <v>9.0000000000000006E-5</v>
      </c>
      <c r="G18">
        <v>1</v>
      </c>
      <c r="H18">
        <v>6.16610161640661E-2</v>
      </c>
      <c r="I18">
        <v>2.1891734366972199E-2</v>
      </c>
      <c r="J18">
        <v>500.16578689035799</v>
      </c>
      <c r="K18">
        <v>1.3313880562601199</v>
      </c>
      <c r="L18">
        <v>16466.656175798402</v>
      </c>
      <c r="M18">
        <v>98.6661496299036</v>
      </c>
    </row>
    <row r="19" spans="1:13" x14ac:dyDescent="0.25">
      <c r="A19" s="1" t="s">
        <v>46</v>
      </c>
      <c r="B19">
        <v>0.79200000000000004</v>
      </c>
      <c r="C19">
        <v>2E-3</v>
      </c>
      <c r="D19">
        <v>8.9</v>
      </c>
      <c r="E19">
        <v>0.03</v>
      </c>
      <c r="F19">
        <v>9.0000000000000006E-5</v>
      </c>
      <c r="G19">
        <v>1</v>
      </c>
      <c r="H19">
        <v>5.0614883283180097E-2</v>
      </c>
      <c r="I19">
        <v>2.18934812523418E-2</v>
      </c>
      <c r="J19">
        <v>500.16578689035799</v>
      </c>
      <c r="K19">
        <v>1.3313880562601199</v>
      </c>
      <c r="L19">
        <v>16503.476618734701</v>
      </c>
      <c r="M19">
        <v>98.725599281633393</v>
      </c>
    </row>
    <row r="20" spans="1:13" x14ac:dyDescent="0.25">
      <c r="A20" s="1" t="s">
        <v>47</v>
      </c>
      <c r="B20">
        <v>0.79200000000000004</v>
      </c>
      <c r="C20">
        <v>2E-3</v>
      </c>
      <c r="D20">
        <v>8.94</v>
      </c>
      <c r="E20">
        <v>0.03</v>
      </c>
      <c r="F20">
        <v>9.0000000000000006E-5</v>
      </c>
      <c r="G20">
        <v>1</v>
      </c>
      <c r="H20">
        <v>5.0310749668618301E-2</v>
      </c>
      <c r="I20">
        <v>2.1893529715231501E-2</v>
      </c>
      <c r="J20">
        <v>500.16578689035799</v>
      </c>
      <c r="K20">
        <v>1.3313880562601199</v>
      </c>
      <c r="L20">
        <v>16504.490397449899</v>
      </c>
      <c r="M20">
        <v>98.727238834027602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2"/>
  <sheetViews>
    <sheetView workbookViewId="0">
      <selection activeCell="E26" sqref="E26"/>
    </sheetView>
  </sheetViews>
  <sheetFormatPr defaultRowHeight="15" x14ac:dyDescent="0.25"/>
  <cols>
    <col min="1" max="1" width="7.5703125" bestFit="1" customWidth="1"/>
    <col min="2" max="2" width="14.7109375" bestFit="1" customWidth="1"/>
    <col min="3" max="3" width="19.85546875" bestFit="1" customWidth="1"/>
    <col min="4" max="4" width="17.42578125" bestFit="1" customWidth="1"/>
    <col min="5" max="5" width="22.28515625" bestFit="1" customWidth="1"/>
    <col min="6" max="6" width="27.7109375" bestFit="1" customWidth="1"/>
    <col min="7" max="7" width="27" bestFit="1" customWidth="1"/>
    <col min="8" max="8" width="12" bestFit="1" customWidth="1"/>
    <col min="9" max="9" width="9" bestFit="1" customWidth="1"/>
    <col min="10" max="10" width="12.7109375" bestFit="1" customWidth="1"/>
    <col min="11" max="11" width="21.5703125" bestFit="1" customWidth="1"/>
  </cols>
  <sheetData>
    <row r="1" spans="1:12" x14ac:dyDescent="0.25">
      <c r="A1" t="s">
        <v>70</v>
      </c>
      <c r="B1" t="s">
        <v>71</v>
      </c>
      <c r="C1" t="s">
        <v>73</v>
      </c>
      <c r="D1" t="s">
        <v>72</v>
      </c>
      <c r="E1" t="s">
        <v>74</v>
      </c>
      <c r="F1" t="s">
        <v>132</v>
      </c>
      <c r="G1" t="s">
        <v>133</v>
      </c>
      <c r="H1" t="s">
        <v>23</v>
      </c>
      <c r="I1" t="s">
        <v>27</v>
      </c>
      <c r="J1" t="s">
        <v>136</v>
      </c>
      <c r="K1" t="s">
        <v>135</v>
      </c>
      <c r="L1" t="s">
        <v>1</v>
      </c>
    </row>
    <row r="2" spans="1:12" x14ac:dyDescent="0.25">
      <c r="A2" t="s">
        <v>30</v>
      </c>
    </row>
    <row r="3" spans="1:12" x14ac:dyDescent="0.25">
      <c r="A3" t="s">
        <v>31</v>
      </c>
    </row>
    <row r="4" spans="1:12" x14ac:dyDescent="0.25">
      <c r="A4" t="s">
        <v>32</v>
      </c>
    </row>
    <row r="5" spans="1:12" x14ac:dyDescent="0.25">
      <c r="A5" t="s">
        <v>33</v>
      </c>
    </row>
    <row r="6" spans="1:12" x14ac:dyDescent="0.25">
      <c r="A6" t="s">
        <v>34</v>
      </c>
    </row>
    <row r="7" spans="1:12" x14ac:dyDescent="0.25">
      <c r="A7" t="s">
        <v>35</v>
      </c>
    </row>
    <row r="8" spans="1:12" x14ac:dyDescent="0.25">
      <c r="A8" t="s">
        <v>36</v>
      </c>
    </row>
    <row r="9" spans="1:12" x14ac:dyDescent="0.25">
      <c r="A9" t="s">
        <v>37</v>
      </c>
    </row>
    <row r="10" spans="1:12" x14ac:dyDescent="0.25">
      <c r="A10" t="s">
        <v>38</v>
      </c>
    </row>
    <row r="11" spans="1:12" x14ac:dyDescent="0.25">
      <c r="A11" t="s">
        <v>39</v>
      </c>
    </row>
    <row r="12" spans="1:12" x14ac:dyDescent="0.25">
      <c r="A12" t="s">
        <v>40</v>
      </c>
    </row>
    <row r="13" spans="1:12" x14ac:dyDescent="0.25">
      <c r="A13" t="s">
        <v>41</v>
      </c>
    </row>
    <row r="14" spans="1:12" x14ac:dyDescent="0.25">
      <c r="A14" t="s">
        <v>42</v>
      </c>
      <c r="B14" s="3">
        <v>4.0000000000000001E-3</v>
      </c>
      <c r="C14">
        <v>21.3</v>
      </c>
      <c r="F14" s="3">
        <f>B14*'Gamma Counter Cal'!$B$61+'Gamma Counter Cal'!B60</f>
        <v>-1.8428013320549033</v>
      </c>
      <c r="I14" s="3"/>
    </row>
    <row r="15" spans="1:12" x14ac:dyDescent="0.25">
      <c r="A15" t="s">
        <v>43</v>
      </c>
      <c r="F15" s="3">
        <f>B15*'Gamma Counter Cal'!$B$61+'Gamma Counter Cal'!B61</f>
        <v>759.58961712954601</v>
      </c>
    </row>
    <row r="16" spans="1:12" x14ac:dyDescent="0.25">
      <c r="A16" t="s">
        <v>44</v>
      </c>
      <c r="F16" s="3">
        <f>B16*'Gamma Counter Cal'!$B$61+'Gamma Counter Cal'!B62</f>
        <v>0</v>
      </c>
    </row>
    <row r="17" spans="1:12" x14ac:dyDescent="0.25">
      <c r="A17" t="s">
        <v>45</v>
      </c>
      <c r="D17">
        <v>0.53</v>
      </c>
      <c r="E17">
        <v>1</v>
      </c>
      <c r="F17" s="3">
        <f>B17*'Gamma Counter Cal'!$B$61+'Gamma Counter Cal'!B63</f>
        <v>0</v>
      </c>
      <c r="G17" s="3">
        <f>D17*'Gamma Counter Cal'!$B$61+'Gamma Counter Cal'!$B$60</f>
        <v>397.70133727808633</v>
      </c>
      <c r="I17" s="3">
        <f>G17/'Bottle Results'!E18</f>
        <v>13256.711242602878</v>
      </c>
      <c r="J17" s="3"/>
      <c r="K17" s="3"/>
    </row>
    <row r="18" spans="1:12" x14ac:dyDescent="0.25">
      <c r="A18" t="s">
        <v>46</v>
      </c>
      <c r="D18">
        <v>0.49</v>
      </c>
      <c r="E18">
        <v>1.3</v>
      </c>
      <c r="F18" s="3">
        <f>B18*'Gamma Counter Cal'!$B$61+'Gamma Counter Cal'!B64</f>
        <v>0</v>
      </c>
      <c r="G18" s="3">
        <f>D18*'Gamma Counter Cal'!$B$61+'Gamma Counter Cal'!$B$60</f>
        <v>367.31775259290447</v>
      </c>
      <c r="I18" s="3">
        <f>G18/'Bottle Results'!E19</f>
        <v>12243.92508643015</v>
      </c>
      <c r="J18" s="3"/>
      <c r="K18" s="3"/>
    </row>
    <row r="19" spans="1:12" x14ac:dyDescent="0.25">
      <c r="A19" t="s">
        <v>47</v>
      </c>
      <c r="F19" s="3">
        <f>B19*'Gamma Counter Cal'!$B$61+'Gamma Counter Cal'!B65</f>
        <v>0</v>
      </c>
      <c r="G19" s="3">
        <f>D19*'Gamma Counter Cal'!$B$61+'Gamma Counter Cal'!$B$60</f>
        <v>-4.8811598005730872</v>
      </c>
    </row>
    <row r="20" spans="1:12" x14ac:dyDescent="0.25">
      <c r="A20" t="s">
        <v>134</v>
      </c>
      <c r="B20" s="3">
        <v>5.8999999999999999E-3</v>
      </c>
      <c r="C20">
        <v>12.7</v>
      </c>
      <c r="D20">
        <v>0.48</v>
      </c>
      <c r="E20">
        <v>1.2</v>
      </c>
      <c r="F20" s="3">
        <f>B20*'Gamma Counter Cal'!$B$61+'Gamma Counter Cal'!B66</f>
        <v>4.4815787410643217</v>
      </c>
      <c r="G20" s="3">
        <f>D20*'Gamma Counter Cal'!$B$61+'Gamma Counter Cal'!$B$60</f>
        <v>359.721856421609</v>
      </c>
      <c r="H20" s="3">
        <f>F20/10</f>
        <v>0.44815787410643215</v>
      </c>
      <c r="I20" s="3">
        <f>G20/0.03</f>
        <v>11990.728547386967</v>
      </c>
      <c r="J20" s="3">
        <f>H20*100+I20*0.03</f>
        <v>404.53764383225223</v>
      </c>
      <c r="K20" s="3">
        <f>500</f>
        <v>500</v>
      </c>
      <c r="L20" s="3">
        <f>ABS(K20-J20)/K20</f>
        <v>0.19092471233549554</v>
      </c>
    </row>
    <row r="22" spans="1:12" x14ac:dyDescent="0.25">
      <c r="A2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D74"/>
  <sheetViews>
    <sheetView workbookViewId="0">
      <selection activeCell="N3" sqref="N3"/>
    </sheetView>
  </sheetViews>
  <sheetFormatPr defaultRowHeight="15" x14ac:dyDescent="0.25"/>
  <cols>
    <col min="1" max="1" width="22.7109375" style="4" customWidth="1"/>
    <col min="2" max="2" width="31.42578125" style="4" customWidth="1"/>
    <col min="3" max="3" width="12" style="4" customWidth="1"/>
    <col min="4" max="4" width="24.28515625" style="4" customWidth="1"/>
    <col min="5" max="5" width="10" style="4" customWidth="1"/>
    <col min="6" max="6" width="20.7109375" style="4" customWidth="1"/>
    <col min="7" max="7" width="12" style="4" customWidth="1"/>
    <col min="8" max="8" width="19.28515625" style="4" customWidth="1"/>
    <col min="9" max="10" width="18.7109375" style="4" customWidth="1"/>
    <col min="11" max="12" width="22" bestFit="1" customWidth="1"/>
    <col min="13" max="13" width="35.5703125" bestFit="1" customWidth="1"/>
    <col min="14" max="14" width="14.5703125" bestFit="1" customWidth="1"/>
    <col min="22" max="22" width="18" bestFit="1" customWidth="1"/>
    <col min="23" max="23" width="12.7109375" bestFit="1" customWidth="1"/>
  </cols>
  <sheetData>
    <row r="1" spans="1:23" x14ac:dyDescent="0.25">
      <c r="B1" s="5" t="s">
        <v>76</v>
      </c>
      <c r="C1" s="5" t="s">
        <v>77</v>
      </c>
      <c r="D1" s="6" t="s">
        <v>78</v>
      </c>
      <c r="E1" s="6" t="s">
        <v>49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</row>
    <row r="2" spans="1:23" x14ac:dyDescent="0.25">
      <c r="A2" s="5" t="s">
        <v>88</v>
      </c>
      <c r="B2" s="4">
        <v>69.266666666666666</v>
      </c>
      <c r="C2" s="4">
        <v>4.0713088258637899</v>
      </c>
      <c r="D2" s="4">
        <f>B2/60</f>
        <v>1.1544444444444444</v>
      </c>
      <c r="E2" s="4">
        <f>C2/60</f>
        <v>6.7855147097729829E-2</v>
      </c>
      <c r="F2" s="4">
        <v>1.1574074074074073E-3</v>
      </c>
      <c r="H2" s="4">
        <v>0</v>
      </c>
      <c r="I2" s="4">
        <v>0</v>
      </c>
      <c r="L2">
        <f t="shared" ref="L2:L8" si="0">(D2-$L$30)/$L$31</f>
        <v>0.24403057137578671</v>
      </c>
      <c r="N2">
        <f t="shared" ref="N2:N8" si="1">$L$20/ABS($L$31)*SQRT(1/$L$21+1+(D2-AVERAGE($D$3:$D$8))^2/($L$31^2*(SUM($M$3:$M$8))))</f>
        <v>0.23936202341417753</v>
      </c>
    </row>
    <row r="3" spans="1:23" x14ac:dyDescent="0.25">
      <c r="A3" s="5" t="s">
        <v>89</v>
      </c>
      <c r="B3" s="4">
        <v>213.53333333333333</v>
      </c>
      <c r="C3" s="4">
        <v>4.5389670875898238</v>
      </c>
      <c r="D3" s="4">
        <f t="shared" ref="D3:E8" si="2">B3/60</f>
        <v>3.5588888888888888</v>
      </c>
      <c r="E3" s="4">
        <f t="shared" si="2"/>
        <v>7.5649451459830402E-2</v>
      </c>
      <c r="F3" s="4">
        <v>3.4640522875816994E-3</v>
      </c>
      <c r="G3" s="4">
        <v>6.1343954248366012E-4</v>
      </c>
      <c r="H3" s="7">
        <f>H7/100</f>
        <v>1.59E-5</v>
      </c>
      <c r="I3" s="7">
        <f t="shared" ref="I3:I8" si="3">H3*37000</f>
        <v>0.58830000000000005</v>
      </c>
      <c r="J3" s="7">
        <f>(I3-AVERAGE($I$3:$I$8))^2</f>
        <v>4187.7723690000012</v>
      </c>
      <c r="K3">
        <f>F3*$B$61+$B$60</f>
        <v>-2.249901649732176</v>
      </c>
      <c r="L3">
        <f t="shared" si="0"/>
        <v>0.77044240244938123</v>
      </c>
      <c r="M3">
        <f>(I3-AVERAGE($I$3:$I$8))^2</f>
        <v>4187.7723690000012</v>
      </c>
      <c r="N3">
        <f>$L$20/ABS($L$31)*SQRT(1/$L$21+1+(D3-AVERAGE($D$3:$D$8))^2/($L$31^2*(SUM($M$3:$M$8))))</f>
        <v>0.23926048894726873</v>
      </c>
    </row>
    <row r="4" spans="1:23" x14ac:dyDescent="0.25">
      <c r="A4" s="5" t="s">
        <v>90</v>
      </c>
      <c r="B4" s="4">
        <v>851.36666666666679</v>
      </c>
      <c r="C4" s="4">
        <v>12.530584805000577</v>
      </c>
      <c r="D4" s="4">
        <f t="shared" si="2"/>
        <v>14.189444444444446</v>
      </c>
      <c r="E4" s="4">
        <f t="shared" si="2"/>
        <v>0.20884308008334296</v>
      </c>
      <c r="F4" s="4">
        <v>7.9815435847137763E-3</v>
      </c>
      <c r="G4" s="4">
        <v>8.5144502711856026E-4</v>
      </c>
      <c r="H4" s="7">
        <f>H7/20</f>
        <v>7.9500000000000008E-5</v>
      </c>
      <c r="I4" s="7">
        <f t="shared" si="3"/>
        <v>2.9415000000000004</v>
      </c>
      <c r="J4" s="7">
        <f t="shared" ref="J4:J8" si="4">(I4-AVERAGE($I$3:$I$8))^2</f>
        <v>3888.7446560400017</v>
      </c>
      <c r="K4">
        <f t="shared" ref="K4:K8" si="5">F4*$B$61+$B$60</f>
        <v>1.1815378350424348</v>
      </c>
      <c r="L4">
        <f t="shared" si="0"/>
        <v>3.0978200335938433</v>
      </c>
      <c r="M4">
        <f t="shared" ref="M4:M8" si="6">(I4-AVERAGE($I$3:$I$8))^2</f>
        <v>3888.7446560400017</v>
      </c>
      <c r="N4">
        <f t="shared" si="1"/>
        <v>0.23882097262076729</v>
      </c>
    </row>
    <row r="5" spans="1:23" x14ac:dyDescent="0.25">
      <c r="A5" s="5" t="s">
        <v>91</v>
      </c>
      <c r="B5" s="4">
        <v>1635.7</v>
      </c>
      <c r="C5" s="4">
        <v>32.620954410720707</v>
      </c>
      <c r="D5" s="4">
        <f t="shared" si="2"/>
        <v>27.261666666666667</v>
      </c>
      <c r="E5" s="4">
        <f t="shared" si="2"/>
        <v>0.54368257351201177</v>
      </c>
      <c r="F5" s="4">
        <v>1.2604166666666666E-2</v>
      </c>
      <c r="G5" s="4">
        <v>9.3201388888888891E-4</v>
      </c>
      <c r="H5" s="7">
        <f>H7/10</f>
        <v>1.5900000000000002E-4</v>
      </c>
      <c r="I5" s="7">
        <f t="shared" si="3"/>
        <v>5.8830000000000009</v>
      </c>
      <c r="J5" s="7">
        <f t="shared" si="4"/>
        <v>3530.5343748900009</v>
      </c>
      <c r="K5">
        <f t="shared" si="5"/>
        <v>4.6928343319972328</v>
      </c>
      <c r="L5">
        <f t="shared" si="0"/>
        <v>5.9597586623280572</v>
      </c>
      <c r="M5">
        <f t="shared" si="6"/>
        <v>3530.5343748900009</v>
      </c>
      <c r="N5">
        <f t="shared" si="1"/>
        <v>0.23830159492838568</v>
      </c>
    </row>
    <row r="6" spans="1:23" x14ac:dyDescent="0.25">
      <c r="A6" s="5" t="s">
        <v>92</v>
      </c>
      <c r="B6" s="4">
        <v>7998.833333333333</v>
      </c>
      <c r="C6" s="4">
        <v>50.234140670352431</v>
      </c>
      <c r="D6" s="4">
        <f t="shared" si="2"/>
        <v>133.3138888888889</v>
      </c>
      <c r="E6" s="4">
        <f t="shared" si="2"/>
        <v>0.83723567783920716</v>
      </c>
      <c r="F6" s="4">
        <v>5.0219907407407408E-2</v>
      </c>
      <c r="G6" s="4">
        <v>2.5444444444444447E-3</v>
      </c>
      <c r="H6" s="7">
        <f>H7/2</f>
        <v>7.9500000000000003E-4</v>
      </c>
      <c r="I6" s="7">
        <f t="shared" si="3"/>
        <v>29.415000000000003</v>
      </c>
      <c r="J6" s="7">
        <f t="shared" si="4"/>
        <v>1287.8265276900004</v>
      </c>
      <c r="K6">
        <f t="shared" si="5"/>
        <v>33.265360439300757</v>
      </c>
      <c r="L6">
        <f t="shared" si="0"/>
        <v>29.178071989722408</v>
      </c>
      <c r="M6">
        <f t="shared" si="6"/>
        <v>1287.8265276900004</v>
      </c>
      <c r="N6">
        <f t="shared" si="1"/>
        <v>0.23496515304651927</v>
      </c>
    </row>
    <row r="7" spans="1:23" x14ac:dyDescent="0.25">
      <c r="A7" s="5" t="s">
        <v>93</v>
      </c>
      <c r="B7" s="4">
        <v>16057.133333333333</v>
      </c>
      <c r="C7" s="4">
        <v>53.513259001171903</v>
      </c>
      <c r="D7" s="4">
        <f t="shared" si="2"/>
        <v>267.61888888888888</v>
      </c>
      <c r="E7" s="4">
        <f t="shared" si="2"/>
        <v>0.89188765001953174</v>
      </c>
      <c r="F7" s="4">
        <v>9.4872685185185185E-2</v>
      </c>
      <c r="G7" s="4">
        <v>2.9521990740740741E-3</v>
      </c>
      <c r="H7" s="7">
        <v>1.5900000000000001E-3</v>
      </c>
      <c r="I7" s="7">
        <f t="shared" si="3"/>
        <v>58.830000000000005</v>
      </c>
      <c r="J7" s="7">
        <f t="shared" si="4"/>
        <v>41.877723690000082</v>
      </c>
      <c r="K7">
        <f t="shared" si="5"/>
        <v>67.183146815293682</v>
      </c>
      <c r="L7">
        <f t="shared" si="0"/>
        <v>58.581845961582474</v>
      </c>
      <c r="M7">
        <f t="shared" si="6"/>
        <v>41.877723690000082</v>
      </c>
      <c r="N7">
        <f t="shared" si="1"/>
        <v>0.23304764250463261</v>
      </c>
    </row>
    <row r="8" spans="1:23" x14ac:dyDescent="0.25">
      <c r="A8" s="5" t="s">
        <v>94</v>
      </c>
      <c r="B8" s="4">
        <v>80635.3</v>
      </c>
      <c r="C8" s="4">
        <v>80.454997758225829</v>
      </c>
      <c r="D8" s="4">
        <f t="shared" si="2"/>
        <v>1343.9216666666666</v>
      </c>
      <c r="E8" s="4">
        <f t="shared" si="2"/>
        <v>1.3409166293037638</v>
      </c>
      <c r="F8" s="4">
        <v>0.39049768518518518</v>
      </c>
      <c r="G8" s="4">
        <v>5.6158564814814812E-3</v>
      </c>
      <c r="H8" s="7">
        <f>H7*5</f>
        <v>7.9500000000000005E-3</v>
      </c>
      <c r="I8" s="7">
        <f t="shared" si="3"/>
        <v>294.15000000000003</v>
      </c>
      <c r="J8" s="7">
        <f t="shared" si="4"/>
        <v>52371.727491690006</v>
      </c>
      <c r="K8">
        <f t="shared" si="5"/>
        <v>291.73682737921575</v>
      </c>
      <c r="L8">
        <f t="shared" si="0"/>
        <v>294.21986095032389</v>
      </c>
      <c r="M8">
        <f t="shared" si="6"/>
        <v>52371.727491690006</v>
      </c>
      <c r="N8">
        <f t="shared" si="1"/>
        <v>0.30267266037130586</v>
      </c>
    </row>
    <row r="9" spans="1:23" x14ac:dyDescent="0.25">
      <c r="A9" s="6"/>
      <c r="H9" s="7"/>
      <c r="I9" s="7"/>
      <c r="J9" s="7">
        <f>SUM(J3:J8)</f>
        <v>65308.483143000012</v>
      </c>
    </row>
    <row r="10" spans="1:23" x14ac:dyDescent="0.25">
      <c r="A10" s="8" t="s">
        <v>95</v>
      </c>
      <c r="I10" s="7"/>
    </row>
    <row r="11" spans="1:23" x14ac:dyDescent="0.25">
      <c r="A11" t="s">
        <v>96</v>
      </c>
      <c r="B11" t="s">
        <v>97</v>
      </c>
      <c r="C11" s="4" t="s">
        <v>98</v>
      </c>
      <c r="K11" s="9" t="s">
        <v>95</v>
      </c>
    </row>
    <row r="12" spans="1:23" ht="15.75" thickBot="1" x14ac:dyDescent="0.3">
      <c r="K12" t="s">
        <v>99</v>
      </c>
      <c r="M12" t="s">
        <v>98</v>
      </c>
      <c r="V12" t="s">
        <v>96</v>
      </c>
    </row>
    <row r="13" spans="1:23" ht="15.75" thickBot="1" x14ac:dyDescent="0.3">
      <c r="A13" s="10" t="s">
        <v>100</v>
      </c>
      <c r="B13" s="10"/>
    </row>
    <row r="14" spans="1:23" x14ac:dyDescent="0.25">
      <c r="A14" s="11" t="s">
        <v>101</v>
      </c>
      <c r="B14" s="11">
        <v>0.99999857522978297</v>
      </c>
      <c r="K14" t="s">
        <v>96</v>
      </c>
      <c r="V14" s="12" t="s">
        <v>100</v>
      </c>
      <c r="W14" s="12"/>
    </row>
    <row r="15" spans="1:23" ht="15.75" thickBot="1" x14ac:dyDescent="0.3">
      <c r="A15" s="11" t="s">
        <v>102</v>
      </c>
      <c r="B15" s="11">
        <v>0.99999715046159587</v>
      </c>
      <c r="V15" s="13" t="s">
        <v>101</v>
      </c>
      <c r="W15" s="13">
        <v>0.99999829960800468</v>
      </c>
    </row>
    <row r="16" spans="1:23" x14ac:dyDescent="0.25">
      <c r="A16" s="11" t="s">
        <v>103</v>
      </c>
      <c r="B16" s="11">
        <v>0.99999643807699479</v>
      </c>
      <c r="K16" s="12" t="s">
        <v>100</v>
      </c>
      <c r="L16" s="12"/>
      <c r="M16" s="14"/>
      <c r="V16" s="13" t="s">
        <v>102</v>
      </c>
      <c r="W16" s="13">
        <v>0.99999659921890061</v>
      </c>
    </row>
    <row r="17" spans="1:30" x14ac:dyDescent="0.25">
      <c r="A17" s="11" t="s">
        <v>104</v>
      </c>
      <c r="B17" s="11">
        <v>0.2156959844518157</v>
      </c>
      <c r="K17" s="13" t="s">
        <v>101</v>
      </c>
      <c r="L17" s="13">
        <v>0.99999857522978297</v>
      </c>
      <c r="M17" s="13"/>
      <c r="V17" s="13" t="s">
        <v>103</v>
      </c>
      <c r="W17" s="13">
        <v>0.9999959190626807</v>
      </c>
    </row>
    <row r="18" spans="1:30" ht="15.75" customHeight="1" thickBot="1" x14ac:dyDescent="0.3">
      <c r="A18" s="15" t="s">
        <v>105</v>
      </c>
      <c r="B18" s="15">
        <v>6</v>
      </c>
      <c r="K18" s="13" t="s">
        <v>102</v>
      </c>
      <c r="L18" s="13">
        <v>0.99999715046159587</v>
      </c>
      <c r="M18" s="13"/>
      <c r="V18" s="13" t="s">
        <v>104</v>
      </c>
      <c r="W18" s="13">
        <v>0.21657792198407996</v>
      </c>
    </row>
    <row r="19" spans="1:30" ht="15.75" thickBot="1" x14ac:dyDescent="0.3">
      <c r="K19" s="13" t="s">
        <v>103</v>
      </c>
      <c r="L19" s="13">
        <v>0.99999643807699479</v>
      </c>
      <c r="M19" s="13"/>
      <c r="V19" s="16" t="s">
        <v>105</v>
      </c>
      <c r="W19" s="16">
        <v>7</v>
      </c>
    </row>
    <row r="20" spans="1:30" ht="15.75" customHeight="1" thickBot="1" x14ac:dyDescent="0.3">
      <c r="A20" t="s">
        <v>106</v>
      </c>
      <c r="K20" s="13" t="s">
        <v>104</v>
      </c>
      <c r="L20" s="13">
        <v>0.98521674441591967</v>
      </c>
      <c r="M20" t="s">
        <v>107</v>
      </c>
    </row>
    <row r="21" spans="1:30" ht="15.75" thickBot="1" x14ac:dyDescent="0.3">
      <c r="A21" s="17"/>
      <c r="B21" s="17" t="s">
        <v>108</v>
      </c>
      <c r="C21" s="17" t="s">
        <v>109</v>
      </c>
      <c r="D21" s="17" t="s">
        <v>110</v>
      </c>
      <c r="E21" s="17" t="s">
        <v>111</v>
      </c>
      <c r="F21" s="17" t="s">
        <v>112</v>
      </c>
      <c r="K21" s="16" t="s">
        <v>105</v>
      </c>
      <c r="L21" s="16">
        <v>6</v>
      </c>
      <c r="M21" s="13"/>
      <c r="V21" t="s">
        <v>106</v>
      </c>
    </row>
    <row r="22" spans="1:30" x14ac:dyDescent="0.25">
      <c r="A22" s="11" t="s">
        <v>113</v>
      </c>
      <c r="B22" s="11">
        <v>1</v>
      </c>
      <c r="C22" s="11">
        <v>65308.297043969178</v>
      </c>
      <c r="D22" s="11">
        <v>65308.297043969178</v>
      </c>
      <c r="E22" s="11">
        <v>1403732.125870778</v>
      </c>
      <c r="F22" s="11">
        <v>3.0449538110702301E-12</v>
      </c>
      <c r="V22" s="18"/>
      <c r="W22" s="18" t="s">
        <v>108</v>
      </c>
      <c r="X22" s="18" t="s">
        <v>109</v>
      </c>
      <c r="Y22" s="18" t="s">
        <v>110</v>
      </c>
      <c r="Z22" s="18" t="s">
        <v>111</v>
      </c>
      <c r="AA22" s="18" t="s">
        <v>112</v>
      </c>
    </row>
    <row r="23" spans="1:30" ht="15.75" thickBot="1" x14ac:dyDescent="0.3">
      <c r="A23" s="11" t="s">
        <v>114</v>
      </c>
      <c r="B23" s="11">
        <v>4</v>
      </c>
      <c r="C23" s="11">
        <v>0.1860990308345517</v>
      </c>
      <c r="D23" s="11">
        <v>4.6524757708637926E-2</v>
      </c>
      <c r="E23" s="11"/>
      <c r="F23" s="11"/>
      <c r="K23" t="s">
        <v>106</v>
      </c>
      <c r="V23" s="13" t="s">
        <v>113</v>
      </c>
      <c r="W23" s="13">
        <v>1</v>
      </c>
      <c r="X23" s="13">
        <v>68963.328425895714</v>
      </c>
      <c r="Y23" s="13">
        <v>68963.328425895714</v>
      </c>
      <c r="Z23" s="13">
        <v>1470245.467085684</v>
      </c>
      <c r="AA23" s="13">
        <v>7.241458966576287E-15</v>
      </c>
    </row>
    <row r="24" spans="1:30" ht="15.75" customHeight="1" thickBot="1" x14ac:dyDescent="0.3">
      <c r="A24" s="15" t="s">
        <v>115</v>
      </c>
      <c r="B24" s="15">
        <v>5</v>
      </c>
      <c r="C24" s="15">
        <v>65308.483143000012</v>
      </c>
      <c r="D24" s="15"/>
      <c r="E24" s="15"/>
      <c r="F24" s="15"/>
      <c r="K24" s="18"/>
      <c r="L24" s="18" t="s">
        <v>108</v>
      </c>
      <c r="M24" s="18"/>
      <c r="N24" s="18" t="s">
        <v>109</v>
      </c>
      <c r="O24" s="18" t="s">
        <v>110</v>
      </c>
      <c r="P24" s="18" t="s">
        <v>111</v>
      </c>
      <c r="Q24" s="18" t="s">
        <v>112</v>
      </c>
      <c r="V24" s="13" t="s">
        <v>114</v>
      </c>
      <c r="W24" s="13">
        <v>5</v>
      </c>
      <c r="X24" s="13">
        <v>0.23452998145471113</v>
      </c>
      <c r="Y24" s="13">
        <v>4.6905996290942227E-2</v>
      </c>
      <c r="Z24" s="13"/>
      <c r="AA24" s="13"/>
    </row>
    <row r="25" spans="1:30" ht="15.75" thickBot="1" x14ac:dyDescent="0.3">
      <c r="K25" s="13" t="s">
        <v>113</v>
      </c>
      <c r="L25" s="13">
        <v>1</v>
      </c>
      <c r="M25" s="13"/>
      <c r="N25" s="13">
        <v>1362535.4424342527</v>
      </c>
      <c r="O25" s="13">
        <v>1362535.4424342527</v>
      </c>
      <c r="P25" s="13">
        <v>1403732.1258708637</v>
      </c>
      <c r="Q25" s="13">
        <v>3.0449538110698621E-12</v>
      </c>
      <c r="V25" s="16" t="s">
        <v>115</v>
      </c>
      <c r="W25" s="16">
        <v>6</v>
      </c>
      <c r="X25" s="16">
        <v>68963.562955877162</v>
      </c>
      <c r="Y25" s="16"/>
      <c r="Z25" s="16"/>
      <c r="AA25" s="16"/>
    </row>
    <row r="26" spans="1:30" ht="15.75" thickBot="1" x14ac:dyDescent="0.3">
      <c r="A26" s="17"/>
      <c r="B26" s="17" t="s">
        <v>116</v>
      </c>
      <c r="C26" s="17" t="s">
        <v>104</v>
      </c>
      <c r="D26" s="17" t="s">
        <v>117</v>
      </c>
      <c r="E26" s="17" t="s">
        <v>118</v>
      </c>
      <c r="F26" s="17" t="s">
        <v>119</v>
      </c>
      <c r="G26" s="17" t="s">
        <v>120</v>
      </c>
      <c r="H26" s="17" t="s">
        <v>121</v>
      </c>
      <c r="I26" s="17" t="s">
        <v>122</v>
      </c>
      <c r="J26" s="19"/>
      <c r="K26" s="13" t="s">
        <v>114</v>
      </c>
      <c r="L26" s="13">
        <v>4</v>
      </c>
      <c r="M26" s="13"/>
      <c r="N26" s="13">
        <v>3.882608133910014</v>
      </c>
      <c r="O26" s="13">
        <v>0.97065203347750351</v>
      </c>
      <c r="P26" s="13"/>
      <c r="Q26" s="13"/>
    </row>
    <row r="27" spans="1:30" ht="15.75" thickBot="1" x14ac:dyDescent="0.3">
      <c r="A27" s="11" t="s">
        <v>123</v>
      </c>
      <c r="B27" s="11">
        <v>-8.5291165795524648E-3</v>
      </c>
      <c r="C27" s="11">
        <v>0.10388802405182966</v>
      </c>
      <c r="D27" s="11">
        <v>-8.2099131804617781E-2</v>
      </c>
      <c r="E27" s="11">
        <v>0.93851196251853586</v>
      </c>
      <c r="F27" s="11">
        <v>-0.29696851244692557</v>
      </c>
      <c r="G27" s="11">
        <v>0.27991027928782064</v>
      </c>
      <c r="H27" s="11">
        <v>-0.29696851244692557</v>
      </c>
      <c r="I27" s="11">
        <v>0.27991027928782064</v>
      </c>
      <c r="J27" s="11"/>
      <c r="K27" s="16" t="s">
        <v>115</v>
      </c>
      <c r="L27" s="16">
        <v>5</v>
      </c>
      <c r="M27" s="16"/>
      <c r="N27" s="16">
        <v>1362539.3250423865</v>
      </c>
      <c r="O27" s="16"/>
      <c r="P27" s="16"/>
      <c r="Q27" s="16"/>
      <c r="V27" s="18"/>
      <c r="W27" s="18" t="s">
        <v>116</v>
      </c>
      <c r="X27" s="18" t="s">
        <v>104</v>
      </c>
      <c r="Y27" s="18" t="s">
        <v>117</v>
      </c>
      <c r="Z27" s="18" t="s">
        <v>118</v>
      </c>
      <c r="AA27" s="18" t="s">
        <v>119</v>
      </c>
      <c r="AB27" s="18" t="s">
        <v>120</v>
      </c>
      <c r="AC27" s="18" t="s">
        <v>121</v>
      </c>
      <c r="AD27" s="18" t="s">
        <v>122</v>
      </c>
    </row>
    <row r="28" spans="1:30" ht="15.75" customHeight="1" thickBot="1" x14ac:dyDescent="0.3">
      <c r="A28" s="15" t="s">
        <v>124</v>
      </c>
      <c r="B28" s="15">
        <v>0.21893220791986087</v>
      </c>
      <c r="C28" s="15">
        <v>1.8478535016888282E-4</v>
      </c>
      <c r="D28" s="15">
        <v>1184.7920179806995</v>
      </c>
      <c r="E28" s="15">
        <v>3.0449538110702301E-12</v>
      </c>
      <c r="F28" s="15">
        <v>0.21841916153887223</v>
      </c>
      <c r="G28" s="15">
        <v>0.21944525430084952</v>
      </c>
      <c r="H28" s="15">
        <v>0.21841916153887223</v>
      </c>
      <c r="I28" s="15">
        <v>0.21944525430084952</v>
      </c>
      <c r="J28" s="20"/>
      <c r="V28" s="13" t="s">
        <v>123</v>
      </c>
      <c r="W28" s="13">
        <v>-5.448301612160833E-2</v>
      </c>
      <c r="X28" s="13">
        <v>9.3999431059690358E-2</v>
      </c>
      <c r="Y28" s="13">
        <v>-0.57961006260783854</v>
      </c>
      <c r="Z28" s="13">
        <v>0.58731182151210115</v>
      </c>
      <c r="AA28" s="13">
        <v>-0.29611624616379639</v>
      </c>
      <c r="AB28" s="13">
        <v>0.18715021392057976</v>
      </c>
      <c r="AC28" s="13">
        <v>-0.29611624616379639</v>
      </c>
      <c r="AD28" s="13">
        <v>0.18715021392057976</v>
      </c>
    </row>
    <row r="29" spans="1:30" ht="15.75" thickBot="1" x14ac:dyDescent="0.3">
      <c r="K29" s="18"/>
      <c r="L29" s="18" t="s">
        <v>116</v>
      </c>
      <c r="M29" s="18"/>
      <c r="N29" s="18" t="s">
        <v>104</v>
      </c>
      <c r="O29" s="18" t="s">
        <v>117</v>
      </c>
      <c r="P29" s="18" t="s">
        <v>118</v>
      </c>
      <c r="Q29" s="18" t="s">
        <v>119</v>
      </c>
      <c r="R29" s="18" t="s">
        <v>120</v>
      </c>
      <c r="S29" s="18" t="s">
        <v>121</v>
      </c>
      <c r="T29" s="18" t="s">
        <v>122</v>
      </c>
      <c r="V29" s="16" t="s">
        <v>124</v>
      </c>
      <c r="W29" s="16">
        <v>0.21897545779439398</v>
      </c>
      <c r="X29" s="16">
        <v>1.8059283611157159E-4</v>
      </c>
      <c r="Y29" s="16">
        <v>1212.5367899926514</v>
      </c>
      <c r="Z29" s="16">
        <v>7.241458966576287E-15</v>
      </c>
      <c r="AA29" s="16">
        <v>0.21851122913023951</v>
      </c>
      <c r="AB29" s="16">
        <v>0.21943968645854844</v>
      </c>
      <c r="AC29" s="16">
        <v>0.21851122913023951</v>
      </c>
      <c r="AD29" s="16">
        <v>0.21943968645854844</v>
      </c>
    </row>
    <row r="30" spans="1:30" x14ac:dyDescent="0.25">
      <c r="K30" s="13" t="s">
        <v>123</v>
      </c>
      <c r="L30" s="13">
        <v>3.980773420477135E-2</v>
      </c>
      <c r="M30" s="13"/>
      <c r="N30" s="13">
        <v>0.47450311588139682</v>
      </c>
      <c r="O30" s="13">
        <v>8.3893514863074975E-2</v>
      </c>
      <c r="P30" s="13">
        <v>0.93717195197236269</v>
      </c>
      <c r="Q30" s="13">
        <v>-1.2776241192852342</v>
      </c>
      <c r="R30" s="13">
        <v>1.3572395876947769</v>
      </c>
      <c r="S30" s="13">
        <v>-1.2776241192852342</v>
      </c>
      <c r="T30" s="13">
        <v>1.3572395876947769</v>
      </c>
    </row>
    <row r="31" spans="1:30" ht="15.75" thickBot="1" x14ac:dyDescent="0.3">
      <c r="K31" s="16" t="s">
        <v>124</v>
      </c>
      <c r="L31" s="16">
        <v>4.5676109511837577</v>
      </c>
      <c r="M31" s="16"/>
      <c r="N31" s="16">
        <v>3.8552006443868751E-3</v>
      </c>
      <c r="O31" s="16">
        <v>1184.7920179807356</v>
      </c>
      <c r="P31" s="16">
        <v>3.0449538110698516E-12</v>
      </c>
      <c r="Q31" s="16">
        <v>4.5569071982250948</v>
      </c>
      <c r="R31" s="16">
        <v>4.5783147041424206</v>
      </c>
      <c r="S31" s="16">
        <v>4.5569071982250948</v>
      </c>
      <c r="T31" s="16">
        <v>4.5783147041424206</v>
      </c>
    </row>
    <row r="32" spans="1:30" x14ac:dyDescent="0.25">
      <c r="A32" t="s">
        <v>125</v>
      </c>
    </row>
    <row r="33" spans="1:24" ht="15.75" thickBot="1" x14ac:dyDescent="0.3">
      <c r="V33" t="s">
        <v>125</v>
      </c>
    </row>
    <row r="34" spans="1:24" ht="15.75" thickBot="1" x14ac:dyDescent="0.3">
      <c r="A34" s="17" t="s">
        <v>126</v>
      </c>
      <c r="B34" s="17" t="s">
        <v>127</v>
      </c>
      <c r="C34" s="17" t="s">
        <v>128</v>
      </c>
    </row>
    <row r="35" spans="1:24" x14ac:dyDescent="0.25">
      <c r="A35" s="11">
        <v>1</v>
      </c>
      <c r="B35" s="11">
        <v>0.77062628560635238</v>
      </c>
      <c r="C35" s="11">
        <v>-0.18232628560635233</v>
      </c>
      <c r="K35" t="s">
        <v>125</v>
      </c>
      <c r="V35" s="18" t="s">
        <v>126</v>
      </c>
      <c r="W35" s="18" t="s">
        <v>127</v>
      </c>
      <c r="X35" s="18" t="s">
        <v>128</v>
      </c>
    </row>
    <row r="36" spans="1:24" ht="15.75" thickBot="1" x14ac:dyDescent="0.3">
      <c r="A36" s="11">
        <v>2</v>
      </c>
      <c r="B36" s="11">
        <v>3.0979972847988737</v>
      </c>
      <c r="C36" s="11">
        <v>-0.15649728479887326</v>
      </c>
      <c r="V36" s="13">
        <v>1</v>
      </c>
      <c r="W36" s="13">
        <v>0.19831198459880872</v>
      </c>
      <c r="X36" s="13">
        <v>-0.19831198459880872</v>
      </c>
    </row>
    <row r="37" spans="1:24" x14ac:dyDescent="0.25">
      <c r="A37" s="11">
        <v>3</v>
      </c>
      <c r="B37" s="11">
        <v>5.9599277583290551</v>
      </c>
      <c r="C37" s="11">
        <v>-7.6927758329054186E-2</v>
      </c>
      <c r="K37" s="18" t="s">
        <v>126</v>
      </c>
      <c r="L37" s="18" t="s">
        <v>127</v>
      </c>
      <c r="M37" s="18"/>
      <c r="N37" s="18" t="s">
        <v>128</v>
      </c>
      <c r="O37" s="21" t="s">
        <v>129</v>
      </c>
      <c r="V37" s="13">
        <v>2</v>
      </c>
      <c r="W37" s="13">
        <v>0.72482630756221822</v>
      </c>
      <c r="X37" s="13">
        <v>-0.13652630756221817</v>
      </c>
    </row>
    <row r="38" spans="1:24" x14ac:dyDescent="0.25">
      <c r="A38" s="11">
        <v>4</v>
      </c>
      <c r="B38" s="11">
        <v>29.178174924247902</v>
      </c>
      <c r="C38" s="11">
        <v>0.2368250757521011</v>
      </c>
      <c r="K38" s="13">
        <v>1</v>
      </c>
      <c r="L38" s="13">
        <v>2.7269332567861762</v>
      </c>
      <c r="M38" s="13"/>
      <c r="N38" s="13">
        <v>0.83195563210271262</v>
      </c>
      <c r="O38">
        <f>N38^2</f>
        <v>0.69215017378742405</v>
      </c>
      <c r="V38" s="13">
        <v>3</v>
      </c>
      <c r="W38" s="13">
        <v>3.0526570769487344</v>
      </c>
      <c r="X38" s="13">
        <v>-0.111157076948734</v>
      </c>
    </row>
    <row r="39" spans="1:24" x14ac:dyDescent="0.25">
      <c r="A39" s="11">
        <v>5</v>
      </c>
      <c r="B39" s="11">
        <v>58.581865108924809</v>
      </c>
      <c r="C39" s="11">
        <v>0.24813489107519615</v>
      </c>
      <c r="K39" s="13">
        <v>2</v>
      </c>
      <c r="L39" s="13">
        <v>13.475435347111796</v>
      </c>
      <c r="M39" s="13"/>
      <c r="N39" s="13">
        <v>0.71400909733264939</v>
      </c>
      <c r="O39">
        <f t="shared" ref="O39:O43" si="7">N39^2</f>
        <v>0.50980899107378475</v>
      </c>
      <c r="V39" s="13">
        <v>4</v>
      </c>
      <c r="W39" s="13">
        <v>5.915152922449896</v>
      </c>
      <c r="X39" s="13">
        <v>-3.2152922449895094E-2</v>
      </c>
    </row>
    <row r="40" spans="1:24" ht="15.75" customHeight="1" thickBot="1" x14ac:dyDescent="0.3">
      <c r="A40" s="15">
        <v>6</v>
      </c>
      <c r="B40" s="15">
        <v>294.21920863809305</v>
      </c>
      <c r="C40" s="15">
        <v>-6.9208638093016361E-2</v>
      </c>
      <c r="K40" s="13">
        <v>3</v>
      </c>
      <c r="L40" s="13">
        <v>26.911062960018821</v>
      </c>
      <c r="M40" s="13"/>
      <c r="N40" s="13">
        <v>0.35060370664784557</v>
      </c>
      <c r="O40">
        <f t="shared" si="7"/>
        <v>0.12292295911520855</v>
      </c>
      <c r="V40" s="13">
        <v>5</v>
      </c>
      <c r="W40" s="13">
        <v>29.137986833673811</v>
      </c>
      <c r="X40" s="13">
        <v>0.27701316632619211</v>
      </c>
    </row>
    <row r="41" spans="1:24" ht="15.75" customHeight="1" thickBot="1" x14ac:dyDescent="0.3">
      <c r="A41" s="15">
        <v>6</v>
      </c>
      <c r="B41" s="15">
        <v>1343.6025690249071</v>
      </c>
      <c r="C41" s="15">
        <v>0.3190976417595266</v>
      </c>
      <c r="K41" s="13">
        <v>4</v>
      </c>
      <c r="L41" s="13">
        <v>134.39608386327501</v>
      </c>
      <c r="M41" s="13"/>
      <c r="N41" s="13">
        <v>-1.0821949743861126</v>
      </c>
      <c r="O41">
        <f t="shared" si="7"/>
        <v>1.1711459625865588</v>
      </c>
      <c r="V41" s="13">
        <v>6</v>
      </c>
      <c r="W41" s="13">
        <v>58.547485692749888</v>
      </c>
      <c r="X41" s="13">
        <v>0.28251430725011772</v>
      </c>
    </row>
    <row r="42" spans="1:24" ht="15.75" thickBot="1" x14ac:dyDescent="0.3">
      <c r="K42" s="13">
        <v>5</v>
      </c>
      <c r="L42" s="13">
        <v>268.75235999234525</v>
      </c>
      <c r="M42" s="13"/>
      <c r="N42" s="13">
        <v>-1.1334711034563725</v>
      </c>
      <c r="O42">
        <f t="shared" si="7"/>
        <v>1.2847567423706066</v>
      </c>
      <c r="V42" s="16">
        <v>7</v>
      </c>
      <c r="W42" s="16">
        <v>294.23137918201667</v>
      </c>
      <c r="X42" s="16">
        <v>-8.1379182016632967E-2</v>
      </c>
    </row>
    <row r="43" spans="1:24" ht="15.75" thickBot="1" x14ac:dyDescent="0.3">
      <c r="A43" s="22" t="s">
        <v>130</v>
      </c>
      <c r="K43" s="16">
        <v>6</v>
      </c>
      <c r="L43" s="16">
        <v>1343.6025690249071</v>
      </c>
      <c r="M43" s="16"/>
      <c r="N43" s="16">
        <v>0.3190976417595266</v>
      </c>
      <c r="O43">
        <f t="shared" si="7"/>
        <v>0.10182330497649117</v>
      </c>
    </row>
    <row r="44" spans="1:24" x14ac:dyDescent="0.25">
      <c r="A44" t="s">
        <v>96</v>
      </c>
      <c r="B44" t="s">
        <v>131</v>
      </c>
      <c r="C44"/>
      <c r="D44"/>
      <c r="E44"/>
      <c r="F44"/>
      <c r="G44"/>
      <c r="H44"/>
      <c r="I44"/>
    </row>
    <row r="45" spans="1:24" ht="15.75" thickBot="1" x14ac:dyDescent="0.3">
      <c r="A45"/>
      <c r="B45"/>
      <c r="C45"/>
      <c r="D45"/>
      <c r="E45"/>
      <c r="F45"/>
      <c r="G45"/>
      <c r="H45"/>
      <c r="I45"/>
    </row>
    <row r="46" spans="1:24" x14ac:dyDescent="0.25">
      <c r="A46" s="12" t="s">
        <v>100</v>
      </c>
      <c r="B46" s="12"/>
      <c r="C46"/>
      <c r="D46"/>
      <c r="E46"/>
      <c r="F46"/>
      <c r="G46"/>
      <c r="H46"/>
      <c r="I46"/>
    </row>
    <row r="47" spans="1:24" x14ac:dyDescent="0.25">
      <c r="A47" s="13" t="s">
        <v>101</v>
      </c>
      <c r="B47" s="13">
        <v>0.99913678675732565</v>
      </c>
      <c r="C47"/>
      <c r="D47"/>
      <c r="E47"/>
      <c r="F47"/>
      <c r="G47"/>
      <c r="H47"/>
      <c r="I47"/>
    </row>
    <row r="48" spans="1:24" x14ac:dyDescent="0.25">
      <c r="A48" s="13" t="s">
        <v>102</v>
      </c>
      <c r="B48" s="13">
        <v>0.99827431865175353</v>
      </c>
      <c r="C48"/>
      <c r="D48"/>
      <c r="E48"/>
      <c r="F48"/>
      <c r="G48"/>
      <c r="H48"/>
      <c r="I48"/>
    </row>
    <row r="49" spans="1:10" x14ac:dyDescent="0.25">
      <c r="A49" s="13" t="s">
        <v>103</v>
      </c>
      <c r="B49" s="13">
        <v>0.99792918238210437</v>
      </c>
      <c r="C49"/>
      <c r="D49"/>
      <c r="E49"/>
      <c r="F49"/>
      <c r="G49"/>
      <c r="H49"/>
      <c r="I49"/>
    </row>
    <row r="50" spans="1:10" x14ac:dyDescent="0.25">
      <c r="A50" s="13" t="s">
        <v>104</v>
      </c>
      <c r="B50" s="13">
        <v>4.8787115983951139</v>
      </c>
      <c r="C50"/>
      <c r="D50"/>
      <c r="E50"/>
      <c r="F50"/>
      <c r="G50"/>
      <c r="H50"/>
      <c r="I50"/>
    </row>
    <row r="51" spans="1:10" ht="15.75" customHeight="1" thickBot="1" x14ac:dyDescent="0.3">
      <c r="A51" s="16" t="s">
        <v>105</v>
      </c>
      <c r="B51" s="16">
        <v>7</v>
      </c>
      <c r="C51"/>
      <c r="D51"/>
      <c r="E51"/>
      <c r="F51"/>
      <c r="G51"/>
      <c r="H51"/>
      <c r="I51"/>
    </row>
    <row r="52" spans="1:10" x14ac:dyDescent="0.25">
      <c r="A52"/>
      <c r="B52"/>
      <c r="C52"/>
      <c r="D52"/>
      <c r="E52"/>
      <c r="F52"/>
      <c r="G52"/>
      <c r="H52"/>
      <c r="I52"/>
    </row>
    <row r="53" spans="1:10" ht="15.75" customHeight="1" thickBot="1" x14ac:dyDescent="0.3">
      <c r="A53" t="s">
        <v>106</v>
      </c>
      <c r="B53"/>
      <c r="C53"/>
      <c r="D53"/>
      <c r="E53"/>
      <c r="F53"/>
      <c r="G53"/>
      <c r="H53"/>
      <c r="I53"/>
    </row>
    <row r="54" spans="1:10" x14ac:dyDescent="0.25">
      <c r="A54" s="18"/>
      <c r="B54" s="18" t="s">
        <v>108</v>
      </c>
      <c r="C54" s="18" t="s">
        <v>109</v>
      </c>
      <c r="D54" s="18" t="s">
        <v>110</v>
      </c>
      <c r="E54" s="18" t="s">
        <v>111</v>
      </c>
      <c r="F54" s="18" t="s">
        <v>112</v>
      </c>
      <c r="G54"/>
      <c r="H54"/>
      <c r="I54"/>
    </row>
    <row r="55" spans="1:10" x14ac:dyDescent="0.25">
      <c r="A55" s="13" t="s">
        <v>113</v>
      </c>
      <c r="B55" s="13">
        <v>1</v>
      </c>
      <c r="C55" s="13">
        <v>68844.553821575581</v>
      </c>
      <c r="D55" s="13">
        <v>68844.553821575581</v>
      </c>
      <c r="E55" s="13">
        <v>2892.4062940883214</v>
      </c>
      <c r="F55" s="13">
        <v>4.2028918326297201E-8</v>
      </c>
      <c r="G55"/>
      <c r="H55"/>
      <c r="I55"/>
    </row>
    <row r="56" spans="1:10" x14ac:dyDescent="0.25">
      <c r="A56" s="13" t="s">
        <v>114</v>
      </c>
      <c r="B56" s="13">
        <v>5</v>
      </c>
      <c r="C56" s="13">
        <v>119.00913430157502</v>
      </c>
      <c r="D56" s="13">
        <v>23.801826860315003</v>
      </c>
      <c r="E56" s="13"/>
      <c r="F56" s="13"/>
      <c r="G56"/>
      <c r="H56"/>
      <c r="I56"/>
    </row>
    <row r="57" spans="1:10" ht="15.75" customHeight="1" thickBot="1" x14ac:dyDescent="0.3">
      <c r="A57" s="16" t="s">
        <v>115</v>
      </c>
      <c r="B57" s="16">
        <v>6</v>
      </c>
      <c r="C57" s="16">
        <v>68963.562955877162</v>
      </c>
      <c r="D57" s="16"/>
      <c r="E57" s="16"/>
      <c r="F57" s="16"/>
      <c r="G57"/>
      <c r="H57"/>
      <c r="I57"/>
    </row>
    <row r="58" spans="1:10" ht="15.75" thickBot="1" x14ac:dyDescent="0.3">
      <c r="A58"/>
      <c r="B58"/>
      <c r="C58"/>
      <c r="D58"/>
      <c r="E58"/>
      <c r="F58"/>
      <c r="G58"/>
      <c r="H58"/>
      <c r="I58"/>
    </row>
    <row r="59" spans="1:10" x14ac:dyDescent="0.25">
      <c r="A59" s="18"/>
      <c r="B59" s="18" t="s">
        <v>116</v>
      </c>
      <c r="C59" s="18" t="s">
        <v>104</v>
      </c>
      <c r="D59" s="18" t="s">
        <v>117</v>
      </c>
      <c r="E59" s="18" t="s">
        <v>118</v>
      </c>
      <c r="F59" s="18" t="s">
        <v>119</v>
      </c>
      <c r="G59" s="18" t="s">
        <v>120</v>
      </c>
      <c r="H59" s="18" t="s">
        <v>121</v>
      </c>
      <c r="I59" s="18" t="s">
        <v>122</v>
      </c>
      <c r="J59" s="19"/>
    </row>
    <row r="60" spans="1:10" x14ac:dyDescent="0.25">
      <c r="A60" s="13" t="s">
        <v>123</v>
      </c>
      <c r="B60" s="13">
        <v>-4.8811598005730872</v>
      </c>
      <c r="C60" s="13">
        <v>2.1634624433925831</v>
      </c>
      <c r="D60" s="13">
        <v>-2.2561795863295924</v>
      </c>
      <c r="E60" s="13">
        <v>7.3703712687858761E-2</v>
      </c>
      <c r="F60" s="13">
        <v>-10.442517059639421</v>
      </c>
      <c r="G60" s="13">
        <v>0.68019745849324664</v>
      </c>
      <c r="H60" s="13">
        <v>-10.442517059639421</v>
      </c>
      <c r="I60" s="13">
        <v>0.68019745849324664</v>
      </c>
      <c r="J60" s="11"/>
    </row>
    <row r="61" spans="1:10" ht="15.75" customHeight="1" thickBot="1" x14ac:dyDescent="0.3">
      <c r="A61" s="16" t="s">
        <v>124</v>
      </c>
      <c r="B61" s="16">
        <v>759.58961712954601</v>
      </c>
      <c r="C61" s="16">
        <v>14.12372883203613</v>
      </c>
      <c r="D61" s="16">
        <v>53.781096066260332</v>
      </c>
      <c r="E61" s="16">
        <v>4.2028918326297201E-8</v>
      </c>
      <c r="F61" s="16">
        <v>723.28341634246101</v>
      </c>
      <c r="G61" s="16">
        <v>795.89581791663102</v>
      </c>
      <c r="H61" s="16">
        <v>723.28341634246101</v>
      </c>
      <c r="I61" s="16">
        <v>795.89581791663102</v>
      </c>
      <c r="J61" s="20"/>
    </row>
    <row r="62" spans="1:10" x14ac:dyDescent="0.25">
      <c r="A62"/>
      <c r="B62"/>
      <c r="C62"/>
      <c r="D62"/>
      <c r="E62"/>
      <c r="F62"/>
      <c r="G62"/>
      <c r="H62"/>
      <c r="I62"/>
    </row>
    <row r="63" spans="1:10" x14ac:dyDescent="0.25">
      <c r="A63"/>
      <c r="B63"/>
      <c r="C63"/>
      <c r="D63"/>
      <c r="E63"/>
      <c r="F63"/>
      <c r="G63"/>
      <c r="H63"/>
      <c r="I63"/>
    </row>
    <row r="64" spans="1:10" x14ac:dyDescent="0.25">
      <c r="A64"/>
      <c r="B64"/>
      <c r="C64"/>
      <c r="D64"/>
      <c r="E64"/>
      <c r="F64"/>
      <c r="G64"/>
      <c r="H64"/>
      <c r="I64"/>
    </row>
    <row r="65" spans="1:9" x14ac:dyDescent="0.25">
      <c r="A65" t="s">
        <v>125</v>
      </c>
      <c r="B65"/>
      <c r="C65"/>
      <c r="D65"/>
      <c r="E65"/>
      <c r="F65"/>
      <c r="G65"/>
      <c r="H65"/>
      <c r="I65"/>
    </row>
    <row r="66" spans="1:9" ht="15.75" thickBot="1" x14ac:dyDescent="0.3">
      <c r="A66"/>
      <c r="B66"/>
      <c r="C66"/>
      <c r="D66"/>
      <c r="E66"/>
      <c r="F66"/>
      <c r="G66"/>
      <c r="H66"/>
      <c r="I66"/>
    </row>
    <row r="67" spans="1:9" x14ac:dyDescent="0.25">
      <c r="A67" s="18" t="s">
        <v>126</v>
      </c>
      <c r="B67" s="18" t="s">
        <v>127</v>
      </c>
      <c r="C67" s="18" t="s">
        <v>128</v>
      </c>
      <c r="D67"/>
      <c r="E67"/>
      <c r="F67"/>
      <c r="G67"/>
      <c r="H67"/>
      <c r="I67"/>
    </row>
    <row r="68" spans="1:9" x14ac:dyDescent="0.25">
      <c r="A68" s="13">
        <v>1</v>
      </c>
      <c r="B68" s="13">
        <v>-4.0020051511175945</v>
      </c>
      <c r="C68" s="13">
        <v>4.0020051511175945</v>
      </c>
      <c r="D68"/>
      <c r="E68"/>
      <c r="F68"/>
      <c r="G68"/>
      <c r="H68"/>
      <c r="I68"/>
    </row>
    <row r="69" spans="1:9" x14ac:dyDescent="0.25">
      <c r="A69" s="13">
        <v>2</v>
      </c>
      <c r="B69" s="13">
        <v>-2.249901649732176</v>
      </c>
      <c r="C69" s="13">
        <v>2.8382016497321763</v>
      </c>
      <c r="D69"/>
      <c r="E69"/>
      <c r="F69"/>
      <c r="G69"/>
      <c r="H69"/>
      <c r="I69"/>
    </row>
    <row r="70" spans="1:9" x14ac:dyDescent="0.25">
      <c r="A70" s="13">
        <v>3</v>
      </c>
      <c r="B70" s="13">
        <v>1.1815378350424348</v>
      </c>
      <c r="C70" s="13">
        <v>1.7599621649575656</v>
      </c>
      <c r="D70"/>
      <c r="E70"/>
      <c r="F70"/>
      <c r="G70"/>
      <c r="H70"/>
      <c r="I70"/>
    </row>
    <row r="71" spans="1:9" x14ac:dyDescent="0.25">
      <c r="A71" s="13">
        <v>4</v>
      </c>
      <c r="B71" s="13">
        <v>4.6928343319972328</v>
      </c>
      <c r="C71" s="13">
        <v>1.1901656680027681</v>
      </c>
      <c r="D71"/>
      <c r="E71"/>
      <c r="F71"/>
      <c r="G71"/>
      <c r="H71"/>
      <c r="I71"/>
    </row>
    <row r="72" spans="1:9" x14ac:dyDescent="0.25">
      <c r="A72" s="13">
        <v>5</v>
      </c>
      <c r="B72" s="13">
        <v>33.265360439300757</v>
      </c>
      <c r="C72" s="13">
        <v>-3.8503604393007542</v>
      </c>
      <c r="D72"/>
      <c r="E72"/>
      <c r="F72"/>
      <c r="G72"/>
      <c r="H72"/>
      <c r="I72"/>
    </row>
    <row r="73" spans="1:9" ht="15.75" customHeight="1" x14ac:dyDescent="0.25">
      <c r="A73" s="13">
        <v>6</v>
      </c>
      <c r="B73" s="13">
        <v>67.183146815293682</v>
      </c>
      <c r="C73" s="13">
        <v>-8.3531468152936768</v>
      </c>
      <c r="D73"/>
      <c r="E73"/>
      <c r="F73"/>
      <c r="G73"/>
      <c r="H73"/>
      <c r="I73"/>
    </row>
    <row r="74" spans="1:9" ht="15.75" thickBot="1" x14ac:dyDescent="0.3">
      <c r="A74" s="16">
        <v>7</v>
      </c>
      <c r="B74" s="16">
        <v>291.73682737921575</v>
      </c>
      <c r="C74" s="16">
        <v>2.4131726207842803</v>
      </c>
      <c r="D74"/>
      <c r="E74"/>
      <c r="F74"/>
      <c r="G74"/>
      <c r="H74"/>
      <c r="I7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"/>
  <sheetViews>
    <sheetView tabSelected="1" workbookViewId="0">
      <selection activeCell="K3" sqref="K3:K8"/>
    </sheetView>
  </sheetViews>
  <sheetFormatPr defaultRowHeight="15" x14ac:dyDescent="0.25"/>
  <sheetData>
    <row r="1" spans="1:11" x14ac:dyDescent="0.25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2" t="s">
        <v>139</v>
      </c>
    </row>
    <row r="2" spans="1:11" x14ac:dyDescent="0.25">
      <c r="A2" s="1" t="s">
        <v>70</v>
      </c>
    </row>
    <row r="3" spans="1:11" x14ac:dyDescent="0.25">
      <c r="A3" s="1" t="s">
        <v>57</v>
      </c>
      <c r="B3">
        <v>2.0566482164470299E-2</v>
      </c>
      <c r="C3">
        <v>5.2672804619627301E-4</v>
      </c>
      <c r="D3">
        <v>264.04688743441102</v>
      </c>
      <c r="E3">
        <v>1.75576015398755</v>
      </c>
      <c r="F3">
        <v>8.9066666666666698</v>
      </c>
      <c r="G3">
        <v>9.4280904158204303E-3</v>
      </c>
      <c r="H3">
        <v>9.9780548394793698</v>
      </c>
      <c r="I3">
        <v>0.63157832620315002</v>
      </c>
      <c r="J3">
        <v>3</v>
      </c>
      <c r="K3">
        <f>(H3-100*B3)/H3</f>
        <v>0.79388285096313016</v>
      </c>
    </row>
    <row r="4" spans="1:11" x14ac:dyDescent="0.25">
      <c r="A4" s="1" t="s">
        <v>58</v>
      </c>
      <c r="B4">
        <v>2.1073371522073399E-2</v>
      </c>
      <c r="C4">
        <v>2.2657897585752999E-4</v>
      </c>
      <c r="D4">
        <v>1594.8696430336299</v>
      </c>
      <c r="E4">
        <v>0.75526325285843998</v>
      </c>
      <c r="F4">
        <v>8.9166666666666696</v>
      </c>
      <c r="G4">
        <v>2.0548046676562799E-2</v>
      </c>
      <c r="H4">
        <v>49.953426443216401</v>
      </c>
      <c r="I4">
        <v>1.26374487260369</v>
      </c>
      <c r="J4">
        <v>3</v>
      </c>
      <c r="K4">
        <f t="shared" ref="K4:K8" si="0">(H4-100*B4)/H4</f>
        <v>0.95781396187901513</v>
      </c>
    </row>
    <row r="5" spans="1:11" x14ac:dyDescent="0.25">
      <c r="A5" s="1" t="s">
        <v>55</v>
      </c>
      <c r="B5">
        <v>2.1028765258604299E-2</v>
      </c>
      <c r="C5">
        <v>6.3080175984325305E-4</v>
      </c>
      <c r="D5">
        <v>-70.095884195347793</v>
      </c>
      <c r="E5">
        <v>2.10267253281084</v>
      </c>
      <c r="F5">
        <v>8.9466666666666708</v>
      </c>
      <c r="G5">
        <v>1.2472191289246801E-2</v>
      </c>
      <c r="H5">
        <v>0</v>
      </c>
      <c r="I5">
        <v>0</v>
      </c>
      <c r="J5">
        <v>3</v>
      </c>
      <c r="K5" t="e">
        <f t="shared" si="0"/>
        <v>#DIV/0!</v>
      </c>
    </row>
    <row r="6" spans="1:11" x14ac:dyDescent="0.25">
      <c r="A6" s="1" t="s">
        <v>56</v>
      </c>
      <c r="B6">
        <v>2.0359671306568301E-2</v>
      </c>
      <c r="C6">
        <v>6.2601307664435202E-4</v>
      </c>
      <c r="D6">
        <v>98.8563579415585</v>
      </c>
      <c r="E6">
        <v>2.0867102554811701</v>
      </c>
      <c r="F6">
        <v>8.9166666666666696</v>
      </c>
      <c r="G6">
        <v>1.24721912892462E-2</v>
      </c>
      <c r="H6">
        <v>5.00165786890358</v>
      </c>
      <c r="I6">
        <v>0.63153649647037702</v>
      </c>
      <c r="J6">
        <v>3</v>
      </c>
      <c r="K6">
        <f t="shared" si="0"/>
        <v>0.59294154377993524</v>
      </c>
    </row>
    <row r="7" spans="1:11" x14ac:dyDescent="0.25">
      <c r="A7" s="1" t="s">
        <v>59</v>
      </c>
      <c r="B7">
        <v>2.2967110162078499E-2</v>
      </c>
      <c r="C7">
        <v>3.6662364996387998E-4</v>
      </c>
      <c r="D7">
        <v>3249.4612459528598</v>
      </c>
      <c r="E7">
        <v>1.2220788332127599</v>
      </c>
      <c r="F7">
        <v>8.8633333333333297</v>
      </c>
      <c r="G7">
        <v>4.1096093353126299E-2</v>
      </c>
      <c r="H7">
        <v>99.780548394793698</v>
      </c>
      <c r="I7">
        <v>1.26583535790515</v>
      </c>
      <c r="J7">
        <v>3</v>
      </c>
      <c r="K7">
        <f t="shared" si="0"/>
        <v>0.97698237729541593</v>
      </c>
    </row>
    <row r="8" spans="1:11" x14ac:dyDescent="0.25">
      <c r="A8" s="1" t="s">
        <v>60</v>
      </c>
      <c r="B8">
        <v>5.4195549705288198E-2</v>
      </c>
      <c r="C8">
        <v>5.2803419333240604E-3</v>
      </c>
      <c r="D8">
        <v>16491.5410639943</v>
      </c>
      <c r="E8">
        <v>17.601139777746699</v>
      </c>
      <c r="F8">
        <v>8.9133333333333304</v>
      </c>
      <c r="G8">
        <v>1.8856180831640899E-2</v>
      </c>
      <c r="H8">
        <v>500.16578689035799</v>
      </c>
      <c r="I8">
        <v>1.3313880562601199</v>
      </c>
      <c r="J8">
        <v>3</v>
      </c>
      <c r="K8">
        <f t="shared" si="0"/>
        <v>0.98916448283233571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Equilibrated Data</vt:lpstr>
      <vt:lpstr>Bottle Results</vt:lpstr>
      <vt:lpstr>Gamma Counter Results</vt:lpstr>
      <vt:lpstr>Gamma Counter Cal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Chen</cp:lastModifiedBy>
  <dcterms:created xsi:type="dcterms:W3CDTF">2016-01-21T14:28:02Z</dcterms:created>
  <dcterms:modified xsi:type="dcterms:W3CDTF">2016-03-09T22:20:54Z</dcterms:modified>
</cp:coreProperties>
</file>