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FHY_pH9\"/>
    </mc:Choice>
  </mc:AlternateContent>
  <bookViews>
    <workbookView xWindow="0" yWindow="0" windowWidth="28800" windowHeight="11835" firstSheet="2" activeTab="4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9" i="5" l="1"/>
  <c r="Y19" i="5"/>
  <c r="Y18" i="5"/>
  <c r="Y17" i="5"/>
  <c r="AA18" i="5"/>
  <c r="AA17" i="5"/>
  <c r="AA10" i="5"/>
  <c r="AA9" i="5"/>
  <c r="AA8" i="5"/>
  <c r="AA15" i="5"/>
  <c r="AA14" i="5"/>
  <c r="W15" i="5"/>
  <c r="W14" i="5"/>
  <c r="D37" i="2" l="1"/>
  <c r="Y14" i="5"/>
  <c r="Y10" i="5"/>
  <c r="D4" i="8" s="1"/>
  <c r="Y9" i="5"/>
  <c r="Y8" i="5"/>
  <c r="M3" i="5" l="1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N2" i="5"/>
  <c r="M2" i="5"/>
  <c r="K3" i="7" l="1"/>
  <c r="K4" i="7"/>
  <c r="K5" i="7"/>
  <c r="K6" i="7"/>
  <c r="K7" i="7"/>
  <c r="K8" i="7"/>
  <c r="K2" i="7"/>
  <c r="F25" i="2" l="1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M15" i="5" s="1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24" i="2"/>
  <c r="G24" i="2" s="1"/>
  <c r="D41" i="2"/>
  <c r="D40" i="2"/>
  <c r="D39" i="2"/>
  <c r="D42" i="2"/>
  <c r="D36" i="2"/>
  <c r="D32" i="2"/>
  <c r="D31" i="2"/>
  <c r="D30" i="2"/>
  <c r="D44" i="2"/>
  <c r="D43" i="2"/>
  <c r="G37" i="2" l="1"/>
  <c r="N15" i="5" s="1"/>
  <c r="I7" i="8"/>
  <c r="I6" i="8"/>
  <c r="I5" i="8"/>
  <c r="I4" i="8"/>
  <c r="I3" i="8"/>
  <c r="I2" i="8"/>
  <c r="H7" i="8"/>
  <c r="H6" i="8"/>
  <c r="H5" i="8"/>
  <c r="H4" i="8"/>
  <c r="H3" i="8"/>
  <c r="H2" i="8"/>
  <c r="AB17" i="5"/>
  <c r="AB18" i="5"/>
  <c r="V23" i="5" l="1"/>
  <c r="V22" i="5"/>
  <c r="V21" i="5"/>
  <c r="U23" i="5"/>
  <c r="U22" i="5"/>
  <c r="U21" i="5"/>
  <c r="F21" i="2"/>
  <c r="F22" i="2"/>
  <c r="F23" i="2"/>
  <c r="F20" i="2"/>
  <c r="Q23" i="5" l="1"/>
  <c r="Q21" i="5"/>
  <c r="W21" i="5" s="1"/>
  <c r="Q22" i="5"/>
  <c r="Y21" i="5"/>
  <c r="AB21" i="5" s="1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" i="5"/>
  <c r="W22" i="5" l="1"/>
  <c r="Y22" i="5"/>
  <c r="AB22" i="5" s="1"/>
  <c r="W23" i="5"/>
  <c r="Y23" i="5"/>
  <c r="AB23" i="5" s="1"/>
  <c r="R23" i="5"/>
  <c r="R22" i="5"/>
  <c r="R21" i="5"/>
  <c r="T2" i="5"/>
  <c r="S3" i="5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S15" i="5"/>
  <c r="T15" i="5" s="1"/>
  <c r="S16" i="5"/>
  <c r="T16" i="5" s="1"/>
  <c r="S17" i="5"/>
  <c r="T17" i="5" s="1"/>
  <c r="S18" i="5"/>
  <c r="T18" i="5" s="1"/>
  <c r="S19" i="5"/>
  <c r="T19" i="5" s="1"/>
  <c r="S20" i="5"/>
  <c r="T20" i="5" s="1"/>
  <c r="S2" i="5"/>
  <c r="Q20" i="5"/>
  <c r="T14" i="5" l="1"/>
  <c r="R20" i="5"/>
  <c r="W20" i="5"/>
  <c r="Y20" i="5"/>
  <c r="AB20" i="5" s="1"/>
  <c r="F19" i="2"/>
  <c r="I19" i="5" s="1"/>
  <c r="Q19" i="5" s="1"/>
  <c r="W19" i="5" s="1"/>
  <c r="F3" i="2"/>
  <c r="Q3" i="5" s="1"/>
  <c r="W3" i="5" s="1"/>
  <c r="F4" i="2"/>
  <c r="Q4" i="5" s="1"/>
  <c r="F5" i="2"/>
  <c r="Q5" i="5" s="1"/>
  <c r="F6" i="2"/>
  <c r="Q6" i="5" s="1"/>
  <c r="W6" i="5" s="1"/>
  <c r="F7" i="2"/>
  <c r="Q7" i="5" s="1"/>
  <c r="W7" i="5" s="1"/>
  <c r="F8" i="2"/>
  <c r="I8" i="5" s="1"/>
  <c r="Q8" i="5" s="1"/>
  <c r="F9" i="2"/>
  <c r="I9" i="5" s="1"/>
  <c r="Q9" i="5" s="1"/>
  <c r="W9" i="5" s="1"/>
  <c r="F10" i="2"/>
  <c r="I10" i="5" s="1"/>
  <c r="Q10" i="5" s="1"/>
  <c r="W10" i="5" s="1"/>
  <c r="F11" i="2"/>
  <c r="Q11" i="5" s="1"/>
  <c r="W11" i="5" s="1"/>
  <c r="F12" i="2"/>
  <c r="Q12" i="5" s="1"/>
  <c r="F13" i="2"/>
  <c r="Q13" i="5" s="1"/>
  <c r="F14" i="2"/>
  <c r="I14" i="5" s="1"/>
  <c r="Q14" i="5" s="1"/>
  <c r="F15" i="2"/>
  <c r="Q15" i="5" s="1"/>
  <c r="F16" i="2"/>
  <c r="Q16" i="5" s="1"/>
  <c r="F17" i="2"/>
  <c r="I17" i="5" s="1"/>
  <c r="Q17" i="5" s="1"/>
  <c r="W17" i="5" s="1"/>
  <c r="F18" i="2"/>
  <c r="I18" i="5" s="1"/>
  <c r="Q18" i="5" s="1"/>
  <c r="W18" i="5" s="1"/>
  <c r="F2" i="2"/>
  <c r="H8" i="7"/>
  <c r="I8" i="7" s="1"/>
  <c r="E8" i="7"/>
  <c r="D8" i="7"/>
  <c r="L8" i="7" s="1"/>
  <c r="I7" i="7"/>
  <c r="E7" i="7"/>
  <c r="D7" i="7"/>
  <c r="L7" i="7" s="1"/>
  <c r="H6" i="7"/>
  <c r="I6" i="7" s="1"/>
  <c r="E6" i="7"/>
  <c r="D6" i="7"/>
  <c r="L6" i="7" s="1"/>
  <c r="H5" i="7"/>
  <c r="I5" i="7" s="1"/>
  <c r="E5" i="7"/>
  <c r="D5" i="7"/>
  <c r="L5" i="7" s="1"/>
  <c r="H4" i="7"/>
  <c r="I4" i="7" s="1"/>
  <c r="E4" i="7"/>
  <c r="D4" i="7"/>
  <c r="L4" i="7" s="1"/>
  <c r="H3" i="7"/>
  <c r="I3" i="7" s="1"/>
  <c r="E3" i="7"/>
  <c r="D3" i="7"/>
  <c r="E2" i="7"/>
  <c r="D2" i="7"/>
  <c r="L2" i="7" s="1"/>
  <c r="B7" i="8" l="1"/>
  <c r="C7" i="8"/>
  <c r="W16" i="5"/>
  <c r="B6" i="8" s="1"/>
  <c r="Y16" i="5"/>
  <c r="AB16" i="5" s="1"/>
  <c r="W13" i="5"/>
  <c r="W5" i="5"/>
  <c r="Y3" i="5"/>
  <c r="AB3" i="5" s="1"/>
  <c r="W12" i="5"/>
  <c r="B5" i="8" s="1"/>
  <c r="W4" i="5"/>
  <c r="Y11" i="5"/>
  <c r="Y6" i="5"/>
  <c r="AB6" i="5" s="1"/>
  <c r="W8" i="5"/>
  <c r="Q2" i="5"/>
  <c r="Y4" i="5"/>
  <c r="AB4" i="5" s="1"/>
  <c r="Y5" i="5"/>
  <c r="Y7" i="5"/>
  <c r="AB7" i="5" s="1"/>
  <c r="AB9" i="5"/>
  <c r="Y12" i="5"/>
  <c r="AB12" i="5" s="1"/>
  <c r="Y13" i="5"/>
  <c r="AB13" i="5" s="1"/>
  <c r="Y15" i="5"/>
  <c r="AB15" i="5" s="1"/>
  <c r="AB10" i="5"/>
  <c r="AB19" i="5"/>
  <c r="E7" i="8"/>
  <c r="D7" i="8"/>
  <c r="AB11" i="5"/>
  <c r="AB5" i="5"/>
  <c r="E3" i="8"/>
  <c r="AB14" i="5"/>
  <c r="J6" i="7"/>
  <c r="J8" i="7"/>
  <c r="M8" i="7"/>
  <c r="M3" i="7"/>
  <c r="J5" i="7"/>
  <c r="M5" i="7"/>
  <c r="M7" i="7"/>
  <c r="J3" i="7"/>
  <c r="M6" i="7"/>
  <c r="J7" i="7"/>
  <c r="M4" i="7"/>
  <c r="J4" i="7"/>
  <c r="L3" i="7"/>
  <c r="D6" i="8" l="1"/>
  <c r="D3" i="8"/>
  <c r="W2" i="5"/>
  <c r="Y2" i="5"/>
  <c r="R2" i="5"/>
  <c r="AB8" i="5"/>
  <c r="E4" i="8"/>
  <c r="B4" i="8"/>
  <c r="C4" i="8"/>
  <c r="C3" i="8"/>
  <c r="B3" i="8"/>
  <c r="D5" i="8"/>
  <c r="C6" i="8"/>
  <c r="E5" i="8"/>
  <c r="E6" i="8"/>
  <c r="C5" i="8"/>
  <c r="F5" i="8"/>
  <c r="G5" i="8"/>
  <c r="G6" i="8"/>
  <c r="F6" i="8"/>
  <c r="F7" i="8"/>
  <c r="G7" i="8"/>
  <c r="G3" i="8"/>
  <c r="F3" i="8"/>
  <c r="N4" i="7"/>
  <c r="N8" i="7"/>
  <c r="N2" i="7"/>
  <c r="N6" i="7"/>
  <c r="J9" i="7"/>
  <c r="N5" i="7"/>
  <c r="N3" i="7"/>
  <c r="N7" i="7"/>
  <c r="F4" i="8" l="1"/>
  <c r="G4" i="8"/>
  <c r="AB2" i="5"/>
  <c r="D2" i="8"/>
  <c r="E2" i="8"/>
  <c r="B2" i="8"/>
  <c r="C2" i="8"/>
  <c r="J14" i="5"/>
  <c r="R14" i="5" s="1"/>
  <c r="J19" i="5"/>
  <c r="R19" i="5" s="1"/>
  <c r="R15" i="5"/>
  <c r="R7" i="5"/>
  <c r="J18" i="5"/>
  <c r="R18" i="5" s="1"/>
  <c r="R6" i="5"/>
  <c r="R13" i="5"/>
  <c r="R16" i="5"/>
  <c r="R3" i="5"/>
  <c r="R5" i="5"/>
  <c r="J9" i="5"/>
  <c r="R9" i="5" s="1"/>
  <c r="R11" i="5"/>
  <c r="R12" i="5"/>
  <c r="J17" i="5"/>
  <c r="R17" i="5" s="1"/>
  <c r="J10" i="5"/>
  <c r="R10" i="5" s="1"/>
  <c r="R4" i="5"/>
  <c r="J8" i="5"/>
  <c r="R8" i="5" s="1"/>
  <c r="G2" i="8" l="1"/>
  <c r="F2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<sst xmlns="http://schemas.openxmlformats.org/spreadsheetml/2006/main" count="444" uniqueCount="152">
  <si>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</si>
  <si>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</si>
  <si>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</si>
  <si>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</si>
  <si>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</si>
  <si>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</si>
  <si>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</si>
  <si>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</si>
  <si>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</si>
  <si>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</si>
  <si>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</si>
  <si>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</si>
  <si>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</si>
  <si>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</si>
  <si>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</si>
  <si>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</si>
  <si>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</si>
  <si>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</si>
  <si>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</si>
  <si>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</si>
  <si>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</si>
  <si>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</si>
  <si>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</si>
  <si>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</si>
  <si>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</si>
  <si>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</si>
  <si>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</si>
  <si>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</si>
  <si>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</si>
  <si>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</si>
  <si>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</si>
  <si>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</si>
  <si>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</si>
  <si>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</si>
  <si>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</si>
  <si>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</si>
  <si>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</si>
  <si>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</si>
  <si>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</si>
  <si>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</si>
  <si>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</si>
  <si>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</si>
  <si>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</si>
  <si>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</si>
  <si>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</si>
  <si>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</si>
  <si>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</si>
  <si>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</si>
  <si>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</si>
  <si>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</si>
  <si>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</si>
  <si>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</si>
  <si>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</si>
  <si>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</si>
  <si>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</si>
  <si>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</si>
  <si>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</si>
  <si>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</si>
  <si>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</si>
  <si>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</si>
  <si>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</si>
  <si>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</si>
  <si>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</si>
  <si>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</si>
  <si>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</si>
  <si>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</si>
  <si>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</si>
  <si>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</si>
  <si>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</si>
  <si>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</si>
  <si>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</si>
  <si>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</si>
  <si>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</si>
  <si>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</si>
  <si>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</si>
  <si>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</si>
  <si>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</si>
  <si>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</si>
  <si>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</si>
  <si>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</si>
  <si>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</si>
  <si>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</si>
  <si>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</si>
  <si>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</si>
  <si>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</si>
  <si>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</si>
  <si>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</si>
  <si>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</si>
  <si>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</si>
  <si>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Gamma Counter CPS-&gt;Bq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</si>
  <si>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</si>
  <si>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</si>
  <si>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</si>
  <si>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</si>
  <si>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</si>
  <si>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</si>
  <si>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</si>
  <si>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</si>
  <si>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</si>
  <si>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</si>
  <si>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</si>
  <si>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</si>
  <si>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</si>
  <si>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</si>
  <si>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</si>
  <si>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</si>
  <si>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</si>
  <si>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</si>
  <si>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</si>
  <si>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</si>
  <si>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</si>
  <si>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</si>
  <si>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</si>
  <si>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</si>
  <si>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Activity (Bq)</t>
  </si>
  <si>
    <t>Activity Error (Bq)</t>
  </si>
  <si>
    <t>Counting Method</t>
  </si>
  <si>
    <t>Phase</t>
  </si>
  <si>
    <t>Water</t>
  </si>
  <si>
    <t>Solid</t>
  </si>
  <si>
    <t>Ferrihydrite</t>
  </si>
  <si>
    <t>Scintillation</t>
  </si>
  <si>
    <t>500_A_T1</t>
  </si>
  <si>
    <t>USE FOR Bq-&gt;CPS</t>
  </si>
  <si>
    <t>Solution activity (Bq)</t>
  </si>
  <si>
    <t>Solution activity error (Bq)</t>
  </si>
  <si>
    <t>Solid Activity (Bq)</t>
  </si>
  <si>
    <t>Solid Activity Error (Bq)</t>
  </si>
  <si>
    <t>Counted Cw (Bq/mL)</t>
  </si>
  <si>
    <t>Counted dCw (Bq/mL)</t>
  </si>
  <si>
    <t>Counted Cs (Bq/g)</t>
  </si>
  <si>
    <t>Counted dCs (Bq/g)</t>
  </si>
  <si>
    <t>N/A</t>
  </si>
  <si>
    <t>Check Activity Balance</t>
  </si>
  <si>
    <t>RaFHY500pH9_DW</t>
  </si>
  <si>
    <t>RaFHY500pH9_T1</t>
  </si>
  <si>
    <t>RaFHY500pH9_T2</t>
  </si>
  <si>
    <t>RaFHY500pH9_T3</t>
  </si>
  <si>
    <t>500_D</t>
  </si>
  <si>
    <t>T1</t>
  </si>
  <si>
    <t>T2</t>
  </si>
  <si>
    <t>T3</t>
  </si>
  <si>
    <t>500_A_T2</t>
  </si>
  <si>
    <t>500_A_T3</t>
  </si>
  <si>
    <t>Total Activity</t>
  </si>
  <si>
    <t>sCw (Bq/mL)</t>
  </si>
  <si>
    <t>sCs (Bq/g)</t>
  </si>
  <si>
    <t>fSorb</t>
  </si>
  <si>
    <t>sfSorb</t>
  </si>
  <si>
    <t>pH</t>
  </si>
  <si>
    <t>spH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</si>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</sst>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1" fontId="4" fillId="0" borderId="0" xfId="0" applyNumberFormat="1" applyFont="1"/>
    <xf numFmtId="0" fontId="5" fillId="0" borderId="0" xfId="0" applyFont="1" applyFill="1" applyAlignment="1">
      <alignment horizontal="center" vertical="top"/>
    </xf>
    <xf numFmtId="0" fontId="3" fillId="0" borderId="0" xfId="0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/>
    <xf numFmtId="0" fontId="8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8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0" fontId="4" fillId="0" borderId="6" xfId="0" applyFont="1" applyBorder="1"/>
    <xf numFmtId="0" fontId="0" fillId="0" borderId="6" xfId="0" applyBorder="1"/>
    <xf numFmtId="0" fontId="4" fillId="0" borderId="7" xfId="0" applyFont="1" applyBorder="1"/>
    <xf numFmtId="0" fontId="7" fillId="0" borderId="7" xfId="0" applyFont="1" applyFill="1" applyBorder="1" applyAlignment="1">
      <alignment horizontal="center"/>
    </xf>
    <xf numFmtId="0" fontId="0" fillId="0" borderId="7" xfId="0" applyFill="1" applyBorder="1"/>
    <xf numFmtId="0" fontId="4" fillId="0" borderId="8" xfId="0" applyFont="1" applyBorder="1"/>
    <xf numFmtId="22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10" fillId="0" borderId="0" xfId="0" applyFont="1" applyAlignment="1">
      <alignment horizontal="center" vertical="top"/>
    </xf>
    <xf numFmtId="0" fontId="10" fillId="0" borderId="0" xfId="0" applyFont="1"/>
    <xf numFmtId="0" fontId="10" fillId="0" borderId="0" xfId="0" applyNumberFormat="1" applyFont="1"/>
    <xf numFmtId="11" fontId="10" fillId="0" borderId="0" xfId="0" applyNumberFormat="1" applyFont="1"/>
    <xf numFmtId="18" fontId="0" fillId="0" borderId="0" xfId="0" applyNumberFormat="1"/>
    <xf numFmtId="0" fontId="11" fillId="0" borderId="0" xfId="0" applyFont="1" applyAlignment="1">
      <alignment horizontal="center" vertical="top"/>
    </xf>
    <xf numFmtId="0" fontId="11" fillId="0" borderId="0" xfId="0" applyFont="1"/>
    <xf numFmtId="0" fontId="11" fillId="0" borderId="0" xfId="0" applyNumberFormat="1" applyFont="1"/>
    <xf numFmtId="11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120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/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9">
        <v>42438.435416666667</v>
      </c>
      <c r="B2" t="s">
        <v>134</v>
      </c>
      <c r="C2">
        <v>317.5</v>
      </c>
      <c r="D2">
        <v>3.55</v>
      </c>
      <c r="E2">
        <v>0.05</v>
      </c>
      <c r="F2">
        <v>42.52</v>
      </c>
    </row>
    <row r="3" spans="1:6" x14ac:dyDescent="0.25">
      <c r="A3" s="29">
        <v>42438.435416666667</v>
      </c>
      <c r="B3" t="s">
        <v>135</v>
      </c>
      <c r="C3">
        <v>522.79999999999995</v>
      </c>
      <c r="D3">
        <v>2.77</v>
      </c>
      <c r="E3">
        <v>0.03</v>
      </c>
      <c r="F3">
        <v>85.18</v>
      </c>
    </row>
    <row r="4" spans="1:6" x14ac:dyDescent="0.25">
      <c r="A4" s="29">
        <v>42438.435416666667</v>
      </c>
      <c r="B4" t="s">
        <v>136</v>
      </c>
      <c r="C4">
        <v>512.1</v>
      </c>
      <c r="D4">
        <v>2.79</v>
      </c>
      <c r="E4">
        <v>0.02</v>
      </c>
      <c r="F4">
        <v>127.85</v>
      </c>
    </row>
    <row r="5" spans="1:6" x14ac:dyDescent="0.25">
      <c r="A5" s="29">
        <v>42438.435416666667</v>
      </c>
      <c r="B5" t="s">
        <v>137</v>
      </c>
      <c r="C5">
        <v>338.4</v>
      </c>
      <c r="D5">
        <v>3.44</v>
      </c>
      <c r="E5">
        <v>0.04</v>
      </c>
      <c r="F5">
        <v>170.61</v>
      </c>
    </row>
    <row r="6" spans="1:6" x14ac:dyDescent="0.25">
      <c r="A6" s="29">
        <v>42439.461111111108</v>
      </c>
      <c r="B6" t="s">
        <v>134</v>
      </c>
      <c r="C6">
        <v>294.60000000000002</v>
      </c>
      <c r="D6">
        <v>3.68</v>
      </c>
      <c r="E6">
        <v>0.04</v>
      </c>
      <c r="F6">
        <v>42.5</v>
      </c>
    </row>
    <row r="7" spans="1:6" x14ac:dyDescent="0.25">
      <c r="A7" s="29">
        <v>42439.461111111108</v>
      </c>
      <c r="B7" t="s">
        <v>135</v>
      </c>
      <c r="C7">
        <v>523.5</v>
      </c>
      <c r="D7">
        <v>2.76</v>
      </c>
      <c r="E7">
        <v>0.02</v>
      </c>
      <c r="F7">
        <v>85.13</v>
      </c>
    </row>
    <row r="8" spans="1:6" x14ac:dyDescent="0.25">
      <c r="A8" s="29">
        <v>42439.461111111108</v>
      </c>
      <c r="B8" t="s">
        <v>136</v>
      </c>
      <c r="C8">
        <v>524.29999999999995</v>
      </c>
      <c r="D8">
        <v>2.76</v>
      </c>
      <c r="E8">
        <v>0.02</v>
      </c>
      <c r="F8">
        <v>127.76</v>
      </c>
    </row>
    <row r="9" spans="1:6" x14ac:dyDescent="0.25">
      <c r="A9" s="29">
        <v>42439.461111111108</v>
      </c>
      <c r="B9" t="s">
        <v>137</v>
      </c>
      <c r="C9">
        <v>345.8</v>
      </c>
      <c r="D9">
        <v>3.4</v>
      </c>
      <c r="E9">
        <v>0.02</v>
      </c>
      <c r="F9">
        <v>173.51</v>
      </c>
    </row>
    <row r="10" spans="1:6" x14ac:dyDescent="0.25">
      <c r="A10" s="29">
        <v>42447.404861111114</v>
      </c>
      <c r="B10" t="s">
        <v>134</v>
      </c>
      <c r="C10">
        <v>293.2</v>
      </c>
      <c r="D10">
        <v>3.69</v>
      </c>
      <c r="E10">
        <v>0.02</v>
      </c>
      <c r="F10">
        <v>42.47</v>
      </c>
    </row>
    <row r="11" spans="1:6" x14ac:dyDescent="0.25">
      <c r="A11" s="29">
        <v>42447.404861111114</v>
      </c>
      <c r="B11" t="s">
        <v>135</v>
      </c>
      <c r="C11">
        <v>508.5</v>
      </c>
      <c r="D11">
        <v>2.8</v>
      </c>
      <c r="E11">
        <v>0.02</v>
      </c>
      <c r="F11">
        <v>85.11</v>
      </c>
    </row>
    <row r="12" spans="1:6" x14ac:dyDescent="0.25">
      <c r="A12" s="29">
        <v>42447.404861111114</v>
      </c>
      <c r="B12" t="s">
        <v>136</v>
      </c>
      <c r="C12">
        <v>506.3</v>
      </c>
      <c r="D12">
        <v>2.81</v>
      </c>
      <c r="E12">
        <v>0.02</v>
      </c>
      <c r="F12">
        <v>127.74</v>
      </c>
    </row>
    <row r="13" spans="1:6" x14ac:dyDescent="0.25">
      <c r="A13" s="29">
        <v>42447.404861111114</v>
      </c>
      <c r="B13" t="s">
        <v>137</v>
      </c>
      <c r="C13">
        <v>339.3</v>
      </c>
      <c r="D13">
        <v>3.43</v>
      </c>
      <c r="E13">
        <v>0.02</v>
      </c>
      <c r="F13">
        <v>170.48</v>
      </c>
    </row>
    <row r="14" spans="1:6" x14ac:dyDescent="0.25">
      <c r="A14" s="29">
        <v>42459.724305555559</v>
      </c>
      <c r="B14" t="s">
        <v>134</v>
      </c>
      <c r="C14">
        <v>303.8</v>
      </c>
      <c r="D14">
        <v>3.63</v>
      </c>
      <c r="E14">
        <v>0.02</v>
      </c>
      <c r="F14">
        <v>42.49</v>
      </c>
    </row>
    <row r="15" spans="1:6" x14ac:dyDescent="0.25">
      <c r="A15" s="29">
        <v>42459.724305555559</v>
      </c>
      <c r="B15" t="s">
        <v>135</v>
      </c>
      <c r="C15">
        <v>512.1</v>
      </c>
      <c r="D15">
        <v>2.79</v>
      </c>
      <c r="E15">
        <v>0.02</v>
      </c>
      <c r="F15">
        <v>85.09</v>
      </c>
    </row>
    <row r="16" spans="1:6" x14ac:dyDescent="0.25">
      <c r="A16" s="29">
        <v>42459.724305555559</v>
      </c>
      <c r="B16" t="s">
        <v>136</v>
      </c>
      <c r="C16">
        <v>515.1</v>
      </c>
      <c r="D16">
        <v>2.79</v>
      </c>
      <c r="E16">
        <v>2.1000000000000001E-2</v>
      </c>
      <c r="F16">
        <v>127.72</v>
      </c>
    </row>
    <row r="17" spans="1:6" x14ac:dyDescent="0.25">
      <c r="A17" s="29">
        <v>42459.724305555559</v>
      </c>
      <c r="B17" t="s">
        <v>137</v>
      </c>
      <c r="C17">
        <v>341.6</v>
      </c>
      <c r="D17">
        <v>3.42</v>
      </c>
      <c r="E17">
        <v>0.02</v>
      </c>
      <c r="F17">
        <v>170.46</v>
      </c>
    </row>
    <row r="18" spans="1:6" x14ac:dyDescent="0.25">
      <c r="A18" s="29">
        <v>42374.613888888889</v>
      </c>
      <c r="B18" s="36" t="s">
        <v>96</v>
      </c>
      <c r="C18">
        <v>74.400000000000006</v>
      </c>
      <c r="D18">
        <v>7.33</v>
      </c>
      <c r="E18">
        <v>0.17</v>
      </c>
      <c r="F18">
        <v>694.2</v>
      </c>
    </row>
    <row r="19" spans="1:6" x14ac:dyDescent="0.25">
      <c r="A19" s="29">
        <v>42374.613888888889</v>
      </c>
      <c r="B19" t="s">
        <v>97</v>
      </c>
      <c r="C19">
        <v>78.3</v>
      </c>
      <c r="D19">
        <v>7.15</v>
      </c>
      <c r="E19">
        <v>0.14000000000000001</v>
      </c>
      <c r="F19">
        <v>704.83</v>
      </c>
    </row>
    <row r="20" spans="1:6" x14ac:dyDescent="0.25">
      <c r="A20" s="29">
        <v>42374.613888888889</v>
      </c>
      <c r="B20" t="s">
        <v>98</v>
      </c>
      <c r="C20">
        <v>68.2</v>
      </c>
      <c r="D20">
        <v>7.66</v>
      </c>
      <c r="E20">
        <v>0.14000000000000001</v>
      </c>
      <c r="F20">
        <v>715.46</v>
      </c>
    </row>
    <row r="21" spans="1:6" x14ac:dyDescent="0.25">
      <c r="A21" s="29">
        <v>42374.613888888889</v>
      </c>
      <c r="B21" t="s">
        <v>99</v>
      </c>
      <c r="C21">
        <v>65.599999999999994</v>
      </c>
      <c r="D21">
        <v>7.81</v>
      </c>
      <c r="E21">
        <v>0.25</v>
      </c>
      <c r="F21">
        <v>726.1</v>
      </c>
    </row>
    <row r="22" spans="1:6" x14ac:dyDescent="0.25">
      <c r="A22" s="29">
        <v>42374.613888888889</v>
      </c>
      <c r="B22" t="s">
        <v>100</v>
      </c>
      <c r="C22">
        <v>72.2</v>
      </c>
      <c r="D22">
        <v>7.44</v>
      </c>
      <c r="E22">
        <v>0.13</v>
      </c>
      <c r="F22">
        <v>736.73</v>
      </c>
    </row>
    <row r="23" spans="1:6" x14ac:dyDescent="0.25">
      <c r="A23" s="29">
        <v>42374.613888888889</v>
      </c>
      <c r="B23" t="s">
        <v>101</v>
      </c>
      <c r="C23">
        <v>67.2</v>
      </c>
      <c r="D23">
        <v>7.72</v>
      </c>
      <c r="E23">
        <v>0.18</v>
      </c>
      <c r="F23">
        <v>747.36</v>
      </c>
    </row>
    <row r="24" spans="1:6" x14ac:dyDescent="0.25">
      <c r="A24" s="29">
        <v>42374.613888888889</v>
      </c>
      <c r="B24" t="s">
        <v>102</v>
      </c>
      <c r="C24">
        <v>66.7</v>
      </c>
      <c r="D24">
        <v>7.74</v>
      </c>
      <c r="E24">
        <v>0.17</v>
      </c>
      <c r="F24">
        <v>758</v>
      </c>
    </row>
    <row r="25" spans="1:6" x14ac:dyDescent="0.25">
      <c r="A25" s="29">
        <v>42374.613888888889</v>
      </c>
      <c r="B25" t="s">
        <v>103</v>
      </c>
      <c r="C25">
        <v>68.7</v>
      </c>
      <c r="D25">
        <v>7.63</v>
      </c>
      <c r="E25">
        <v>0.15</v>
      </c>
      <c r="F25">
        <v>768.63</v>
      </c>
    </row>
    <row r="26" spans="1:6" x14ac:dyDescent="0.25">
      <c r="A26" s="29">
        <v>42374.613888888889</v>
      </c>
      <c r="B26" t="s">
        <v>104</v>
      </c>
      <c r="C26">
        <v>73.599999999999994</v>
      </c>
      <c r="D26">
        <v>7.37</v>
      </c>
      <c r="E26">
        <v>0.15</v>
      </c>
      <c r="F26">
        <v>779.36</v>
      </c>
    </row>
    <row r="27" spans="1:6" x14ac:dyDescent="0.25">
      <c r="A27" s="29">
        <v>42374.613888888889</v>
      </c>
      <c r="B27" t="s">
        <v>105</v>
      </c>
      <c r="C27">
        <v>70.8</v>
      </c>
      <c r="D27">
        <v>7.52</v>
      </c>
      <c r="E27">
        <v>0.16</v>
      </c>
      <c r="F27">
        <v>789.99</v>
      </c>
    </row>
    <row r="28" spans="1:6" x14ac:dyDescent="0.25">
      <c r="A28" s="29">
        <v>42374.613888888889</v>
      </c>
      <c r="B28" t="s">
        <v>106</v>
      </c>
      <c r="C28">
        <v>74.7</v>
      </c>
      <c r="D28">
        <v>7.32</v>
      </c>
      <c r="E28">
        <v>0.14000000000000001</v>
      </c>
      <c r="F28">
        <v>800.63</v>
      </c>
    </row>
    <row r="29" spans="1:6" x14ac:dyDescent="0.25">
      <c r="A29" s="29">
        <v>42374.613888888889</v>
      </c>
      <c r="B29" t="s">
        <v>107</v>
      </c>
      <c r="C29">
        <v>71.8</v>
      </c>
      <c r="D29">
        <v>7.46</v>
      </c>
      <c r="E29">
        <v>0.15</v>
      </c>
      <c r="F29">
        <v>821.89</v>
      </c>
    </row>
    <row r="30" spans="1:6" x14ac:dyDescent="0.25">
      <c r="A30" s="29">
        <v>42374.613888888889</v>
      </c>
      <c r="B30" t="s">
        <v>108</v>
      </c>
      <c r="C30">
        <v>76.7</v>
      </c>
      <c r="D30">
        <v>7.22</v>
      </c>
      <c r="E30">
        <v>0.15</v>
      </c>
      <c r="F30">
        <v>821.89</v>
      </c>
    </row>
    <row r="31" spans="1:6" x14ac:dyDescent="0.25">
      <c r="A31" s="29">
        <v>42374.613888888889</v>
      </c>
      <c r="B31" t="s">
        <v>109</v>
      </c>
      <c r="C31">
        <v>72.5</v>
      </c>
      <c r="D31">
        <v>7.43</v>
      </c>
      <c r="E31">
        <v>0.13</v>
      </c>
      <c r="F31">
        <v>832.53</v>
      </c>
    </row>
    <row r="32" spans="1:6" x14ac:dyDescent="0.25">
      <c r="A32" s="29">
        <v>42374.613888888889</v>
      </c>
      <c r="B32" t="s">
        <v>110</v>
      </c>
      <c r="C32">
        <v>80.5</v>
      </c>
      <c r="D32">
        <v>7.0579999999999998</v>
      </c>
      <c r="E32">
        <v>0.14000000000000001</v>
      </c>
      <c r="F32">
        <v>843.16</v>
      </c>
    </row>
    <row r="33" spans="1:6" x14ac:dyDescent="0.25">
      <c r="A33" s="29">
        <v>42374.613888888889</v>
      </c>
      <c r="B33" t="s">
        <v>111</v>
      </c>
      <c r="C33">
        <v>186.5</v>
      </c>
      <c r="D33">
        <v>4.63</v>
      </c>
      <c r="E33">
        <v>0.05</v>
      </c>
      <c r="F33">
        <v>853.79</v>
      </c>
    </row>
    <row r="34" spans="1:6" x14ac:dyDescent="0.25">
      <c r="A34" s="29">
        <v>42374.613888888889</v>
      </c>
      <c r="B34" t="s">
        <v>112</v>
      </c>
      <c r="C34">
        <v>151.30000000000001</v>
      </c>
      <c r="D34">
        <v>5.14</v>
      </c>
      <c r="E34">
        <v>0.06</v>
      </c>
      <c r="F34">
        <v>864.43</v>
      </c>
    </row>
    <row r="35" spans="1:6" x14ac:dyDescent="0.25">
      <c r="A35" s="29">
        <v>42374.613888888889</v>
      </c>
      <c r="B35" t="s">
        <v>113</v>
      </c>
      <c r="C35">
        <v>156</v>
      </c>
      <c r="D35">
        <v>5.0599999999999996</v>
      </c>
      <c r="E35">
        <v>0.06</v>
      </c>
      <c r="F35">
        <v>875.06</v>
      </c>
    </row>
    <row r="36" spans="1:6" x14ac:dyDescent="0.25">
      <c r="A36" s="29">
        <v>42382.73333333333</v>
      </c>
      <c r="B36" s="36" t="s">
        <v>96</v>
      </c>
      <c r="C36">
        <v>73.400000000000006</v>
      </c>
      <c r="D36">
        <v>7.38</v>
      </c>
      <c r="E36">
        <v>0.12</v>
      </c>
      <c r="F36">
        <v>694.16</v>
      </c>
    </row>
    <row r="37" spans="1:6" x14ac:dyDescent="0.25">
      <c r="A37" s="29">
        <v>42382.73333333333</v>
      </c>
      <c r="B37" t="s">
        <v>97</v>
      </c>
      <c r="C37">
        <v>73.8</v>
      </c>
      <c r="D37">
        <v>7.36</v>
      </c>
      <c r="E37">
        <v>0.11</v>
      </c>
      <c r="F37">
        <v>704.79</v>
      </c>
    </row>
    <row r="38" spans="1:6" x14ac:dyDescent="0.25">
      <c r="A38" s="29">
        <v>42382.73333333333</v>
      </c>
      <c r="B38" t="s">
        <v>98</v>
      </c>
      <c r="C38">
        <v>69.5</v>
      </c>
      <c r="D38">
        <v>7.59</v>
      </c>
      <c r="E38">
        <v>0.11</v>
      </c>
      <c r="F38">
        <v>715.42</v>
      </c>
    </row>
    <row r="39" spans="1:6" x14ac:dyDescent="0.25">
      <c r="A39" s="29">
        <v>42382.73333333333</v>
      </c>
      <c r="B39" t="s">
        <v>99</v>
      </c>
      <c r="C39">
        <v>72.8</v>
      </c>
      <c r="D39">
        <v>7.41</v>
      </c>
      <c r="E39">
        <v>0.14000000000000001</v>
      </c>
      <c r="F39">
        <v>726.04</v>
      </c>
    </row>
    <row r="40" spans="1:6" x14ac:dyDescent="0.25">
      <c r="A40" s="29">
        <v>42382.73333333333</v>
      </c>
      <c r="B40" t="s">
        <v>100</v>
      </c>
      <c r="C40">
        <v>78.099999999999994</v>
      </c>
      <c r="D40">
        <v>7.16</v>
      </c>
      <c r="E40">
        <v>0.11</v>
      </c>
      <c r="F40">
        <v>736.67</v>
      </c>
    </row>
    <row r="41" spans="1:6" x14ac:dyDescent="0.25">
      <c r="A41" s="29">
        <v>42382.73333333333</v>
      </c>
      <c r="B41" t="s">
        <v>101</v>
      </c>
      <c r="C41">
        <v>67.8</v>
      </c>
      <c r="D41">
        <v>7.68</v>
      </c>
      <c r="E41">
        <v>0.14000000000000001</v>
      </c>
      <c r="F41">
        <v>747.31</v>
      </c>
    </row>
    <row r="42" spans="1:6" x14ac:dyDescent="0.25">
      <c r="A42" s="29">
        <v>42382.73333333333</v>
      </c>
      <c r="B42" t="s">
        <v>102</v>
      </c>
      <c r="C42">
        <v>70.900000000000006</v>
      </c>
      <c r="D42">
        <v>7.51</v>
      </c>
      <c r="E42">
        <v>0.13</v>
      </c>
      <c r="F42">
        <v>757.94</v>
      </c>
    </row>
    <row r="43" spans="1:6" x14ac:dyDescent="0.25">
      <c r="A43" s="29">
        <v>42382.73333333333</v>
      </c>
      <c r="B43" t="s">
        <v>103</v>
      </c>
      <c r="C43">
        <v>74.5</v>
      </c>
      <c r="D43">
        <v>7.33</v>
      </c>
      <c r="E43">
        <v>0.13</v>
      </c>
      <c r="F43">
        <v>768.58</v>
      </c>
    </row>
    <row r="44" spans="1:6" x14ac:dyDescent="0.25">
      <c r="A44" s="29">
        <v>42382.73333333333</v>
      </c>
      <c r="B44" t="s">
        <v>104</v>
      </c>
      <c r="C44">
        <v>73.599999999999994</v>
      </c>
      <c r="D44">
        <v>7.37</v>
      </c>
      <c r="E44">
        <v>0.12</v>
      </c>
      <c r="F44">
        <v>779.3</v>
      </c>
    </row>
    <row r="45" spans="1:6" x14ac:dyDescent="0.25">
      <c r="A45" s="29">
        <v>42382.73333333333</v>
      </c>
      <c r="B45" t="s">
        <v>105</v>
      </c>
      <c r="C45">
        <v>75.400000000000006</v>
      </c>
      <c r="D45">
        <v>7.28</v>
      </c>
      <c r="E45">
        <v>0.11</v>
      </c>
      <c r="F45">
        <v>789.94</v>
      </c>
    </row>
    <row r="46" spans="1:6" x14ac:dyDescent="0.25">
      <c r="A46" s="29">
        <v>42382.73333333333</v>
      </c>
      <c r="B46" t="s">
        <v>106</v>
      </c>
      <c r="C46">
        <v>73</v>
      </c>
      <c r="D46">
        <v>7.4</v>
      </c>
      <c r="E46">
        <v>0.12</v>
      </c>
      <c r="F46">
        <v>800.56</v>
      </c>
    </row>
    <row r="47" spans="1:6" x14ac:dyDescent="0.25">
      <c r="A47" s="29">
        <v>42382.73333333333</v>
      </c>
      <c r="B47" t="s">
        <v>107</v>
      </c>
      <c r="C47">
        <v>74.2</v>
      </c>
      <c r="D47">
        <v>7.34</v>
      </c>
      <c r="E47">
        <v>0.14000000000000001</v>
      </c>
      <c r="F47">
        <v>811.19</v>
      </c>
    </row>
    <row r="48" spans="1:6" x14ac:dyDescent="0.25">
      <c r="A48" s="29">
        <v>42382.73333333333</v>
      </c>
      <c r="B48" t="s">
        <v>108</v>
      </c>
      <c r="C48">
        <v>78.7</v>
      </c>
      <c r="D48">
        <v>7.13</v>
      </c>
      <c r="E48">
        <v>0.12</v>
      </c>
      <c r="F48">
        <v>821.83</v>
      </c>
    </row>
    <row r="49" spans="1:6" x14ac:dyDescent="0.25">
      <c r="A49" s="29">
        <v>42382.73333333333</v>
      </c>
      <c r="B49" t="s">
        <v>109</v>
      </c>
      <c r="C49">
        <v>78.599999999999994</v>
      </c>
      <c r="D49">
        <v>7.13</v>
      </c>
      <c r="E49">
        <v>0.12</v>
      </c>
      <c r="F49">
        <v>832.46</v>
      </c>
    </row>
    <row r="50" spans="1:6" x14ac:dyDescent="0.25">
      <c r="A50" s="29">
        <v>42382.73333333333</v>
      </c>
      <c r="B50" t="s">
        <v>110</v>
      </c>
      <c r="C50">
        <v>78.599999999999994</v>
      </c>
      <c r="D50">
        <v>7.13</v>
      </c>
      <c r="E50">
        <v>0.11</v>
      </c>
      <c r="F50">
        <v>843.09</v>
      </c>
    </row>
    <row r="51" spans="1:6" x14ac:dyDescent="0.25">
      <c r="A51" s="29">
        <v>42382.73333333333</v>
      </c>
      <c r="B51" t="s">
        <v>111</v>
      </c>
      <c r="C51">
        <v>179.1</v>
      </c>
      <c r="D51">
        <v>4.7300000000000004</v>
      </c>
      <c r="E51">
        <v>0.04</v>
      </c>
      <c r="F51">
        <v>853.73</v>
      </c>
    </row>
    <row r="52" spans="1:6" x14ac:dyDescent="0.25">
      <c r="A52" s="29">
        <v>42382.73333333333</v>
      </c>
      <c r="B52" t="s">
        <v>112</v>
      </c>
      <c r="C52">
        <v>163.19999999999999</v>
      </c>
      <c r="D52">
        <v>4.95</v>
      </c>
      <c r="E52">
        <v>0.05</v>
      </c>
      <c r="F52">
        <v>864.36</v>
      </c>
    </row>
    <row r="53" spans="1:6" x14ac:dyDescent="0.25">
      <c r="A53" s="29">
        <v>42382.73333333333</v>
      </c>
      <c r="B53" t="s">
        <v>113</v>
      </c>
      <c r="C53">
        <v>159</v>
      </c>
      <c r="D53">
        <v>5.0199999999999996</v>
      </c>
      <c r="E53">
        <v>0.05</v>
      </c>
      <c r="F53">
        <v>874.99</v>
      </c>
    </row>
    <row r="54" spans="1:6" x14ac:dyDescent="0.25">
      <c r="A54" s="29">
        <v>42381.317361111112</v>
      </c>
      <c r="B54" s="36" t="s">
        <v>96</v>
      </c>
      <c r="C54">
        <v>70.099999999999994</v>
      </c>
      <c r="D54">
        <v>7.55</v>
      </c>
      <c r="E54">
        <v>0.15</v>
      </c>
      <c r="F54">
        <v>694.08</v>
      </c>
    </row>
    <row r="55" spans="1:6" x14ac:dyDescent="0.25">
      <c r="A55" s="29">
        <v>42381.317361111112</v>
      </c>
      <c r="B55" t="s">
        <v>97</v>
      </c>
      <c r="C55">
        <v>72</v>
      </c>
      <c r="D55">
        <v>7.45</v>
      </c>
      <c r="E55">
        <v>0.11</v>
      </c>
      <c r="F55">
        <v>704.71</v>
      </c>
    </row>
    <row r="56" spans="1:6" x14ac:dyDescent="0.25">
      <c r="A56" s="29">
        <v>42381.317361111112</v>
      </c>
      <c r="B56" t="s">
        <v>98</v>
      </c>
      <c r="C56">
        <v>73.7</v>
      </c>
      <c r="D56">
        <v>7.37</v>
      </c>
      <c r="E56">
        <v>0.11</v>
      </c>
      <c r="F56">
        <v>715.34</v>
      </c>
    </row>
    <row r="57" spans="1:6" x14ac:dyDescent="0.25">
      <c r="A57" s="29">
        <v>42381.317361111112</v>
      </c>
      <c r="B57" t="s">
        <v>99</v>
      </c>
      <c r="C57">
        <v>73.7</v>
      </c>
      <c r="D57">
        <v>7.37</v>
      </c>
      <c r="E57">
        <v>0.19</v>
      </c>
      <c r="F57">
        <v>725.98</v>
      </c>
    </row>
    <row r="58" spans="1:6" x14ac:dyDescent="0.25">
      <c r="A58" s="29">
        <v>42381.317361111112</v>
      </c>
      <c r="B58" t="s">
        <v>100</v>
      </c>
      <c r="C58">
        <v>68.400000000000006</v>
      </c>
      <c r="D58">
        <v>7.65</v>
      </c>
      <c r="E58">
        <v>0.11</v>
      </c>
      <c r="F58">
        <v>736.61</v>
      </c>
    </row>
    <row r="59" spans="1:6" x14ac:dyDescent="0.25">
      <c r="A59" s="29">
        <v>42381.317361111112</v>
      </c>
      <c r="B59" t="s">
        <v>101</v>
      </c>
      <c r="C59">
        <v>71.099999999999994</v>
      </c>
      <c r="D59">
        <v>7.5</v>
      </c>
      <c r="E59">
        <v>0.14000000000000001</v>
      </c>
      <c r="F59">
        <v>747.24</v>
      </c>
    </row>
    <row r="60" spans="1:6" x14ac:dyDescent="0.25">
      <c r="A60" s="29">
        <v>42381.317361111112</v>
      </c>
      <c r="B60" t="s">
        <v>102</v>
      </c>
      <c r="C60">
        <v>71</v>
      </c>
      <c r="D60">
        <v>7.51</v>
      </c>
      <c r="E60">
        <v>0.13</v>
      </c>
      <c r="F60">
        <v>757.88</v>
      </c>
    </row>
    <row r="61" spans="1:6" x14ac:dyDescent="0.25">
      <c r="A61" s="29">
        <v>42381.317361111112</v>
      </c>
      <c r="B61" t="s">
        <v>103</v>
      </c>
      <c r="C61">
        <v>71</v>
      </c>
      <c r="D61">
        <v>7.51</v>
      </c>
      <c r="E61">
        <v>0.13</v>
      </c>
      <c r="F61">
        <v>768.51</v>
      </c>
    </row>
    <row r="62" spans="1:6" x14ac:dyDescent="0.25">
      <c r="A62" s="29">
        <v>42381.317361111112</v>
      </c>
      <c r="B62" t="s">
        <v>104</v>
      </c>
      <c r="C62">
        <v>72</v>
      </c>
      <c r="D62">
        <v>7.45</v>
      </c>
      <c r="E62">
        <v>0.13</v>
      </c>
      <c r="F62">
        <v>779.24</v>
      </c>
    </row>
    <row r="63" spans="1:6" x14ac:dyDescent="0.25">
      <c r="A63" s="29">
        <v>42381.317361111112</v>
      </c>
      <c r="B63" t="s">
        <v>105</v>
      </c>
      <c r="C63">
        <v>72.400000000000006</v>
      </c>
      <c r="D63">
        <v>7.43</v>
      </c>
      <c r="E63">
        <v>0.12</v>
      </c>
      <c r="F63">
        <v>789.87</v>
      </c>
    </row>
    <row r="64" spans="1:6" x14ac:dyDescent="0.25">
      <c r="A64" s="29">
        <v>42381.317361111112</v>
      </c>
      <c r="B64" t="s">
        <v>106</v>
      </c>
      <c r="C64">
        <v>68</v>
      </c>
      <c r="D64">
        <v>7.67</v>
      </c>
      <c r="E64">
        <v>0.12</v>
      </c>
      <c r="F64">
        <v>800.5</v>
      </c>
    </row>
    <row r="65" spans="1:6" x14ac:dyDescent="0.25">
      <c r="A65" s="29">
        <v>42381.317361111112</v>
      </c>
      <c r="B65" t="s">
        <v>107</v>
      </c>
      <c r="C65">
        <v>74.2</v>
      </c>
      <c r="D65">
        <v>7.34</v>
      </c>
      <c r="E65">
        <v>0.12</v>
      </c>
      <c r="F65">
        <v>811.14</v>
      </c>
    </row>
    <row r="66" spans="1:6" x14ac:dyDescent="0.25">
      <c r="A66" s="29">
        <v>42381.317361111112</v>
      </c>
      <c r="B66" t="s">
        <v>108</v>
      </c>
      <c r="C66">
        <v>75</v>
      </c>
      <c r="D66">
        <v>7.3</v>
      </c>
      <c r="E66">
        <v>0.13</v>
      </c>
      <c r="F66">
        <v>821.78</v>
      </c>
    </row>
    <row r="67" spans="1:6" x14ac:dyDescent="0.25">
      <c r="A67" s="29">
        <v>42381.317361111112</v>
      </c>
      <c r="B67" t="s">
        <v>109</v>
      </c>
      <c r="C67">
        <v>82</v>
      </c>
      <c r="D67">
        <v>6.98</v>
      </c>
      <c r="E67">
        <v>0.1</v>
      </c>
      <c r="F67">
        <v>832.41</v>
      </c>
    </row>
    <row r="68" spans="1:6" x14ac:dyDescent="0.25">
      <c r="A68" s="29">
        <v>42381.317361111112</v>
      </c>
      <c r="B68" t="s">
        <v>110</v>
      </c>
      <c r="C68">
        <v>78.599999999999994</v>
      </c>
      <c r="D68">
        <v>7.13</v>
      </c>
      <c r="E68">
        <v>0.1</v>
      </c>
      <c r="F68">
        <v>843.04</v>
      </c>
    </row>
    <row r="69" spans="1:6" x14ac:dyDescent="0.25">
      <c r="A69" s="29">
        <v>42381.317361111112</v>
      </c>
      <c r="B69" t="s">
        <v>111</v>
      </c>
      <c r="C69">
        <v>186.2</v>
      </c>
      <c r="D69">
        <v>4.63</v>
      </c>
      <c r="E69">
        <v>0.05</v>
      </c>
      <c r="F69">
        <v>853.68</v>
      </c>
    </row>
    <row r="70" spans="1:6" x14ac:dyDescent="0.25">
      <c r="A70" s="29">
        <v>42381.317361111112</v>
      </c>
      <c r="B70" t="s">
        <v>112</v>
      </c>
      <c r="C70">
        <v>146.5</v>
      </c>
      <c r="D70">
        <v>5.23</v>
      </c>
      <c r="E70">
        <v>0.06</v>
      </c>
      <c r="F70">
        <v>864.29</v>
      </c>
    </row>
    <row r="71" spans="1:6" x14ac:dyDescent="0.25">
      <c r="A71" s="29">
        <v>42381.317361111112</v>
      </c>
      <c r="B71" t="s">
        <v>113</v>
      </c>
      <c r="C71">
        <v>143.5</v>
      </c>
      <c r="D71">
        <v>5.28</v>
      </c>
      <c r="E71">
        <v>0.06</v>
      </c>
      <c r="F71">
        <v>874.93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zoomScale="79" workbookViewId="0">
      <selection activeCell="C15" sqref="C15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27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117</v>
      </c>
      <c r="C1" t="s">
        <v>24</v>
      </c>
      <c r="D1" t="s">
        <v>21</v>
      </c>
      <c r="E1" t="s">
        <v>116</v>
      </c>
      <c r="F1" t="s">
        <v>114</v>
      </c>
      <c r="G1" t="s">
        <v>115</v>
      </c>
    </row>
    <row r="2" spans="1:7" x14ac:dyDescent="0.25">
      <c r="A2" s="18" t="s">
        <v>96</v>
      </c>
      <c r="B2" s="18" t="s">
        <v>118</v>
      </c>
      <c r="C2">
        <v>1.21055555555556</v>
      </c>
      <c r="D2">
        <v>8.9823222222222193E-2</v>
      </c>
      <c r="E2" s="1" t="s">
        <v>121</v>
      </c>
      <c r="F2" s="1">
        <f>(C2-'Calibration data'!$L$30)/'Calibration data'!$L$31</f>
        <v>0.25631513582551807</v>
      </c>
      <c r="G2" s="22">
        <f>'Calibration data'!$L$20/'Calibration data'!$L$31*SQRT(1/'Calibration data'!$L$21+1+('Count-&gt;Actual Activity'!F2-AVERAGE('Calibration data'!$D$3:$D$8))^2/('Calibration data'!$L$31^2*'Calibration data'!$J$9))</f>
        <v>0.23940014994890288</v>
      </c>
    </row>
    <row r="3" spans="1:7" x14ac:dyDescent="0.25">
      <c r="A3" s="18" t="s">
        <v>97</v>
      </c>
      <c r="B3" s="18" t="s">
        <v>118</v>
      </c>
      <c r="C3">
        <v>1.2450000000000001</v>
      </c>
      <c r="D3">
        <v>9.1134000000000007E-2</v>
      </c>
      <c r="E3" s="1" t="s">
        <v>121</v>
      </c>
      <c r="F3" s="1">
        <f>(C3-'Calibration data'!$L$30)/'Calibration data'!$L$31</f>
        <v>0.26385615558673775</v>
      </c>
      <c r="G3" s="22">
        <f>'Calibration data'!$L$20/'Calibration data'!$L$31*SQRT(1/'Calibration data'!$L$21+1+('Count-&gt;Actual Activity'!F3-AVERAGE('Calibration data'!$D$3:$D$8))^2/('Calibration data'!$L$31^2*'Calibration data'!$J$9))</f>
        <v>0.23939982937100118</v>
      </c>
    </row>
    <row r="4" spans="1:7" x14ac:dyDescent="0.25">
      <c r="A4" s="18" t="s">
        <v>98</v>
      </c>
      <c r="B4" s="18" t="s">
        <v>118</v>
      </c>
      <c r="C4">
        <v>1.17444444444444</v>
      </c>
      <c r="D4">
        <v>8.8553111111111096E-2</v>
      </c>
      <c r="E4" s="1" t="s">
        <v>121</v>
      </c>
      <c r="F4" s="1">
        <f>(C4-'Calibration data'!$L$30)/'Calibration data'!$L$31</f>
        <v>0.24840922801133319</v>
      </c>
      <c r="G4" s="22">
        <f>'Calibration data'!$L$20/'Calibration data'!$L$31*SQRT(1/'Calibration data'!$L$21+1+('Count-&gt;Actual Activity'!F4-AVERAGE('Calibration data'!$D$3:$D$8))^2/('Calibration data'!$L$31^2*'Calibration data'!$J$9))</f>
        <v>0.23940048604688668</v>
      </c>
    </row>
    <row r="5" spans="1:7" x14ac:dyDescent="0.25">
      <c r="A5" s="18" t="s">
        <v>99</v>
      </c>
      <c r="B5" s="18" t="s">
        <v>118</v>
      </c>
      <c r="C5">
        <v>1.1783333333333299</v>
      </c>
      <c r="D5">
        <v>8.8728500000000002E-2</v>
      </c>
      <c r="E5" s="1" t="s">
        <v>121</v>
      </c>
      <c r="F5" s="1">
        <f>(C5-'Calibration data'!$L$30)/'Calibration data'!$L$31</f>
        <v>0.24926063346824545</v>
      </c>
      <c r="G5" s="22">
        <f>'Calibration data'!$L$20/'Calibration data'!$L$31*SQRT(1/'Calibration data'!$L$21+1+('Count-&gt;Actual Activity'!F5-AVERAGE('Calibration data'!$D$3:$D$8))^2/('Calibration data'!$L$31^2*'Calibration data'!$J$9))</f>
        <v>0.23940044985131351</v>
      </c>
    </row>
    <row r="6" spans="1:7" x14ac:dyDescent="0.25">
      <c r="A6" s="18" t="s">
        <v>100</v>
      </c>
      <c r="B6" s="18" t="s">
        <v>118</v>
      </c>
      <c r="C6">
        <v>1.2150000000000001</v>
      </c>
      <c r="D6">
        <v>9.0112499999999998E-2</v>
      </c>
      <c r="E6" s="1" t="s">
        <v>121</v>
      </c>
      <c r="F6" s="1">
        <f>(C6-'Calibration data'!$L$30)/'Calibration data'!$L$31</f>
        <v>0.25728817063341652</v>
      </c>
      <c r="G6" s="22">
        <f>'Calibration data'!$L$20/'Calibration data'!$L$31*SQRT(1/'Calibration data'!$L$21+1+('Count-&gt;Actual Activity'!F6-AVERAGE('Calibration data'!$D$3:$D$8))^2/('Calibration data'!$L$31^2*'Calibration data'!$J$9))</f>
        <v>0.23940010858358068</v>
      </c>
    </row>
    <row r="7" spans="1:7" x14ac:dyDescent="0.25">
      <c r="A7" s="18" t="s">
        <v>101</v>
      </c>
      <c r="B7" s="18" t="s">
        <v>118</v>
      </c>
      <c r="C7">
        <v>1.145</v>
      </c>
      <c r="D7">
        <v>8.74016666666666E-2</v>
      </c>
      <c r="E7" s="1" t="s">
        <v>121</v>
      </c>
      <c r="F7" s="1">
        <f>(C7-'Calibration data'!$L$30)/'Calibration data'!$L$31</f>
        <v>0.24196287240900044</v>
      </c>
      <c r="G7" s="22">
        <f>'Calibration data'!$L$20/'Calibration data'!$L$31*SQRT(1/'Calibration data'!$L$21+1+('Count-&gt;Actual Activity'!F7-AVERAGE('Calibration data'!$D$3:$D$8))^2/('Calibration data'!$L$31^2*'Calibration data'!$J$9))</f>
        <v>0.23940076010226077</v>
      </c>
    </row>
    <row r="8" spans="1:7" ht="15.75" customHeight="1" x14ac:dyDescent="0.25">
      <c r="A8" s="18" t="s">
        <v>102</v>
      </c>
      <c r="B8" s="18" t="s">
        <v>118</v>
      </c>
      <c r="C8">
        <v>1.15888888888889</v>
      </c>
      <c r="D8">
        <v>8.7921037037037006E-2</v>
      </c>
      <c r="E8" s="1" t="s">
        <v>121</v>
      </c>
      <c r="F8" s="1">
        <f>(C8-'Calibration data'!$L$30)/'Calibration data'!$L$31</f>
        <v>0.24500360618368641</v>
      </c>
      <c r="G8" s="22">
        <f>'Calibration data'!$L$20/'Calibration data'!$L$31*SQRT(1/'Calibration data'!$L$21+1+('Count-&gt;Actual Activity'!F8-AVERAGE('Calibration data'!$D$3:$D$8))^2/('Calibration data'!$L$31^2*'Calibration data'!$J$9))</f>
        <v>0.23940063083015847</v>
      </c>
    </row>
    <row r="9" spans="1:7" x14ac:dyDescent="0.25">
      <c r="A9" s="18" t="s">
        <v>103</v>
      </c>
      <c r="B9" s="18" t="s">
        <v>118</v>
      </c>
      <c r="C9">
        <v>1.19</v>
      </c>
      <c r="D9">
        <v>8.9131000000000002E-2</v>
      </c>
      <c r="E9" s="1" t="s">
        <v>121</v>
      </c>
      <c r="F9" s="1">
        <f>(C9-'Calibration data'!$L$30)/'Calibration data'!$L$31</f>
        <v>0.25181484983898222</v>
      </c>
      <c r="G9" s="22">
        <f>'Calibration data'!$L$20/'Calibration data'!$L$31*SQRT(1/'Calibration data'!$L$21+1+('Count-&gt;Actual Activity'!F9-AVERAGE('Calibration data'!$D$3:$D$8))^2/('Calibration data'!$L$31^2*'Calibration data'!$J$9))</f>
        <v>0.23940034126518156</v>
      </c>
    </row>
    <row r="10" spans="1:7" x14ac:dyDescent="0.25">
      <c r="A10" s="18" t="s">
        <v>104</v>
      </c>
      <c r="B10" s="18" t="s">
        <v>118</v>
      </c>
      <c r="C10">
        <v>1.2177777777777801</v>
      </c>
      <c r="D10">
        <v>9.0074962962962996E-2</v>
      </c>
      <c r="E10" s="1" t="s">
        <v>121</v>
      </c>
      <c r="F10" s="1">
        <f>(C10-'Calibration data'!$L$30)/'Calibration data'!$L$31</f>
        <v>0.25789631738835417</v>
      </c>
      <c r="G10" s="22">
        <f>'Calibration data'!$L$20/'Calibration data'!$L$31*SQRT(1/'Calibration data'!$L$21+1+('Count-&gt;Actual Activity'!F10-AVERAGE('Calibration data'!$D$3:$D$8))^2/('Calibration data'!$L$31^2*'Calibration data'!$J$9))</f>
        <v>0.23940008273031926</v>
      </c>
    </row>
    <row r="11" spans="1:7" x14ac:dyDescent="0.25">
      <c r="A11" s="18" t="s">
        <v>105</v>
      </c>
      <c r="B11" s="18" t="s">
        <v>118</v>
      </c>
      <c r="C11">
        <v>1.21444444444444</v>
      </c>
      <c r="D11">
        <v>8.9990333333333297E-2</v>
      </c>
      <c r="E11" s="1" t="s">
        <v>121</v>
      </c>
      <c r="F11" s="1">
        <f>(C11-'Calibration data'!$L$30)/'Calibration data'!$L$31</f>
        <v>0.25716654128242811</v>
      </c>
      <c r="G11" s="22">
        <f>'Calibration data'!$L$20/'Calibration data'!$L$31*SQRT(1/'Calibration data'!$L$21+1+('Count-&gt;Actual Activity'!F11-AVERAGE('Calibration data'!$D$3:$D$8))^2/('Calibration data'!$L$31^2*'Calibration data'!$J$9))</f>
        <v>0.23940011375423897</v>
      </c>
    </row>
    <row r="12" spans="1:7" x14ac:dyDescent="0.25">
      <c r="A12" s="18" t="s">
        <v>106</v>
      </c>
      <c r="B12" s="18" t="s">
        <v>118</v>
      </c>
      <c r="C12">
        <v>1.1983333333333299</v>
      </c>
      <c r="D12">
        <v>8.9435611111111105E-2</v>
      </c>
      <c r="E12" s="1" t="s">
        <v>121</v>
      </c>
      <c r="F12" s="1">
        <f>(C12-'Calibration data'!$L$30)/'Calibration data'!$L$31</f>
        <v>0.25363929010379288</v>
      </c>
      <c r="G12" s="22">
        <f>'Calibration data'!$L$20/'Calibration data'!$L$31*SQRT(1/'Calibration data'!$L$21+1+('Count-&gt;Actual Activity'!F12-AVERAGE('Calibration data'!$D$3:$D$8))^2/('Calibration data'!$L$31^2*'Calibration data'!$J$9))</f>
        <v>0.23940026370419831</v>
      </c>
    </row>
    <row r="13" spans="1:7" x14ac:dyDescent="0.25">
      <c r="A13" s="18" t="s">
        <v>107</v>
      </c>
      <c r="B13" s="18" t="s">
        <v>118</v>
      </c>
      <c r="C13">
        <v>1.2233333333333301</v>
      </c>
      <c r="D13">
        <v>9.0282000000000001E-2</v>
      </c>
      <c r="E13" s="1" t="s">
        <v>121</v>
      </c>
      <c r="F13" s="1">
        <f>(C13-'Calibration data'!$L$30)/'Calibration data'!$L$31</f>
        <v>0.25911261089822724</v>
      </c>
      <c r="G13" s="22">
        <f>'Calibration data'!$L$20/'Calibration data'!$L$31*SQRT(1/'Calibration data'!$L$21+1+('Count-&gt;Actual Activity'!F13-AVERAGE('Calibration data'!$D$3:$D$8))^2/('Calibration data'!$L$31^2*'Calibration data'!$J$9))</f>
        <v>0.23940003102394627</v>
      </c>
    </row>
    <row r="14" spans="1:7" x14ac:dyDescent="0.25">
      <c r="A14" s="18" t="s">
        <v>108</v>
      </c>
      <c r="B14" s="18" t="s">
        <v>118</v>
      </c>
      <c r="C14">
        <v>1.28</v>
      </c>
      <c r="D14">
        <v>9.2373333333333293E-2</v>
      </c>
      <c r="E14" s="1" t="s">
        <v>121</v>
      </c>
      <c r="F14" s="1">
        <f>(C14-'Calibration data'!$L$30)/'Calibration data'!$L$31</f>
        <v>0.27151880469894579</v>
      </c>
      <c r="G14" s="22">
        <f>'Calibration data'!$L$20/'Calibration data'!$L$31*SQRT(1/'Calibration data'!$L$21+1+('Count-&gt;Actual Activity'!F14-AVERAGE('Calibration data'!$D$3:$D$8))^2/('Calibration data'!$L$31^2*'Calibration data'!$J$9))</f>
        <v>0.23939950363035681</v>
      </c>
    </row>
    <row r="15" spans="1:7" x14ac:dyDescent="0.25">
      <c r="A15" s="18" t="s">
        <v>109</v>
      </c>
      <c r="B15" s="18" t="s">
        <v>118</v>
      </c>
      <c r="C15">
        <v>1.2949999999999999</v>
      </c>
      <c r="D15">
        <v>9.2980999999999994E-2</v>
      </c>
      <c r="E15" s="1" t="s">
        <v>121</v>
      </c>
      <c r="F15" s="1">
        <f>(C15-'Calibration data'!$L$30)/'Calibration data'!$L$31</f>
        <v>0.27480279717560635</v>
      </c>
      <c r="G15" s="22">
        <f>'Calibration data'!$L$20/'Calibration data'!$L$31*SQRT(1/'Calibration data'!$L$21+1+('Count-&gt;Actual Activity'!F15-AVERAGE('Calibration data'!$D$3:$D$8))^2/('Calibration data'!$L$31^2*'Calibration data'!$J$9))</f>
        <v>0.23939936402965151</v>
      </c>
    </row>
    <row r="16" spans="1:7" x14ac:dyDescent="0.25">
      <c r="A16" s="18" t="s">
        <v>110</v>
      </c>
      <c r="B16" s="18" t="s">
        <v>118</v>
      </c>
      <c r="C16">
        <v>1.3205555555555599</v>
      </c>
      <c r="D16">
        <v>9.3838677777777796E-2</v>
      </c>
      <c r="E16" s="1" t="s">
        <v>121</v>
      </c>
      <c r="F16" s="1">
        <f>(C16-'Calibration data'!$L$30)/'Calibration data'!$L$31</f>
        <v>0.28039774732102907</v>
      </c>
      <c r="G16" s="22">
        <f>'Calibration data'!$L$20/'Calibration data'!$L$31*SQRT(1/'Calibration data'!$L$21+1+('Count-&gt;Actual Activity'!F16-AVERAGE('Calibration data'!$D$3:$D$8))^2/('Calibration data'!$L$31^2*'Calibration data'!$J$9))</f>
        <v>0.23939912619476814</v>
      </c>
    </row>
    <row r="17" spans="1:7" x14ac:dyDescent="0.25">
      <c r="A17" s="18" t="s">
        <v>111</v>
      </c>
      <c r="B17" s="18" t="s">
        <v>118</v>
      </c>
      <c r="C17">
        <v>3.06555555555556</v>
      </c>
      <c r="D17">
        <v>0.14295707407407399</v>
      </c>
      <c r="E17" s="1" t="s">
        <v>121</v>
      </c>
      <c r="F17" s="1">
        <f>(C17-'Calibration data'!$L$30)/'Calibration data'!$L$31</f>
        <v>0.66243553877254491</v>
      </c>
      <c r="G17" s="22">
        <f>'Calibration data'!$L$20/'Calibration data'!$L$31*SQRT(1/'Calibration data'!$L$21+1+('Count-&gt;Actual Activity'!F17-AVERAGE('Calibration data'!$D$3:$D$8))^2/('Calibration data'!$L$31^2*'Calibration data'!$J$9))</f>
        <v>0.23938289621143691</v>
      </c>
    </row>
    <row r="18" spans="1:7" x14ac:dyDescent="0.25">
      <c r="A18" s="18" t="s">
        <v>112</v>
      </c>
      <c r="B18" s="18" t="s">
        <v>118</v>
      </c>
      <c r="C18">
        <v>2.56111111111111</v>
      </c>
      <c r="D18">
        <v>0.13078740740740699</v>
      </c>
      <c r="E18" s="1" t="s">
        <v>121</v>
      </c>
      <c r="F18" s="1">
        <f>(C18-'Calibration data'!$L$30)/'Calibration data'!$L$31</f>
        <v>0.55199608807595779</v>
      </c>
      <c r="G18" s="22">
        <f>'Calibration data'!$L$20/'Calibration data'!$L$31*SQRT(1/'Calibration data'!$L$21+1+('Count-&gt;Actual Activity'!F18-AVERAGE('Calibration data'!$D$3:$D$8))^2/('Calibration data'!$L$31^2*'Calibration data'!$J$9))</f>
        <v>0.23938758594741139</v>
      </c>
    </row>
    <row r="19" spans="1:7" x14ac:dyDescent="0.25">
      <c r="A19" s="18" t="s">
        <v>113</v>
      </c>
      <c r="B19" s="18" t="s">
        <v>118</v>
      </c>
      <c r="C19">
        <v>2.5472222222222198</v>
      </c>
      <c r="D19">
        <v>0.13041777777777799</v>
      </c>
      <c r="E19" s="1" t="s">
        <v>121</v>
      </c>
      <c r="F19" s="1">
        <f>(C19-'Calibration data'!$L$30)/'Calibration data'!$L$31</f>
        <v>0.54895535430127174</v>
      </c>
      <c r="G19" s="22">
        <f>'Calibration data'!$L$20/'Calibration data'!$L$31*SQRT(1/'Calibration data'!$L$21+1+('Count-&gt;Actual Activity'!F19-AVERAGE('Calibration data'!$D$3:$D$8))^2/('Calibration data'!$L$31^2*'Calibration data'!$J$9))</f>
        <v>0.23938771509340789</v>
      </c>
    </row>
    <row r="20" spans="1:7" x14ac:dyDescent="0.25">
      <c r="A20" s="18" t="s">
        <v>138</v>
      </c>
      <c r="B20" s="18" t="s">
        <v>118</v>
      </c>
      <c r="C20">
        <v>5.0379166666666704</v>
      </c>
      <c r="D20">
        <v>0.18325421875</v>
      </c>
      <c r="E20" s="1" t="s">
        <v>121</v>
      </c>
      <c r="F20" s="1">
        <f>(C20-'Calibration data'!$L$30)/'Calibration data'!$L$31</f>
        <v>1.0942501421156658</v>
      </c>
      <c r="G20" s="22">
        <f>'Calibration data'!$L$20/'Calibration data'!$L$31*SQRT(1/'Calibration data'!$L$21+1+('Count-&gt;Actual Activity'!F20-AVERAGE('Calibration data'!$D$3:$D$8))^2/('Calibration data'!$L$31^2*'Calibration data'!$J$9))</f>
        <v>0.23936457531794972</v>
      </c>
    </row>
    <row r="21" spans="1:7" x14ac:dyDescent="0.25">
      <c r="A21" s="18" t="s">
        <v>139</v>
      </c>
      <c r="B21" s="18" t="s">
        <v>118</v>
      </c>
      <c r="C21">
        <v>8.6120833333333309</v>
      </c>
      <c r="D21">
        <v>0.23941591666666701</v>
      </c>
      <c r="E21" s="1" t="s">
        <v>121</v>
      </c>
      <c r="F21" s="1">
        <f>(C21-'Calibration data'!$L$30)/'Calibration data'!$L$31</f>
        <v>1.8767525716932918</v>
      </c>
      <c r="G21" s="22">
        <f>'Calibration data'!$L$20/'Calibration data'!$L$31*SQRT(1/'Calibration data'!$L$21+1+('Count-&gt;Actual Activity'!F21-AVERAGE('Calibration data'!$D$3:$D$8))^2/('Calibration data'!$L$31^2*'Calibration data'!$J$9))</f>
        <v>0.23933143976254462</v>
      </c>
    </row>
    <row r="22" spans="1:7" x14ac:dyDescent="0.25">
      <c r="A22" s="18" t="s">
        <v>140</v>
      </c>
      <c r="B22" s="18" t="s">
        <v>118</v>
      </c>
      <c r="C22">
        <v>8.5741666666666703</v>
      </c>
      <c r="D22">
        <v>0.23900489583333301</v>
      </c>
      <c r="E22" s="1" t="s">
        <v>121</v>
      </c>
      <c r="F22" s="1">
        <f>(C22-'Calibration data'!$L$30)/'Calibration data'!$L$31</f>
        <v>1.868451368488401</v>
      </c>
      <c r="G22" s="22">
        <f>'Calibration data'!$L$20/'Calibration data'!$L$31*SQRT(1/'Calibration data'!$L$21+1+('Count-&gt;Actual Activity'!F22-AVERAGE('Calibration data'!$D$3:$D$8))^2/('Calibration data'!$L$31^2*'Calibration data'!$J$9))</f>
        <v>0.23933179084780792</v>
      </c>
    </row>
    <row r="23" spans="1:7" x14ac:dyDescent="0.25">
      <c r="A23" s="18" t="s">
        <v>141</v>
      </c>
      <c r="B23" s="18" t="s">
        <v>118</v>
      </c>
      <c r="C23">
        <v>5.6879166666666698</v>
      </c>
      <c r="D23">
        <v>0.194668947916667</v>
      </c>
      <c r="E23" s="1" t="s">
        <v>121</v>
      </c>
      <c r="F23" s="1">
        <f>(C23-'Calibration data'!$L$30)/'Calibration data'!$L$31</f>
        <v>1.2365564827709583</v>
      </c>
      <c r="G23" s="22">
        <f>'Calibration data'!$L$20/'Calibration data'!$L$31*SQRT(1/'Calibration data'!$L$21+1+('Count-&gt;Actual Activity'!F23-AVERAGE('Calibration data'!$D$3:$D$8))^2/('Calibration data'!$L$31^2*'Calibration data'!$J$9))</f>
        <v>0.23935854310984864</v>
      </c>
    </row>
    <row r="24" spans="1:7" s="30" customFormat="1" x14ac:dyDescent="0.25">
      <c r="A24" s="18" t="s">
        <v>96</v>
      </c>
      <c r="B24" s="19" t="s">
        <v>119</v>
      </c>
      <c r="E24" s="31" t="s">
        <v>151</v>
      </c>
      <c r="F24" s="1">
        <f>(C24-'Calibration data'!$L$64)/'Calibration data'!$L$65</f>
        <v>-4.9863554343643806</v>
      </c>
      <c r="G24" s="22">
        <f>'Calibration data'!$L$54/'Calibration data'!L65*SQRT(1/'Calibration data'!$L$55+1+('Count-&gt;Actual Activity'!F24-AVERAGE('Calibration data'!$F$3:$F$8))^2/('Calibration data'!$L$65^2*'Calibration data'!$J$9))</f>
        <v>74.035276446395159</v>
      </c>
    </row>
    <row r="25" spans="1:7" x14ac:dyDescent="0.25">
      <c r="A25" s="18" t="s">
        <v>97</v>
      </c>
      <c r="B25" s="19" t="s">
        <v>119</v>
      </c>
      <c r="E25" s="31" t="s">
        <v>151</v>
      </c>
      <c r="F25" s="1">
        <f>(C25-'Calibration data'!$L$64)/'Calibration data'!$L$65</f>
        <v>-4.9863554343643806</v>
      </c>
      <c r="G25" s="22">
        <f>'Calibration data'!$L$54/'Calibration data'!$L$65*SQRT(1/'Calibration data'!$L$55+1+('Count-&gt;Actual Activity'!F25-AVERAGE('Calibration data'!$F$3:$F$8))^2/('Calibration data'!$L$65^2*'Calibration data'!$J$9))</f>
        <v>74.035276446395159</v>
      </c>
    </row>
    <row r="26" spans="1:7" x14ac:dyDescent="0.25">
      <c r="A26" s="18" t="s">
        <v>98</v>
      </c>
      <c r="B26" s="19" t="s">
        <v>119</v>
      </c>
      <c r="E26" s="31" t="s">
        <v>151</v>
      </c>
      <c r="F26" s="1">
        <f>(C26-'Calibration data'!$L$64)/'Calibration data'!$L$65</f>
        <v>-4.9863554343643806</v>
      </c>
      <c r="G26" s="22">
        <f>'Calibration data'!$L$54/'Calibration data'!$L$65*SQRT(1/'Calibration data'!$L$55+1+('Count-&gt;Actual Activity'!F26-AVERAGE('Calibration data'!$F$3:$F$8))^2/('Calibration data'!$L$65^2*'Calibration data'!$J$9))</f>
        <v>74.035276446395159</v>
      </c>
    </row>
    <row r="27" spans="1:7" x14ac:dyDescent="0.25">
      <c r="A27" s="18" t="s">
        <v>99</v>
      </c>
      <c r="B27" s="19" t="s">
        <v>119</v>
      </c>
      <c r="E27" s="31" t="s">
        <v>151</v>
      </c>
      <c r="F27" s="1">
        <f>(C27-'Calibration data'!$L$64)/'Calibration data'!$L$65</f>
        <v>-4.9863554343643806</v>
      </c>
      <c r="G27" s="22">
        <f>'Calibration data'!$L$54/'Calibration data'!$L$65*SQRT(1/'Calibration data'!$L$55+1+('Count-&gt;Actual Activity'!F27-AVERAGE('Calibration data'!$F$3:$F$8))^2/('Calibration data'!$L$65^2*'Calibration data'!$J$9))</f>
        <v>74.035276446395159</v>
      </c>
    </row>
    <row r="28" spans="1:7" x14ac:dyDescent="0.25">
      <c r="A28" s="18" t="s">
        <v>100</v>
      </c>
      <c r="B28" s="19" t="s">
        <v>119</v>
      </c>
      <c r="E28" s="31" t="s">
        <v>151</v>
      </c>
      <c r="F28" s="1">
        <f>(C28-'Calibration data'!$L$64)/'Calibration data'!$L$65</f>
        <v>-4.9863554343643806</v>
      </c>
      <c r="G28" s="22">
        <f>'Calibration data'!$L$54/'Calibration data'!$L$65*SQRT(1/'Calibration data'!$L$55+1+('Count-&gt;Actual Activity'!F28-AVERAGE('Calibration data'!$F$3:$F$8))^2/('Calibration data'!$L$65^2*'Calibration data'!$J$9))</f>
        <v>74.035276446395159</v>
      </c>
    </row>
    <row r="29" spans="1:7" x14ac:dyDescent="0.25">
      <c r="A29" s="18" t="s">
        <v>101</v>
      </c>
      <c r="B29" s="19" t="s">
        <v>119</v>
      </c>
      <c r="E29" s="31" t="s">
        <v>151</v>
      </c>
      <c r="F29" s="1">
        <f>(C29-'Calibration data'!$L$64)/'Calibration data'!$L$65</f>
        <v>-4.9863554343643806</v>
      </c>
      <c r="G29" s="22">
        <f>'Calibration data'!$L$54/'Calibration data'!$L$65*SQRT(1/'Calibration data'!$L$55+1+('Count-&gt;Actual Activity'!F29-AVERAGE('Calibration data'!$F$3:$F$8))^2/('Calibration data'!$L$65^2*'Calibration data'!$J$9))</f>
        <v>74.035276446395159</v>
      </c>
    </row>
    <row r="30" spans="1:7" x14ac:dyDescent="0.25">
      <c r="A30" s="18" t="s">
        <v>102</v>
      </c>
      <c r="B30" s="19" t="s">
        <v>119</v>
      </c>
      <c r="C30" s="21">
        <v>1.6E-2</v>
      </c>
      <c r="D30" s="21">
        <f>0.052*C30</f>
        <v>8.3199999999999995E-4</v>
      </c>
      <c r="E30" s="31" t="s">
        <v>151</v>
      </c>
      <c r="F30" s="1">
        <f>(C30-'Calibration data'!$L$64)/'Calibration data'!$L$65</f>
        <v>7.1880876490627115</v>
      </c>
      <c r="G30" s="22">
        <f>'Calibration data'!$L$54/'Calibration data'!$L$65*SQRT(1/'Calibration data'!$L$55+1+('Count-&gt;Actual Activity'!F30-AVERAGE('Calibration data'!$F$3:$F$8))^2/('Calibration data'!$L$65^2*'Calibration data'!$J$9))</f>
        <v>103.2811274942794</v>
      </c>
    </row>
    <row r="31" spans="1:7" x14ac:dyDescent="0.25">
      <c r="A31" s="18" t="s">
        <v>103</v>
      </c>
      <c r="B31" s="19" t="s">
        <v>119</v>
      </c>
      <c r="C31" s="21">
        <v>1.6E-2</v>
      </c>
      <c r="D31" s="21">
        <f>0.045*C31</f>
        <v>7.1999999999999994E-4</v>
      </c>
      <c r="E31" s="31" t="s">
        <v>151</v>
      </c>
      <c r="F31" s="1">
        <f>(C31-'Calibration data'!$L$64)/'Calibration data'!$L$65</f>
        <v>7.1880876490627115</v>
      </c>
      <c r="G31" s="22">
        <f>'Calibration data'!$L$54/'Calibration data'!$L$65*SQRT(1/'Calibration data'!$L$55+1+('Count-&gt;Actual Activity'!F31-AVERAGE('Calibration data'!$F$3:$F$8))^2/('Calibration data'!$L$65^2*'Calibration data'!$J$9))</f>
        <v>103.2811274942794</v>
      </c>
    </row>
    <row r="32" spans="1:7" x14ac:dyDescent="0.25">
      <c r="A32" s="18" t="s">
        <v>104</v>
      </c>
      <c r="B32" s="19" t="s">
        <v>119</v>
      </c>
      <c r="C32" s="21">
        <v>1.4999999999999999E-2</v>
      </c>
      <c r="D32" s="21">
        <f>0.064*C32</f>
        <v>9.6000000000000002E-4</v>
      </c>
      <c r="E32" s="31" t="s">
        <v>151</v>
      </c>
      <c r="F32" s="1">
        <f>(C32-'Calibration data'!$L$64)/'Calibration data'!$L$65</f>
        <v>6.4271849563485182</v>
      </c>
      <c r="G32" s="22">
        <f>'Calibration data'!$L$54/'Calibration data'!$L$65*SQRT(1/'Calibration data'!$L$55+1+('Count-&gt;Actual Activity'!F32-AVERAGE('Calibration data'!$F$3:$F$8))^2/('Calibration data'!$L$65^2*'Calibration data'!$J$9))</f>
        <v>92.234451910874</v>
      </c>
    </row>
    <row r="33" spans="1:7" x14ac:dyDescent="0.25">
      <c r="A33" s="18" t="s">
        <v>105</v>
      </c>
      <c r="B33" s="19" t="s">
        <v>119</v>
      </c>
      <c r="E33" s="31" t="s">
        <v>151</v>
      </c>
      <c r="F33" s="1">
        <f>(C33-'Calibration data'!$L$64)/'Calibration data'!$L$65</f>
        <v>-4.9863554343643806</v>
      </c>
      <c r="G33" s="22">
        <f>'Calibration data'!$L$54/'Calibration data'!$L$65*SQRT(1/'Calibration data'!$L$55+1+('Count-&gt;Actual Activity'!F33-AVERAGE('Calibration data'!$F$3:$F$8))^2/('Calibration data'!$L$65^2*'Calibration data'!$J$9))</f>
        <v>74.035276446395159</v>
      </c>
    </row>
    <row r="34" spans="1:7" x14ac:dyDescent="0.25">
      <c r="A34" s="18" t="s">
        <v>106</v>
      </c>
      <c r="B34" s="19" t="s">
        <v>119</v>
      </c>
      <c r="E34" s="31" t="s">
        <v>151</v>
      </c>
      <c r="F34" s="1">
        <f>(C34-'Calibration data'!$L$64)/'Calibration data'!$L$65</f>
        <v>-4.9863554343643806</v>
      </c>
      <c r="G34" s="22">
        <f>'Calibration data'!$L$54/'Calibration data'!$L$65*SQRT(1/'Calibration data'!$L$55+1+('Count-&gt;Actual Activity'!F34-AVERAGE('Calibration data'!$F$3:$F$8))^2/('Calibration data'!$L$65^2*'Calibration data'!$J$9))</f>
        <v>74.035276446395159</v>
      </c>
    </row>
    <row r="35" spans="1:7" x14ac:dyDescent="0.25">
      <c r="A35" s="18" t="s">
        <v>107</v>
      </c>
      <c r="B35" s="19" t="s">
        <v>119</v>
      </c>
      <c r="E35" s="31" t="s">
        <v>151</v>
      </c>
      <c r="F35" s="1">
        <f>(C35-'Calibration data'!$L$64)/'Calibration data'!$L$65</f>
        <v>-4.9863554343643806</v>
      </c>
      <c r="G35" s="22">
        <f>'Calibration data'!$L$54/'Calibration data'!$L$65*SQRT(1/'Calibration data'!$L$55+1+('Count-&gt;Actual Activity'!F35-AVERAGE('Calibration data'!$F$3:$F$8))^2/('Calibration data'!$L$65^2*'Calibration data'!$J$9))</f>
        <v>74.035276446395159</v>
      </c>
    </row>
    <row r="36" spans="1:7" x14ac:dyDescent="0.25">
      <c r="A36" s="18" t="s">
        <v>108</v>
      </c>
      <c r="B36" s="19" t="s">
        <v>119</v>
      </c>
      <c r="C36">
        <v>0.11</v>
      </c>
      <c r="D36">
        <f>2.7/100*C36</f>
        <v>2.9700000000000004E-3</v>
      </c>
      <c r="E36" s="31" t="s">
        <v>151</v>
      </c>
      <c r="F36" s="1">
        <f>(C36-'Calibration data'!$L$64)/'Calibration data'!$L$65</f>
        <v>78.712940764196873</v>
      </c>
      <c r="G36" s="22">
        <f>'Calibration data'!$L$54/'Calibration data'!$L$65*SQRT(1/'Calibration data'!$L$55+1+('Count-&gt;Actual Activity'!F36-AVERAGE('Calibration data'!$F$3:$F$8))^2/('Calibration data'!$L$65^2*'Calibration data'!$J$9))</f>
        <v>1143.0368988343</v>
      </c>
    </row>
    <row r="37" spans="1:7" x14ac:dyDescent="0.25">
      <c r="A37" s="18" t="s">
        <v>109</v>
      </c>
      <c r="B37" s="19" t="s">
        <v>119</v>
      </c>
      <c r="C37">
        <v>0.11</v>
      </c>
      <c r="D37">
        <f>2.1/100*C37</f>
        <v>2.31E-3</v>
      </c>
      <c r="E37" s="31" t="s">
        <v>151</v>
      </c>
      <c r="F37" s="1">
        <f>(C37-'Calibration data'!$L$64)/'Calibration data'!$L$65</f>
        <v>78.712940764196873</v>
      </c>
      <c r="G37" s="22">
        <f>'Calibration data'!$L$54/'Calibration data'!$L$65*SQRT(1/'Calibration data'!$L$55+1+('Count-&gt;Actual Activity'!F37-AVERAGE('Calibration data'!$F$3:$F$8))^2/('Calibration data'!$L$65^2*'Calibration data'!$J$9))</f>
        <v>1143.0368988343</v>
      </c>
    </row>
    <row r="38" spans="1:7" x14ac:dyDescent="0.25">
      <c r="A38" s="18" t="s">
        <v>110</v>
      </c>
      <c r="B38" s="19" t="s">
        <v>119</v>
      </c>
      <c r="E38" s="31" t="s">
        <v>151</v>
      </c>
      <c r="F38" s="1">
        <f>(C38-'Calibration data'!$L$64)/'Calibration data'!$L$65</f>
        <v>-4.9863554343643806</v>
      </c>
      <c r="G38" s="22">
        <f>'Calibration data'!$L$54/'Calibration data'!$L$65*SQRT(1/'Calibration data'!$L$55+1+('Count-&gt;Actual Activity'!F38-AVERAGE('Calibration data'!$F$3:$F$8))^2/('Calibration data'!$L$65^2*'Calibration data'!$J$9))</f>
        <v>74.035276446395159</v>
      </c>
    </row>
    <row r="39" spans="1:7" x14ac:dyDescent="0.25">
      <c r="A39" s="18" t="s">
        <v>111</v>
      </c>
      <c r="B39" s="19" t="s">
        <v>119</v>
      </c>
      <c r="C39">
        <v>0.53</v>
      </c>
      <c r="D39">
        <f>0.01*C39</f>
        <v>5.3E-3</v>
      </c>
      <c r="E39" s="31" t="s">
        <v>151</v>
      </c>
      <c r="F39" s="1">
        <f>(C39-'Calibration data'!$L$64)/'Calibration data'!$L$65</f>
        <v>398.29207170415805</v>
      </c>
      <c r="G39" s="22">
        <f>'Calibration data'!$L$54/'Calibration data'!$L$65*SQRT(1/'Calibration data'!$L$55+1+('Count-&gt;Actual Activity'!F39-AVERAGE('Calibration data'!$F$3:$F$8))^2/('Calibration data'!$L$65^2*'Calibration data'!$J$9))</f>
        <v>5789.281144766288</v>
      </c>
    </row>
    <row r="40" spans="1:7" x14ac:dyDescent="0.25">
      <c r="A40" s="18" t="s">
        <v>112</v>
      </c>
      <c r="B40" s="19" t="s">
        <v>119</v>
      </c>
      <c r="C40">
        <v>0.49</v>
      </c>
      <c r="D40">
        <f>C40*0.013</f>
        <v>6.3699999999999998E-3</v>
      </c>
      <c r="E40" s="31" t="s">
        <v>151</v>
      </c>
      <c r="F40" s="1">
        <f>(C40-'Calibration data'!$L$64)/'Calibration data'!$L$65</f>
        <v>367.85596399559029</v>
      </c>
      <c r="G40" s="22">
        <f>'Calibration data'!$L$54/'Calibration data'!$L$65*SQRT(1/'Calibration data'!$L$55+1+('Count-&gt;Actual Activity'!F40-AVERAGE('Calibration data'!$F$3:$F$8))^2/('Calibration data'!$L$65^2*'Calibration data'!$J$9))</f>
        <v>5346.7809764687972</v>
      </c>
    </row>
    <row r="41" spans="1:7" x14ac:dyDescent="0.25">
      <c r="A41" s="18" t="s">
        <v>113</v>
      </c>
      <c r="B41" s="19" t="s">
        <v>119</v>
      </c>
      <c r="C41">
        <v>0.55000000000000004</v>
      </c>
      <c r="D41">
        <f>0.04*C41</f>
        <v>2.2000000000000002E-2</v>
      </c>
      <c r="E41" s="31" t="s">
        <v>151</v>
      </c>
      <c r="F41" s="1">
        <f>(C41-'Calibration data'!$L$64)/'Calibration data'!$L$65</f>
        <v>413.51012555844193</v>
      </c>
      <c r="G41" s="22">
        <f>'Calibration data'!$L$54/'Calibration data'!$L$65*SQRT(1/'Calibration data'!$L$55+1+('Count-&gt;Actual Activity'!F41-AVERAGE('Calibration data'!$F$3:$F$8))^2/('Calibration data'!$L$65^2*'Calibration data'!$J$9))</f>
        <v>6010.5312396693034</v>
      </c>
    </row>
    <row r="42" spans="1:7" x14ac:dyDescent="0.25">
      <c r="A42" s="19" t="s">
        <v>108</v>
      </c>
      <c r="B42" s="19" t="s">
        <v>118</v>
      </c>
      <c r="C42" s="21">
        <v>4.0000000000000001E-3</v>
      </c>
      <c r="D42" s="21">
        <f>0.213*C42</f>
        <v>8.52E-4</v>
      </c>
      <c r="E42" s="31" t="s">
        <v>151</v>
      </c>
      <c r="F42" s="1">
        <f>(C42-'Calibration data'!$L$64)/'Calibration data'!$L$65</f>
        <v>-1.9427446635076073</v>
      </c>
      <c r="G42" s="22">
        <f>'Calibration data'!$L$54/'Calibration data'!$L$65*SQRT(1/'Calibration data'!$L$55+1+('Count-&gt;Actual Activity'!F42-AVERAGE('Calibration data'!$F$3:$F$8))^2/('Calibration data'!$L$65^2*'Calibration data'!$J$9))</f>
        <v>30.057732841703878</v>
      </c>
    </row>
    <row r="43" spans="1:7" x14ac:dyDescent="0.25">
      <c r="A43" s="19" t="s">
        <v>122</v>
      </c>
      <c r="B43" s="19" t="s">
        <v>118</v>
      </c>
      <c r="C43" s="21">
        <v>5.8999999999999999E-3</v>
      </c>
      <c r="D43" s="21">
        <f>0.127*C43</f>
        <v>7.4929999999999994E-4</v>
      </c>
      <c r="E43" s="31" t="s">
        <v>151</v>
      </c>
      <c r="F43" s="1">
        <f>(C43-'Calibration data'!$L$64)/'Calibration data'!$L$65</f>
        <v>-0.49702954735064037</v>
      </c>
      <c r="G43" s="22">
        <f>'Calibration data'!$L$54/'Calibration data'!$L$65*SQRT(1/'Calibration data'!$L$55+1+('Count-&gt;Actual Activity'!F43-AVERAGE('Calibration data'!$F$3:$F$8))^2/('Calibration data'!$L$65^2*'Calibration data'!$J$9))</f>
        <v>10.045075299214339</v>
      </c>
    </row>
    <row r="44" spans="1:7" x14ac:dyDescent="0.25">
      <c r="A44" s="19" t="s">
        <v>122</v>
      </c>
      <c r="B44" s="19" t="s">
        <v>119</v>
      </c>
      <c r="C44">
        <v>0.48</v>
      </c>
      <c r="D44">
        <f>C44*0.012</f>
        <v>5.7599999999999995E-3</v>
      </c>
      <c r="E44" s="31" t="s">
        <v>151</v>
      </c>
      <c r="F44" s="1">
        <f>(C44-'Calibration data'!$L$64)/'Calibration data'!$L$65</f>
        <v>360.24693706844835</v>
      </c>
      <c r="G44" s="22">
        <f>'Calibration data'!$L$54/'Calibration data'!$L$65*SQRT(1/'Calibration data'!$L$55+1+('Count-&gt;Actual Activity'!F44-AVERAGE('Calibration data'!$F$3:$F$8))^2/('Calibration data'!$L$65^2*'Calibration data'!$J$9))</f>
        <v>5236.1559395380582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I47" workbookViewId="0">
      <selection activeCell="M54" sqref="M54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1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14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(F2-$L$64)/$L$65</f>
        <v>-4.1056810215007307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14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 t="shared" ref="K3:K8" si="4">(F3-$L$64)/$L$65</f>
        <v>-2.3505487210407043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1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5">(I4-AVERAGE($I$3:$I$8))^2</f>
        <v>3888.7446560400017</v>
      </c>
      <c r="K4">
        <f t="shared" si="4"/>
        <v>1.0868225712600266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1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5"/>
        <v>3530.5343748900009</v>
      </c>
      <c r="K5">
        <f t="shared" si="4"/>
        <v>4.6041889217207634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1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5"/>
        <v>1287.8265276900004</v>
      </c>
      <c r="K6">
        <f t="shared" si="4"/>
        <v>33.226107339789372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1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5"/>
        <v>41.877723690000082</v>
      </c>
      <c r="K7">
        <f t="shared" si="4"/>
        <v>67.202526188068973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1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5"/>
        <v>52371.727491690006</v>
      </c>
      <c r="K8">
        <f t="shared" si="4"/>
        <v>292.14438472170235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14" x14ac:dyDescent="0.25">
      <c r="A9" s="4"/>
      <c r="H9" s="5"/>
      <c r="I9" s="5"/>
      <c r="J9" s="5">
        <f>SUM(J3:J8)</f>
        <v>65308.483143000012</v>
      </c>
    </row>
    <row r="10" spans="1:14" x14ac:dyDescent="0.25">
      <c r="A10" s="6" t="s">
        <v>54</v>
      </c>
      <c r="I10" s="5"/>
    </row>
    <row r="11" spans="1:14" x14ac:dyDescent="0.25">
      <c r="A11" t="s">
        <v>55</v>
      </c>
      <c r="B11" t="s">
        <v>56</v>
      </c>
      <c r="C11" s="2" t="s">
        <v>57</v>
      </c>
      <c r="J11" s="25"/>
      <c r="K11" s="7" t="s">
        <v>54</v>
      </c>
    </row>
    <row r="12" spans="1:14" ht="15.75" thickBot="1" x14ac:dyDescent="0.3">
      <c r="J12" s="25"/>
      <c r="K12" t="s">
        <v>58</v>
      </c>
      <c r="M12" t="s">
        <v>57</v>
      </c>
    </row>
    <row r="13" spans="1:14" x14ac:dyDescent="0.25">
      <c r="A13" s="8" t="s">
        <v>59</v>
      </c>
      <c r="B13" s="8"/>
      <c r="J13" s="25"/>
    </row>
    <row r="14" spans="1:14" x14ac:dyDescent="0.25">
      <c r="A14" s="9" t="s">
        <v>60</v>
      </c>
      <c r="B14" s="9">
        <v>0.99999857522978297</v>
      </c>
      <c r="J14" s="25"/>
      <c r="K14" t="s">
        <v>55</v>
      </c>
    </row>
    <row r="15" spans="1:14" ht="15.75" thickBot="1" x14ac:dyDescent="0.3">
      <c r="A15" s="9" t="s">
        <v>61</v>
      </c>
      <c r="B15" s="9">
        <v>0.99999715046159587</v>
      </c>
      <c r="J15" s="25"/>
    </row>
    <row r="16" spans="1:14" x14ac:dyDescent="0.25">
      <c r="A16" s="9" t="s">
        <v>62</v>
      </c>
      <c r="B16" s="9">
        <v>0.99999643807699479</v>
      </c>
      <c r="J16" s="25"/>
      <c r="K16" s="10" t="s">
        <v>59</v>
      </c>
      <c r="L16" s="10"/>
      <c r="M16" s="12"/>
    </row>
    <row r="17" spans="1:20" x14ac:dyDescent="0.25">
      <c r="A17" s="9" t="s">
        <v>63</v>
      </c>
      <c r="B17" s="9">
        <v>0.2156959844518157</v>
      </c>
      <c r="J17" s="25"/>
      <c r="K17" s="11" t="s">
        <v>60</v>
      </c>
      <c r="L17" s="11">
        <v>0.99999857522978297</v>
      </c>
      <c r="M17" s="11"/>
    </row>
    <row r="18" spans="1:20" ht="15.75" customHeight="1" thickBot="1" x14ac:dyDescent="0.3">
      <c r="A18" s="13" t="s">
        <v>64</v>
      </c>
      <c r="B18" s="13">
        <v>6</v>
      </c>
      <c r="J18" s="25"/>
      <c r="K18" s="11" t="s">
        <v>61</v>
      </c>
      <c r="L18" s="11">
        <v>0.99999715046159587</v>
      </c>
      <c r="M18" s="11"/>
    </row>
    <row r="19" spans="1:20" x14ac:dyDescent="0.25">
      <c r="J19" s="25"/>
      <c r="K19" s="11" t="s">
        <v>62</v>
      </c>
      <c r="L19" s="11">
        <v>0.99999643807699479</v>
      </c>
      <c r="M19" s="11"/>
    </row>
    <row r="20" spans="1:20" ht="15.75" customHeight="1" thickBot="1" x14ac:dyDescent="0.3">
      <c r="A20" t="s">
        <v>65</v>
      </c>
      <c r="J20" s="25"/>
      <c r="K20" s="11" t="s">
        <v>63</v>
      </c>
      <c r="L20" s="11">
        <v>0.98521674441591967</v>
      </c>
      <c r="M20" t="s">
        <v>66</v>
      </c>
    </row>
    <row r="21" spans="1:2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J21" s="25"/>
      <c r="K21" s="14" t="s">
        <v>64</v>
      </c>
      <c r="L21" s="14">
        <v>6</v>
      </c>
      <c r="M21" s="11"/>
    </row>
    <row r="22" spans="1:2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J22" s="25"/>
    </row>
    <row r="23" spans="1:2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J23" s="25"/>
      <c r="K23" t="s">
        <v>65</v>
      </c>
    </row>
    <row r="24" spans="1:2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J24" s="25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</row>
    <row r="25" spans="1:20" ht="15.75" thickBot="1" x14ac:dyDescent="0.3">
      <c r="J25" s="25"/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</row>
    <row r="26" spans="1:20" x14ac:dyDescent="0.25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26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2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27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</row>
    <row r="28" spans="1:2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27"/>
    </row>
    <row r="29" spans="1:20" x14ac:dyDescent="0.25">
      <c r="J29" s="25"/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</row>
    <row r="30" spans="1:20" x14ac:dyDescent="0.25">
      <c r="J30" s="25"/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20" ht="15.75" thickBot="1" x14ac:dyDescent="0.3">
      <c r="J31" s="25"/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20" x14ac:dyDescent="0.25">
      <c r="A32" t="s">
        <v>84</v>
      </c>
      <c r="J32" s="25"/>
    </row>
    <row r="33" spans="1:20" ht="15.75" thickBot="1" x14ac:dyDescent="0.3">
      <c r="J33" s="25"/>
    </row>
    <row r="34" spans="1:20" x14ac:dyDescent="0.25">
      <c r="A34" s="15" t="s">
        <v>85</v>
      </c>
      <c r="B34" s="15" t="s">
        <v>86</v>
      </c>
      <c r="C34" s="15" t="s">
        <v>87</v>
      </c>
      <c r="J34" s="25"/>
    </row>
    <row r="35" spans="1:20" x14ac:dyDescent="0.25">
      <c r="A35" s="9">
        <v>1</v>
      </c>
      <c r="B35" s="9">
        <v>0.77062628560635238</v>
      </c>
      <c r="C35" s="9">
        <v>-0.18232628560635233</v>
      </c>
      <c r="J35" s="25"/>
    </row>
    <row r="36" spans="1:20" x14ac:dyDescent="0.25">
      <c r="A36" s="9">
        <v>2</v>
      </c>
      <c r="B36" s="9">
        <v>3.0979972847988737</v>
      </c>
      <c r="C36" s="9">
        <v>-0.15649728479887326</v>
      </c>
      <c r="J36" s="25"/>
    </row>
    <row r="37" spans="1:20" x14ac:dyDescent="0.25">
      <c r="A37" s="9">
        <v>3</v>
      </c>
      <c r="B37" s="9">
        <v>5.9599277583290551</v>
      </c>
      <c r="C37" s="9">
        <v>-7.6927758329054186E-2</v>
      </c>
      <c r="J37" s="25"/>
    </row>
    <row r="38" spans="1:20" x14ac:dyDescent="0.25">
      <c r="A38" s="9">
        <v>4</v>
      </c>
      <c r="B38" s="9">
        <v>29.178174924247902</v>
      </c>
      <c r="C38" s="9">
        <v>0.2368250757521011</v>
      </c>
      <c r="J38" s="25"/>
    </row>
    <row r="39" spans="1:20" x14ac:dyDescent="0.25">
      <c r="A39" s="9">
        <v>5</v>
      </c>
      <c r="B39" s="9">
        <v>58.581865108924809</v>
      </c>
      <c r="C39" s="9">
        <v>0.24813489107519615</v>
      </c>
      <c r="J39" s="25"/>
    </row>
    <row r="40" spans="1:20" ht="15.75" customHeight="1" thickBot="1" x14ac:dyDescent="0.3">
      <c r="A40" s="13">
        <v>6</v>
      </c>
      <c r="B40" s="13">
        <v>294.21920863809305</v>
      </c>
      <c r="C40" s="13">
        <v>-6.9208638093016361E-2</v>
      </c>
      <c r="J40" s="25"/>
    </row>
    <row r="41" spans="1:20" ht="15.75" customHeight="1" thickBot="1" x14ac:dyDescent="0.3">
      <c r="A41" s="13">
        <v>6</v>
      </c>
      <c r="B41" s="13">
        <v>1343.6025690249071</v>
      </c>
      <c r="C41" s="13">
        <v>0.3190976417595266</v>
      </c>
      <c r="J41" s="25"/>
    </row>
    <row r="42" spans="1:20" x14ac:dyDescent="0.25">
      <c r="J42" s="25"/>
    </row>
    <row r="43" spans="1:20" x14ac:dyDescent="0.25">
      <c r="J43" s="25"/>
    </row>
    <row r="44" spans="1:20" x14ac:dyDescent="0.25">
      <c r="A44" s="23"/>
      <c r="B44" s="23"/>
      <c r="C44" s="23"/>
      <c r="D44" s="23"/>
      <c r="E44" s="23"/>
      <c r="F44" s="23"/>
      <c r="G44" s="24"/>
      <c r="H44" s="24"/>
      <c r="I44" s="24"/>
      <c r="J44" s="28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20" x14ac:dyDescent="0.25">
      <c r="A45" s="17" t="s">
        <v>88</v>
      </c>
      <c r="G45"/>
      <c r="H45"/>
      <c r="I45"/>
      <c r="J45" s="25"/>
    </row>
    <row r="46" spans="1:20" x14ac:dyDescent="0.25">
      <c r="A46" t="s">
        <v>55</v>
      </c>
      <c r="B46" t="s">
        <v>89</v>
      </c>
      <c r="C46"/>
      <c r="D46"/>
      <c r="E46"/>
      <c r="F46"/>
      <c r="G46"/>
      <c r="H46"/>
      <c r="I46"/>
      <c r="J46" s="25"/>
      <c r="K46" s="7" t="s">
        <v>123</v>
      </c>
    </row>
    <row r="47" spans="1:20" ht="15.75" thickBot="1" x14ac:dyDescent="0.3">
      <c r="A47"/>
      <c r="B47"/>
      <c r="C47"/>
      <c r="D47"/>
      <c r="E47"/>
      <c r="F47"/>
      <c r="G47"/>
      <c r="H47"/>
      <c r="I47"/>
      <c r="J47" s="25"/>
      <c r="K47" t="s">
        <v>84</v>
      </c>
    </row>
    <row r="48" spans="1:20" x14ac:dyDescent="0.25">
      <c r="A48" s="10" t="s">
        <v>59</v>
      </c>
      <c r="B48" s="10"/>
      <c r="C48"/>
      <c r="D48"/>
      <c r="E48"/>
      <c r="F48"/>
      <c r="G48"/>
      <c r="H48"/>
      <c r="I48"/>
      <c r="J48" s="25"/>
      <c r="K48" t="s">
        <v>55</v>
      </c>
    </row>
    <row r="49" spans="1:19" ht="15.75" thickBot="1" x14ac:dyDescent="0.3">
      <c r="A49" s="11" t="s">
        <v>60</v>
      </c>
      <c r="B49" s="11">
        <v>0.99913678675732565</v>
      </c>
      <c r="C49"/>
      <c r="D49"/>
      <c r="E49"/>
      <c r="F49"/>
      <c r="G49"/>
      <c r="H49"/>
      <c r="I49"/>
      <c r="J49" s="25"/>
    </row>
    <row r="50" spans="1:19" x14ac:dyDescent="0.25">
      <c r="A50" s="11" t="s">
        <v>61</v>
      </c>
      <c r="B50" s="11">
        <v>0.99827431865175353</v>
      </c>
      <c r="C50"/>
      <c r="D50"/>
      <c r="E50"/>
      <c r="F50"/>
      <c r="G50"/>
      <c r="H50"/>
      <c r="I50"/>
      <c r="J50" s="25"/>
      <c r="K50" s="10" t="s">
        <v>59</v>
      </c>
      <c r="L50" s="10"/>
    </row>
    <row r="51" spans="1:19" ht="15.75" customHeight="1" x14ac:dyDescent="0.25">
      <c r="A51" s="11" t="s">
        <v>62</v>
      </c>
      <c r="B51" s="11">
        <v>0.99792918238210437</v>
      </c>
      <c r="C51"/>
      <c r="D51"/>
      <c r="E51"/>
      <c r="F51"/>
      <c r="G51"/>
      <c r="H51"/>
      <c r="I51"/>
      <c r="J51" s="25"/>
      <c r="K51" s="11" t="s">
        <v>60</v>
      </c>
      <c r="L51" s="11">
        <v>0.99913678675732565</v>
      </c>
    </row>
    <row r="52" spans="1:19" x14ac:dyDescent="0.25">
      <c r="A52" s="11" t="s">
        <v>63</v>
      </c>
      <c r="B52" s="11">
        <v>4.8787115983951139</v>
      </c>
      <c r="C52"/>
      <c r="D52"/>
      <c r="E52"/>
      <c r="F52"/>
      <c r="G52"/>
      <c r="H52"/>
      <c r="I52"/>
      <c r="J52" s="25"/>
      <c r="K52" s="11" t="s">
        <v>61</v>
      </c>
      <c r="L52" s="11">
        <v>0.99827431865175364</v>
      </c>
    </row>
    <row r="53" spans="1:19" ht="15.75" customHeight="1" thickBot="1" x14ac:dyDescent="0.3">
      <c r="A53" s="14" t="s">
        <v>64</v>
      </c>
      <c r="B53" s="14">
        <v>7</v>
      </c>
      <c r="C53"/>
      <c r="D53"/>
      <c r="E53"/>
      <c r="F53"/>
      <c r="G53"/>
      <c r="H53"/>
      <c r="I53"/>
      <c r="J53" s="25"/>
      <c r="K53" s="11" t="s">
        <v>62</v>
      </c>
      <c r="L53" s="11">
        <v>0.99792918238210437</v>
      </c>
    </row>
    <row r="54" spans="1:19" x14ac:dyDescent="0.25">
      <c r="A54"/>
      <c r="B54"/>
      <c r="C54"/>
      <c r="D54"/>
      <c r="E54"/>
      <c r="F54"/>
      <c r="G54"/>
      <c r="H54"/>
      <c r="I54"/>
      <c r="J54" s="25"/>
      <c r="K54" s="11" t="s">
        <v>63</v>
      </c>
      <c r="L54" s="11">
        <v>6.4172812792738041E-3</v>
      </c>
    </row>
    <row r="55" spans="1:19" ht="15.75" thickBot="1" x14ac:dyDescent="0.3">
      <c r="A55" t="s">
        <v>65</v>
      </c>
      <c r="B55"/>
      <c r="C55"/>
      <c r="D55"/>
      <c r="E55"/>
      <c r="F55"/>
      <c r="G55"/>
      <c r="H55"/>
      <c r="I55"/>
      <c r="J55" s="25"/>
      <c r="K55" s="14" t="s">
        <v>64</v>
      </c>
      <c r="L55" s="14">
        <v>7</v>
      </c>
    </row>
    <row r="56" spans="1:19" x14ac:dyDescent="0.25">
      <c r="A56" s="16"/>
      <c r="B56" s="16" t="s">
        <v>67</v>
      </c>
      <c r="C56" s="16" t="s">
        <v>68</v>
      </c>
      <c r="D56" s="16" t="s">
        <v>69</v>
      </c>
      <c r="E56" s="16" t="s">
        <v>70</v>
      </c>
      <c r="F56" s="16" t="s">
        <v>71</v>
      </c>
      <c r="G56"/>
      <c r="H56"/>
      <c r="I56"/>
      <c r="J56" s="25"/>
    </row>
    <row r="57" spans="1:19" ht="15.75" customHeight="1" thickBot="1" x14ac:dyDescent="0.3">
      <c r="A57" s="11" t="s">
        <v>72</v>
      </c>
      <c r="B57" s="11">
        <v>1</v>
      </c>
      <c r="C57" s="11">
        <v>68844.553821575581</v>
      </c>
      <c r="D57" s="11">
        <v>68844.553821575581</v>
      </c>
      <c r="E57" s="11">
        <v>2892.4062940883214</v>
      </c>
      <c r="F57" s="11">
        <v>4.2028918326297201E-8</v>
      </c>
      <c r="G57"/>
      <c r="H57"/>
      <c r="I57"/>
      <c r="J57" s="25"/>
      <c r="K57" t="s">
        <v>65</v>
      </c>
    </row>
    <row r="58" spans="1:19" x14ac:dyDescent="0.25">
      <c r="A58" s="11" t="s">
        <v>73</v>
      </c>
      <c r="B58" s="11">
        <v>5</v>
      </c>
      <c r="C58" s="11">
        <v>119.00913430157502</v>
      </c>
      <c r="D58" s="11">
        <v>23.801826860315003</v>
      </c>
      <c r="E58" s="11"/>
      <c r="F58" s="11"/>
      <c r="G58"/>
      <c r="H58"/>
      <c r="I58"/>
      <c r="J58" s="25"/>
      <c r="K58" s="16"/>
      <c r="L58" s="16" t="s">
        <v>67</v>
      </c>
      <c r="M58" s="16" t="s">
        <v>68</v>
      </c>
      <c r="N58" s="16" t="s">
        <v>69</v>
      </c>
      <c r="O58" s="16" t="s">
        <v>70</v>
      </c>
      <c r="P58" s="16" t="s">
        <v>71</v>
      </c>
    </row>
    <row r="59" spans="1:19" ht="15.75" thickBot="1" x14ac:dyDescent="0.3">
      <c r="A59" s="14" t="s">
        <v>74</v>
      </c>
      <c r="B59" s="14">
        <v>6</v>
      </c>
      <c r="C59" s="14">
        <v>68963.562955877162</v>
      </c>
      <c r="D59" s="14"/>
      <c r="E59" s="14"/>
      <c r="F59" s="14"/>
      <c r="G59"/>
      <c r="H59"/>
      <c r="I59"/>
      <c r="J59" s="26"/>
      <c r="K59" s="11" t="s">
        <v>72</v>
      </c>
      <c r="L59" s="11">
        <v>1</v>
      </c>
      <c r="M59" s="11">
        <v>0.11911362695768261</v>
      </c>
      <c r="N59" s="11">
        <v>0.11911362695768261</v>
      </c>
      <c r="O59" s="11">
        <v>2892.4062940883196</v>
      </c>
      <c r="P59" s="11">
        <v>4.202891832629728E-8</v>
      </c>
    </row>
    <row r="60" spans="1:19" ht="15.75" thickBot="1" x14ac:dyDescent="0.3">
      <c r="A60"/>
      <c r="B60"/>
      <c r="C60"/>
      <c r="D60"/>
      <c r="E60"/>
      <c r="F60"/>
      <c r="G60"/>
      <c r="H60"/>
      <c r="I60"/>
      <c r="J60" s="27"/>
      <c r="K60" s="11" t="s">
        <v>73</v>
      </c>
      <c r="L60" s="11">
        <v>5</v>
      </c>
      <c r="M60" s="11">
        <v>2.0590749508659015E-4</v>
      </c>
      <c r="N60" s="11">
        <v>4.1181499017318032E-5</v>
      </c>
      <c r="O60" s="11"/>
      <c r="P60" s="11"/>
    </row>
    <row r="61" spans="1:19" ht="15.75" customHeight="1" thickBot="1" x14ac:dyDescent="0.3">
      <c r="A61" s="16"/>
      <c r="B61" s="16" t="s">
        <v>75</v>
      </c>
      <c r="C61" s="16" t="s">
        <v>63</v>
      </c>
      <c r="D61" s="16" t="s">
        <v>76</v>
      </c>
      <c r="E61" s="16" t="s">
        <v>77</v>
      </c>
      <c r="F61" s="16" t="s">
        <v>78</v>
      </c>
      <c r="G61" s="16" t="s">
        <v>79</v>
      </c>
      <c r="H61" s="16" t="s">
        <v>80</v>
      </c>
      <c r="I61" s="16" t="s">
        <v>81</v>
      </c>
      <c r="J61" s="27"/>
      <c r="K61" s="14" t="s">
        <v>74</v>
      </c>
      <c r="L61" s="14">
        <v>6</v>
      </c>
      <c r="M61" s="14">
        <v>0.1193195344527692</v>
      </c>
      <c r="N61" s="14"/>
      <c r="O61" s="14"/>
      <c r="P61" s="14"/>
    </row>
    <row r="62" spans="1:19" ht="15.75" thickBot="1" x14ac:dyDescent="0.3">
      <c r="A62" s="11" t="s">
        <v>82</v>
      </c>
      <c r="B62" s="11">
        <v>-4.8811598005730872</v>
      </c>
      <c r="C62" s="11">
        <v>2.1634624433925831</v>
      </c>
      <c r="D62" s="11">
        <v>-2.2561795863295924</v>
      </c>
      <c r="E62" s="11">
        <v>7.3703712687858761E-2</v>
      </c>
      <c r="F62" s="11">
        <v>-10.442517059639421</v>
      </c>
      <c r="G62" s="11">
        <v>0.68019745849324664</v>
      </c>
      <c r="H62" s="11">
        <v>-10.442517059639421</v>
      </c>
      <c r="I62" s="11">
        <v>0.68019745849324664</v>
      </c>
      <c r="J62" s="25"/>
    </row>
    <row r="63" spans="1:19" ht="15.75" thickBot="1" x14ac:dyDescent="0.3">
      <c r="A63" s="14" t="s">
        <v>83</v>
      </c>
      <c r="B63" s="14">
        <v>759.58961712954601</v>
      </c>
      <c r="C63" s="14">
        <v>14.12372883203613</v>
      </c>
      <c r="D63" s="14">
        <v>53.781096066260332</v>
      </c>
      <c r="E63" s="14">
        <v>4.2028918326297201E-8</v>
      </c>
      <c r="F63" s="14">
        <v>723.28341634246101</v>
      </c>
      <c r="G63" s="14">
        <v>795.89581791663102</v>
      </c>
      <c r="H63" s="14">
        <v>723.28341634246101</v>
      </c>
      <c r="I63" s="14">
        <v>795.89581791663102</v>
      </c>
      <c r="J63" s="25"/>
      <c r="K63" s="16"/>
      <c r="L63" s="16" t="s">
        <v>75</v>
      </c>
      <c r="M63" s="16" t="s">
        <v>63</v>
      </c>
      <c r="N63" s="16" t="s">
        <v>76</v>
      </c>
      <c r="O63" s="16" t="s">
        <v>77</v>
      </c>
      <c r="P63" s="16" t="s">
        <v>78</v>
      </c>
      <c r="Q63" s="16" t="s">
        <v>79</v>
      </c>
      <c r="R63" s="16" t="s">
        <v>80</v>
      </c>
      <c r="S63" s="16" t="s">
        <v>81</v>
      </c>
    </row>
    <row r="64" spans="1:19" x14ac:dyDescent="0.25">
      <c r="A64"/>
      <c r="B64"/>
      <c r="C64"/>
      <c r="D64"/>
      <c r="E64"/>
      <c r="F64"/>
      <c r="G64"/>
      <c r="H64"/>
      <c r="I64"/>
      <c r="J64" s="25"/>
      <c r="K64" s="11" t="s">
        <v>82</v>
      </c>
      <c r="L64" s="11">
        <v>6.5532103935362629E-3</v>
      </c>
      <c r="M64" s="11">
        <v>2.7845814004832238E-3</v>
      </c>
      <c r="N64" s="11">
        <v>2.353391569877989</v>
      </c>
      <c r="O64" s="11">
        <v>6.5284513122608578E-2</v>
      </c>
      <c r="P64" s="11">
        <v>-6.0478397439664346E-4</v>
      </c>
      <c r="Q64" s="11">
        <v>1.371120476146917E-2</v>
      </c>
      <c r="R64" s="11">
        <v>-6.0478397439664346E-4</v>
      </c>
      <c r="S64" s="11">
        <v>1.371120476146917E-2</v>
      </c>
    </row>
    <row r="65" spans="1:19" ht="15.75" thickBot="1" x14ac:dyDescent="0.3">
      <c r="A65"/>
      <c r="B65"/>
      <c r="C65"/>
      <c r="D65"/>
      <c r="E65"/>
      <c r="F65"/>
      <c r="G65"/>
      <c r="H65"/>
      <c r="I65"/>
      <c r="J65" s="25"/>
      <c r="K65" s="14" t="s">
        <v>83</v>
      </c>
      <c r="L65" s="14">
        <v>1.3142284940968337E-3</v>
      </c>
      <c r="M65" s="14">
        <v>2.4436625324215322E-5</v>
      </c>
      <c r="N65" s="14">
        <v>53.781096066260311</v>
      </c>
      <c r="O65" s="14">
        <v>4.202891832629728E-8</v>
      </c>
      <c r="P65" s="14">
        <v>1.2514121489141555E-3</v>
      </c>
      <c r="Q65" s="14">
        <v>1.377044839279512E-3</v>
      </c>
      <c r="R65" s="14">
        <v>1.2514121489141555E-3</v>
      </c>
      <c r="S65" s="14">
        <v>1.377044839279512E-3</v>
      </c>
    </row>
    <row r="66" spans="1:19" x14ac:dyDescent="0.25">
      <c r="A66"/>
      <c r="B66"/>
      <c r="C66"/>
      <c r="D66"/>
      <c r="E66"/>
      <c r="F66"/>
      <c r="G66"/>
      <c r="H66"/>
      <c r="I66"/>
      <c r="J66" s="25"/>
    </row>
    <row r="67" spans="1:19" x14ac:dyDescent="0.25">
      <c r="A67" t="s">
        <v>84</v>
      </c>
      <c r="B67"/>
      <c r="C67"/>
      <c r="D67"/>
      <c r="E67"/>
      <c r="F67"/>
      <c r="G67"/>
      <c r="H67"/>
      <c r="I67"/>
      <c r="J67" s="25"/>
    </row>
    <row r="68" spans="1:19" ht="15.75" thickBot="1" x14ac:dyDescent="0.3">
      <c r="A68"/>
      <c r="B68"/>
      <c r="C68"/>
      <c r="D68"/>
      <c r="E68"/>
      <c r="F68"/>
      <c r="G68"/>
      <c r="H68"/>
      <c r="I68"/>
      <c r="J68" s="25"/>
    </row>
    <row r="69" spans="1:19" x14ac:dyDescent="0.25">
      <c r="A69" s="16" t="s">
        <v>85</v>
      </c>
      <c r="B69" s="16" t="s">
        <v>86</v>
      </c>
      <c r="C69" s="16" t="s">
        <v>87</v>
      </c>
      <c r="D69"/>
      <c r="E69"/>
      <c r="F69"/>
      <c r="G69"/>
      <c r="H69"/>
      <c r="I69"/>
      <c r="J69" s="25"/>
      <c r="K69" t="s">
        <v>84</v>
      </c>
    </row>
    <row r="70" spans="1:19" ht="15.75" thickBot="1" x14ac:dyDescent="0.3">
      <c r="A70" s="11">
        <v>1</v>
      </c>
      <c r="B70" s="11">
        <v>-4.0020051511175945</v>
      </c>
      <c r="C70" s="11">
        <v>4.0020051511175945</v>
      </c>
      <c r="D70"/>
      <c r="E70"/>
      <c r="F70"/>
      <c r="G70"/>
      <c r="H70"/>
      <c r="I70"/>
      <c r="J70" s="25"/>
    </row>
    <row r="71" spans="1:19" x14ac:dyDescent="0.25">
      <c r="A71" s="11">
        <v>2</v>
      </c>
      <c r="B71" s="11">
        <v>-2.249901649732176</v>
      </c>
      <c r="C71" s="11">
        <v>2.8382016497321763</v>
      </c>
      <c r="D71"/>
      <c r="E71"/>
      <c r="F71"/>
      <c r="G71"/>
      <c r="H71"/>
      <c r="I71"/>
      <c r="J71" s="25"/>
      <c r="K71" s="16" t="s">
        <v>85</v>
      </c>
      <c r="L71" s="16" t="s">
        <v>86</v>
      </c>
      <c r="M71" s="16" t="s">
        <v>87</v>
      </c>
    </row>
    <row r="72" spans="1:19" x14ac:dyDescent="0.25">
      <c r="A72" s="11">
        <v>3</v>
      </c>
      <c r="B72" s="11">
        <v>1.1815378350424348</v>
      </c>
      <c r="C72" s="11">
        <v>1.7599621649575656</v>
      </c>
      <c r="D72"/>
      <c r="E72"/>
      <c r="F72"/>
      <c r="G72"/>
      <c r="H72"/>
      <c r="I72"/>
      <c r="J72" s="25"/>
      <c r="K72" s="11">
        <v>1</v>
      </c>
      <c r="L72" s="11">
        <v>6.5532103935362629E-3</v>
      </c>
      <c r="M72" s="11">
        <v>-5.3958029861288555E-3</v>
      </c>
    </row>
    <row r="73" spans="1:19" ht="15.75" customHeight="1" x14ac:dyDescent="0.25">
      <c r="A73" s="11">
        <v>4</v>
      </c>
      <c r="B73" s="11">
        <v>4.6928343319972328</v>
      </c>
      <c r="C73" s="11">
        <v>1.1901656680027681</v>
      </c>
      <c r="D73"/>
      <c r="E73"/>
      <c r="F73"/>
      <c r="G73"/>
      <c r="H73"/>
      <c r="I73"/>
      <c r="J73" s="25"/>
      <c r="K73" s="11">
        <v>2</v>
      </c>
      <c r="L73" s="11">
        <v>7.3263710166134302E-3</v>
      </c>
      <c r="M73" s="11">
        <v>-3.8623187290317308E-3</v>
      </c>
    </row>
    <row r="74" spans="1:19" x14ac:dyDescent="0.25">
      <c r="A74" s="11">
        <v>5</v>
      </c>
      <c r="B74" s="11">
        <v>33.265360439300757</v>
      </c>
      <c r="C74" s="11">
        <v>-3.8503604393007542</v>
      </c>
      <c r="D74"/>
      <c r="E74"/>
      <c r="F74"/>
      <c r="G74"/>
      <c r="H74"/>
      <c r="I74"/>
      <c r="J74" s="25"/>
      <c r="K74" s="11">
        <v>3</v>
      </c>
      <c r="L74" s="11">
        <v>1.04190135089221E-2</v>
      </c>
      <c r="M74" s="11">
        <v>-2.4374699242083239E-3</v>
      </c>
    </row>
    <row r="75" spans="1:19" x14ac:dyDescent="0.25">
      <c r="A75" s="11">
        <v>6</v>
      </c>
      <c r="B75" s="11">
        <v>67.183146815293682</v>
      </c>
      <c r="C75" s="11">
        <v>-8.3531468152936768</v>
      </c>
      <c r="D75"/>
      <c r="E75"/>
      <c r="F75"/>
      <c r="G75"/>
      <c r="H75"/>
      <c r="I75"/>
      <c r="J75" s="25"/>
      <c r="K75" s="11">
        <v>4</v>
      </c>
      <c r="L75" s="11">
        <v>1.4284816624307937E-2</v>
      </c>
      <c r="M75" s="11">
        <v>-1.6806499576412712E-3</v>
      </c>
    </row>
    <row r="76" spans="1:19" ht="15.75" thickBot="1" x14ac:dyDescent="0.3">
      <c r="A76" s="14">
        <v>7</v>
      </c>
      <c r="B76" s="14">
        <v>291.73682737921575</v>
      </c>
      <c r="C76" s="14">
        <v>2.4131726207842803</v>
      </c>
      <c r="D76"/>
      <c r="E76"/>
      <c r="F76"/>
      <c r="G76"/>
      <c r="H76"/>
      <c r="I76"/>
      <c r="J76" s="25"/>
      <c r="K76" s="11">
        <v>5</v>
      </c>
      <c r="L76" s="11">
        <v>4.5211241547394629E-2</v>
      </c>
      <c r="M76" s="11">
        <v>5.0086658600127787E-3</v>
      </c>
    </row>
    <row r="77" spans="1:19" x14ac:dyDescent="0.25">
      <c r="J77" s="25"/>
      <c r="K77" s="11">
        <v>6</v>
      </c>
      <c r="L77" s="11">
        <v>8.3869272701252995E-2</v>
      </c>
      <c r="M77" s="11">
        <v>1.100341248393219E-2</v>
      </c>
    </row>
    <row r="78" spans="1:19" ht="15.75" thickBot="1" x14ac:dyDescent="0.3">
      <c r="J78" s="25"/>
      <c r="K78" s="14">
        <v>7</v>
      </c>
      <c r="L78" s="14">
        <v>0.39313352193211992</v>
      </c>
      <c r="M78" s="14">
        <v>-2.6358367469347388E-3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topLeftCell="T1" workbookViewId="0">
      <selection activeCell="Z26" sqref="Z26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7109375" bestFit="1" customWidth="1"/>
    <col min="10" max="11" width="24.7109375" bestFit="1" customWidth="1"/>
    <col min="12" max="12" width="29.85546875" bestFit="1" customWidth="1"/>
    <col min="13" max="13" width="16.85546875" bestFit="1" customWidth="1"/>
    <col min="14" max="14" width="21.85546875" bestFit="1" customWidth="1"/>
    <col min="15" max="15" width="21.5703125" bestFit="1" customWidth="1"/>
    <col min="16" max="16" width="26.5703125" bestFit="1" customWidth="1"/>
    <col min="17" max="17" width="19.5703125" bestFit="1" customWidth="1"/>
    <col min="18" max="18" width="20.7109375" bestFit="1" customWidth="1"/>
    <col min="19" max="19" width="17.28515625" bestFit="1" customWidth="1"/>
    <col min="20" max="20" width="18.42578125" bestFit="1" customWidth="1"/>
    <col min="21" max="21" width="16.85546875" bestFit="1" customWidth="1"/>
    <col min="22" max="22" width="18.140625" bestFit="1" customWidth="1"/>
    <col min="23" max="23" width="9" bestFit="1" customWidth="1"/>
    <col min="24" max="24" width="10.140625" bestFit="1" customWidth="1"/>
    <col min="25" max="25" width="13.140625" bestFit="1" customWidth="1"/>
    <col min="26" max="26" width="14.28515625" bestFit="1" customWidth="1"/>
  </cols>
  <sheetData>
    <row r="1" spans="1:28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90</v>
      </c>
      <c r="H1" t="s">
        <v>91</v>
      </c>
      <c r="I1" t="s">
        <v>124</v>
      </c>
      <c r="J1" t="s">
        <v>125</v>
      </c>
      <c r="K1" t="s">
        <v>92</v>
      </c>
      <c r="L1" t="s">
        <v>93</v>
      </c>
      <c r="M1" t="s">
        <v>126</v>
      </c>
      <c r="N1" t="s">
        <v>127</v>
      </c>
      <c r="O1" t="s">
        <v>94</v>
      </c>
      <c r="P1" t="s">
        <v>95</v>
      </c>
      <c r="Q1" t="s">
        <v>128</v>
      </c>
      <c r="R1" t="s">
        <v>129</v>
      </c>
      <c r="S1" t="s">
        <v>130</v>
      </c>
      <c r="T1" t="s">
        <v>131</v>
      </c>
      <c r="U1" t="s">
        <v>33</v>
      </c>
      <c r="V1" t="s">
        <v>34</v>
      </c>
      <c r="W1" t="s">
        <v>29</v>
      </c>
      <c r="X1" t="s">
        <v>30</v>
      </c>
      <c r="Y1" t="s">
        <v>31</v>
      </c>
      <c r="Z1" t="s">
        <v>32</v>
      </c>
      <c r="AA1" t="s">
        <v>133</v>
      </c>
      <c r="AB1" t="s">
        <v>147</v>
      </c>
    </row>
    <row r="2" spans="1:28" x14ac:dyDescent="0.25">
      <c r="A2" s="20" t="s">
        <v>96</v>
      </c>
      <c r="B2">
        <v>0</v>
      </c>
      <c r="C2">
        <v>0</v>
      </c>
      <c r="D2">
        <v>8.9600000000000009</v>
      </c>
      <c r="E2" s="1">
        <v>0.03</v>
      </c>
      <c r="F2" s="21">
        <v>9.0000000000000006E-5</v>
      </c>
      <c r="G2" s="1">
        <v>100</v>
      </c>
      <c r="H2" s="1">
        <v>5</v>
      </c>
      <c r="I2" s="1"/>
      <c r="J2" s="1"/>
      <c r="K2">
        <v>10</v>
      </c>
      <c r="L2">
        <v>0.02</v>
      </c>
      <c r="M2" s="1">
        <f>'Count-&gt;Actual Activity'!F24</f>
        <v>-4.9863554343643806</v>
      </c>
      <c r="N2" s="1">
        <f>'Count-&gt;Actual Activity'!G24</f>
        <v>74.035276446395159</v>
      </c>
      <c r="O2" s="1"/>
      <c r="P2" s="1"/>
      <c r="Q2">
        <f>I2/K2</f>
        <v>0</v>
      </c>
      <c r="R2" t="e">
        <f>Q2*SQRT((J2/I2)^2+(L2/K2)^2)</f>
        <v>#DIV/0!</v>
      </c>
      <c r="S2" t="e">
        <f>M2/O2</f>
        <v>#DIV/0!</v>
      </c>
      <c r="T2" t="e">
        <f>S2*SQRT((N2/M2)^2+(P2/O2))</f>
        <v>#DIV/0!</v>
      </c>
      <c r="U2">
        <f>Parameters!$B$6*'Bottle Results'!B2</f>
        <v>0</v>
      </c>
      <c r="V2" t="e">
        <f>SQRT((C2/B2)^2+(Parameters!$C$6/Parameters!$B$6))</f>
        <v>#DIV/0!</v>
      </c>
      <c r="W2">
        <f>Q2</f>
        <v>0</v>
      </c>
      <c r="X2">
        <v>2.3297918868665893E-2</v>
      </c>
      <c r="Y2">
        <f>(U2-Q2*G2)/E2</f>
        <v>0</v>
      </c>
      <c r="AA2" t="s">
        <v>132</v>
      </c>
      <c r="AB2" t="e">
        <f>Y2*E2/U2</f>
        <v>#DIV/0!</v>
      </c>
    </row>
    <row r="3" spans="1:28" x14ac:dyDescent="0.25">
      <c r="A3" s="20" t="s">
        <v>97</v>
      </c>
      <c r="B3">
        <v>0</v>
      </c>
      <c r="C3">
        <v>0</v>
      </c>
      <c r="D3">
        <v>8.9499999999999993</v>
      </c>
      <c r="E3" s="1">
        <v>0.03</v>
      </c>
      <c r="F3" s="21">
        <v>9.0000000000000006E-5</v>
      </c>
      <c r="G3" s="1">
        <v>100</v>
      </c>
      <c r="H3" s="1">
        <v>5</v>
      </c>
      <c r="I3" s="1"/>
      <c r="J3" s="1"/>
      <c r="K3">
        <v>10</v>
      </c>
      <c r="L3">
        <v>0.02</v>
      </c>
      <c r="M3" s="1">
        <f>'Count-&gt;Actual Activity'!F25</f>
        <v>-4.9863554343643806</v>
      </c>
      <c r="N3" s="1">
        <f>'Count-&gt;Actual Activity'!G25</f>
        <v>74.035276446395159</v>
      </c>
      <c r="O3" s="1"/>
      <c r="P3" s="1"/>
      <c r="Q3">
        <f t="shared" ref="Q3:Q23" si="0">I3/K3</f>
        <v>0</v>
      </c>
      <c r="R3" t="e">
        <f t="shared" ref="R3:R23" si="1">Q3*SQRT((J3/I3)^2+(L3/K3)^2)</f>
        <v>#DIV/0!</v>
      </c>
      <c r="S3" t="e">
        <f t="shared" ref="S3:S20" si="2">M3/O3</f>
        <v>#DIV/0!</v>
      </c>
      <c r="T3" t="e">
        <f t="shared" ref="T3:T20" si="3">S3*SQRT((N3/M3)^2+(P3/O3))</f>
        <v>#DIV/0!</v>
      </c>
      <c r="U3">
        <f>Parameters!$B$6*'Bottle Results'!B3</f>
        <v>0</v>
      </c>
      <c r="V3" t="e">
        <f>SQRT((C3/B3)^2+(Parameters!$C$6/Parameters!$B$6))</f>
        <v>#DIV/0!</v>
      </c>
      <c r="W3">
        <f t="shared" ref="W3:W23" si="4">Q3</f>
        <v>0</v>
      </c>
      <c r="X3">
        <v>2.3297922254460427E-2</v>
      </c>
      <c r="Y3">
        <f t="shared" ref="Y3:Y16" si="5">(U3-Q3*G3)/E3</f>
        <v>0</v>
      </c>
      <c r="AA3" t="s">
        <v>132</v>
      </c>
      <c r="AB3" t="e">
        <f t="shared" ref="AB3:AB23" si="6">Y3*E3/U3</f>
        <v>#DIV/0!</v>
      </c>
    </row>
    <row r="4" spans="1:28" x14ac:dyDescent="0.25">
      <c r="A4" s="20" t="s">
        <v>98</v>
      </c>
      <c r="B4">
        <v>0</v>
      </c>
      <c r="C4">
        <v>0</v>
      </c>
      <c r="D4">
        <v>8.93</v>
      </c>
      <c r="E4" s="1">
        <v>0.03</v>
      </c>
      <c r="F4" s="21">
        <v>9.0000000000000006E-5</v>
      </c>
      <c r="G4" s="1">
        <v>100</v>
      </c>
      <c r="H4" s="1">
        <v>5</v>
      </c>
      <c r="I4" s="1"/>
      <c r="J4" s="1"/>
      <c r="K4">
        <v>10</v>
      </c>
      <c r="L4">
        <v>0.02</v>
      </c>
      <c r="M4" s="1">
        <f>'Count-&gt;Actual Activity'!F26</f>
        <v>-4.9863554343643806</v>
      </c>
      <c r="N4" s="1">
        <f>'Count-&gt;Actual Activity'!G26</f>
        <v>74.035276446395159</v>
      </c>
      <c r="O4" s="1"/>
      <c r="P4" s="1"/>
      <c r="Q4">
        <f t="shared" si="0"/>
        <v>0</v>
      </c>
      <c r="R4" t="e">
        <f t="shared" si="1"/>
        <v>#DIV/0!</v>
      </c>
      <c r="S4" t="e">
        <f t="shared" si="2"/>
        <v>#DIV/0!</v>
      </c>
      <c r="T4" t="e">
        <f t="shared" si="3"/>
        <v>#DIV/0!</v>
      </c>
      <c r="U4">
        <f>Parameters!$B$6*'Bottle Results'!B4</f>
        <v>0</v>
      </c>
      <c r="V4" t="e">
        <f>SQRT((C4/B4)^2+(Parameters!$C$6/Parameters!$B$6))</f>
        <v>#DIV/0!</v>
      </c>
      <c r="W4">
        <f t="shared" si="4"/>
        <v>0</v>
      </c>
      <c r="X4">
        <v>2.3297915424772112E-2</v>
      </c>
      <c r="Y4">
        <f t="shared" si="5"/>
        <v>0</v>
      </c>
      <c r="AA4" t="s">
        <v>132</v>
      </c>
      <c r="AB4" t="e">
        <f t="shared" si="6"/>
        <v>#DIV/0!</v>
      </c>
    </row>
    <row r="5" spans="1:28" x14ac:dyDescent="0.25">
      <c r="A5" s="20" t="s">
        <v>99</v>
      </c>
      <c r="B5">
        <v>7.92E-3</v>
      </c>
      <c r="C5">
        <v>1E-3</v>
      </c>
      <c r="D5">
        <v>8.92</v>
      </c>
      <c r="E5" s="1">
        <v>0.03</v>
      </c>
      <c r="F5" s="21">
        <v>9.0000000000000006E-5</v>
      </c>
      <c r="G5" s="1">
        <v>100</v>
      </c>
      <c r="H5" s="1">
        <v>5</v>
      </c>
      <c r="I5" s="1"/>
      <c r="J5" s="1"/>
      <c r="K5">
        <v>10</v>
      </c>
      <c r="L5">
        <v>0.02</v>
      </c>
      <c r="M5" s="1">
        <f>'Count-&gt;Actual Activity'!F27</f>
        <v>-4.9863554343643806</v>
      </c>
      <c r="N5" s="1">
        <f>'Count-&gt;Actual Activity'!G27</f>
        <v>74.035276446395159</v>
      </c>
      <c r="O5" s="1"/>
      <c r="P5" s="1"/>
      <c r="Q5">
        <f t="shared" si="0"/>
        <v>0</v>
      </c>
      <c r="R5" t="e">
        <f t="shared" si="1"/>
        <v>#DIV/0!</v>
      </c>
      <c r="S5" t="e">
        <f t="shared" si="2"/>
        <v>#DIV/0!</v>
      </c>
      <c r="T5" t="e">
        <f t="shared" si="3"/>
        <v>#DIV/0!</v>
      </c>
      <c r="U5">
        <f>Parameters!$B$6*'Bottle Results'!B5</f>
        <v>5.0016578689035844</v>
      </c>
      <c r="V5">
        <f>SQRT((C5/B5)^2+(Parameters!$C$6/Parameters!$B$6))</f>
        <v>0.12955361650158395</v>
      </c>
      <c r="W5">
        <f t="shared" si="4"/>
        <v>0</v>
      </c>
      <c r="X5">
        <v>2.3297915790452959E-2</v>
      </c>
      <c r="Y5">
        <f t="shared" si="5"/>
        <v>166.72192896345283</v>
      </c>
      <c r="AA5" t="s">
        <v>132</v>
      </c>
      <c r="AB5">
        <f t="shared" si="6"/>
        <v>1</v>
      </c>
    </row>
    <row r="6" spans="1:28" x14ac:dyDescent="0.25">
      <c r="A6" s="20" t="s">
        <v>100</v>
      </c>
      <c r="B6">
        <v>7.92E-3</v>
      </c>
      <c r="C6">
        <v>1E-3</v>
      </c>
      <c r="D6">
        <v>8.9</v>
      </c>
      <c r="E6" s="1">
        <v>0.03</v>
      </c>
      <c r="F6" s="21">
        <v>9.0000000000000006E-5</v>
      </c>
      <c r="G6" s="1">
        <v>100</v>
      </c>
      <c r="H6" s="1">
        <v>5</v>
      </c>
      <c r="I6" s="1"/>
      <c r="J6" s="1"/>
      <c r="K6">
        <v>10</v>
      </c>
      <c r="L6">
        <v>0.02</v>
      </c>
      <c r="M6" s="1">
        <f>'Count-&gt;Actual Activity'!F28</f>
        <v>-4.9863554343643806</v>
      </c>
      <c r="N6" s="1">
        <f>'Count-&gt;Actual Activity'!G28</f>
        <v>74.035276446395159</v>
      </c>
      <c r="O6" s="1"/>
      <c r="P6" s="1"/>
      <c r="Q6">
        <f t="shared" si="0"/>
        <v>0</v>
      </c>
      <c r="R6" t="e">
        <f t="shared" si="1"/>
        <v>#DIV/0!</v>
      </c>
      <c r="S6" t="e">
        <f t="shared" si="2"/>
        <v>#DIV/0!</v>
      </c>
      <c r="T6" t="e">
        <f t="shared" si="3"/>
        <v>#DIV/0!</v>
      </c>
      <c r="U6">
        <f>Parameters!$B$6*'Bottle Results'!B6</f>
        <v>5.0016578689035844</v>
      </c>
      <c r="V6">
        <f>SQRT((C6/B6)^2+(Parameters!$C$6/Parameters!$B$6))</f>
        <v>0.12955361650158395</v>
      </c>
      <c r="W6">
        <f t="shared" si="4"/>
        <v>0</v>
      </c>
      <c r="X6">
        <v>2.3297919300009583E-2</v>
      </c>
      <c r="Y6">
        <f t="shared" si="5"/>
        <v>166.72192896345283</v>
      </c>
      <c r="AA6" t="s">
        <v>132</v>
      </c>
      <c r="AB6">
        <f t="shared" si="6"/>
        <v>1</v>
      </c>
    </row>
    <row r="7" spans="1:28" x14ac:dyDescent="0.25">
      <c r="A7" s="20" t="s">
        <v>101</v>
      </c>
      <c r="B7">
        <v>7.92E-3</v>
      </c>
      <c r="C7">
        <v>1E-3</v>
      </c>
      <c r="D7">
        <v>8.93</v>
      </c>
      <c r="E7" s="1">
        <v>0.03</v>
      </c>
      <c r="F7" s="21">
        <v>9.0000000000000006E-5</v>
      </c>
      <c r="G7" s="1">
        <v>100</v>
      </c>
      <c r="H7" s="1">
        <v>5</v>
      </c>
      <c r="I7" s="1"/>
      <c r="J7" s="1"/>
      <c r="K7">
        <v>10</v>
      </c>
      <c r="L7">
        <v>0.02</v>
      </c>
      <c r="M7" s="1">
        <f>'Count-&gt;Actual Activity'!F29</f>
        <v>-4.9863554343643806</v>
      </c>
      <c r="N7" s="1">
        <f>'Count-&gt;Actual Activity'!G29</f>
        <v>74.035276446395159</v>
      </c>
      <c r="O7" s="1"/>
      <c r="P7" s="1"/>
      <c r="Q7">
        <f t="shared" si="0"/>
        <v>0</v>
      </c>
      <c r="R7" t="e">
        <f t="shared" si="1"/>
        <v>#DIV/0!</v>
      </c>
      <c r="S7" t="e">
        <f t="shared" si="2"/>
        <v>#DIV/0!</v>
      </c>
      <c r="T7" t="e">
        <f t="shared" si="3"/>
        <v>#DIV/0!</v>
      </c>
      <c r="U7">
        <f>Parameters!$B$6*'Bottle Results'!B7</f>
        <v>5.0016578689035844</v>
      </c>
      <c r="V7">
        <f>SQRT((C7/B7)^2+(Parameters!$C$6/Parameters!$B$6))</f>
        <v>0.12955361650158395</v>
      </c>
      <c r="W7">
        <f t="shared" si="4"/>
        <v>0</v>
      </c>
      <c r="X7">
        <v>2.3297912696774961E-2</v>
      </c>
      <c r="Y7">
        <f t="shared" si="5"/>
        <v>166.72192896345283</v>
      </c>
      <c r="AA7" t="s">
        <v>132</v>
      </c>
      <c r="AB7">
        <f t="shared" si="6"/>
        <v>1</v>
      </c>
    </row>
    <row r="8" spans="1:28" s="33" customFormat="1" ht="15.75" customHeight="1" x14ac:dyDescent="0.25">
      <c r="A8" s="32" t="s">
        <v>102</v>
      </c>
      <c r="B8" s="33">
        <v>1.5800000000000002E-2</v>
      </c>
      <c r="C8" s="33">
        <v>1E-3</v>
      </c>
      <c r="D8" s="33">
        <v>8.92</v>
      </c>
      <c r="E8" s="34">
        <v>0.03</v>
      </c>
      <c r="F8" s="35">
        <v>9.0000000000000006E-5</v>
      </c>
      <c r="G8" s="34">
        <v>100</v>
      </c>
      <c r="H8" s="34">
        <v>5</v>
      </c>
      <c r="I8" s="34">
        <f>'Count-&gt;Actual Activity'!F8</f>
        <v>0.24500360618368641</v>
      </c>
      <c r="J8" s="34">
        <f>'Count-&gt;Actual Activity'!G8</f>
        <v>0.23940063083015847</v>
      </c>
      <c r="K8" s="33">
        <v>10</v>
      </c>
      <c r="L8" s="33">
        <v>0.02</v>
      </c>
      <c r="M8" s="34">
        <f>'Count-&gt;Actual Activity'!F30</f>
        <v>7.1880876490627115</v>
      </c>
      <c r="N8" s="34">
        <f>'Count-&gt;Actual Activity'!G30</f>
        <v>103.2811274942794</v>
      </c>
      <c r="O8" s="33">
        <v>0.03</v>
      </c>
      <c r="P8" s="33">
        <v>9.0000000000000006E-5</v>
      </c>
      <c r="Q8" s="33">
        <f t="shared" si="0"/>
        <v>2.450036061836864E-2</v>
      </c>
      <c r="R8" s="33">
        <f t="shared" si="1"/>
        <v>2.3940113230506238E-2</v>
      </c>
      <c r="S8" s="33">
        <f t="shared" si="2"/>
        <v>239.60292163542371</v>
      </c>
      <c r="T8" s="33">
        <f t="shared" si="3"/>
        <v>3442.7292632931913</v>
      </c>
      <c r="U8" s="33">
        <f>Parameters!$B$6*'Bottle Results'!B8</f>
        <v>9.9780548394793733</v>
      </c>
      <c r="V8" s="33">
        <f>SQRT((C8/B8)^2+(Parameters!$C$6/Parameters!$B$6))</f>
        <v>6.9625118055662974E-2</v>
      </c>
      <c r="W8" s="33">
        <f t="shared" si="4"/>
        <v>2.450036061836864E-2</v>
      </c>
      <c r="X8" s="33">
        <v>2.3297913974600508E-2</v>
      </c>
      <c r="Y8" s="33">
        <f>S8</f>
        <v>239.60292163542371</v>
      </c>
      <c r="AA8" s="33">
        <f>(Q8*G8+S8*O8-U8)/U8</f>
        <v>-3.4067875357311032E-2</v>
      </c>
      <c r="AB8" s="33">
        <f t="shared" si="6"/>
        <v>0.72038967160434708</v>
      </c>
    </row>
    <row r="9" spans="1:28" s="33" customFormat="1" x14ac:dyDescent="0.25">
      <c r="A9" s="32" t="s">
        <v>103</v>
      </c>
      <c r="B9" s="33">
        <v>1.5800000000000002E-2</v>
      </c>
      <c r="C9" s="33">
        <v>1E-3</v>
      </c>
      <c r="D9" s="33">
        <v>8.9</v>
      </c>
      <c r="E9" s="34">
        <v>0.03</v>
      </c>
      <c r="F9" s="35">
        <v>9.0000000000000006E-5</v>
      </c>
      <c r="G9" s="34">
        <v>100</v>
      </c>
      <c r="H9" s="34">
        <v>5</v>
      </c>
      <c r="I9" s="34">
        <f>'Count-&gt;Actual Activity'!F9</f>
        <v>0.25181484983898222</v>
      </c>
      <c r="J9" s="34">
        <f>'Count-&gt;Actual Activity'!G9</f>
        <v>0.23940034126518156</v>
      </c>
      <c r="K9" s="33">
        <v>10</v>
      </c>
      <c r="L9" s="33">
        <v>0.02</v>
      </c>
      <c r="M9" s="34">
        <f>'Count-&gt;Actual Activity'!F31</f>
        <v>7.1880876490627115</v>
      </c>
      <c r="N9" s="34">
        <f>'Count-&gt;Actual Activity'!G31</f>
        <v>103.2811274942794</v>
      </c>
      <c r="O9" s="33">
        <v>0.03</v>
      </c>
      <c r="P9" s="33">
        <v>9.0000000000000006E-5</v>
      </c>
      <c r="Q9" s="33">
        <f t="shared" si="0"/>
        <v>2.5181484983898224E-2</v>
      </c>
      <c r="R9" s="33">
        <f t="shared" si="1"/>
        <v>2.3940087101086287E-2</v>
      </c>
      <c r="S9" s="33">
        <f t="shared" si="2"/>
        <v>239.60292163542371</v>
      </c>
      <c r="T9" s="33">
        <f t="shared" si="3"/>
        <v>3442.7292632931913</v>
      </c>
      <c r="U9" s="33">
        <f>Parameters!$B$6*'Bottle Results'!B9</f>
        <v>9.9780548394793733</v>
      </c>
      <c r="V9" s="33">
        <f>SQRT((C9/B9)^2+(Parameters!$C$6/Parameters!$B$6))</f>
        <v>6.9625118055662974E-2</v>
      </c>
      <c r="W9" s="33">
        <f t="shared" si="4"/>
        <v>2.5181484983898224E-2</v>
      </c>
      <c r="X9" s="33">
        <v>2.3297916895026565E-2</v>
      </c>
      <c r="Y9" s="33">
        <f>S9</f>
        <v>239.60292163542371</v>
      </c>
      <c r="AA9" s="33">
        <f>(Q9*G9+S9*O9-U9)/U9</f>
        <v>-2.7241651444062598E-2</v>
      </c>
      <c r="AB9" s="33">
        <f t="shared" si="6"/>
        <v>0.72038967160434708</v>
      </c>
    </row>
    <row r="10" spans="1:28" s="33" customFormat="1" x14ac:dyDescent="0.25">
      <c r="A10" s="32" t="s">
        <v>104</v>
      </c>
      <c r="B10" s="33">
        <v>1.5800000000000002E-2</v>
      </c>
      <c r="C10" s="33">
        <v>1E-3</v>
      </c>
      <c r="D10" s="33">
        <v>8.9</v>
      </c>
      <c r="E10" s="34">
        <v>0.03</v>
      </c>
      <c r="F10" s="35">
        <v>9.0000000000000006E-5</v>
      </c>
      <c r="G10" s="34">
        <v>100</v>
      </c>
      <c r="H10" s="34">
        <v>5</v>
      </c>
      <c r="I10" s="34">
        <f>'Count-&gt;Actual Activity'!F10</f>
        <v>0.25789631738835417</v>
      </c>
      <c r="J10" s="34">
        <f>'Count-&gt;Actual Activity'!G10</f>
        <v>0.23940008273031926</v>
      </c>
      <c r="K10" s="33">
        <v>10</v>
      </c>
      <c r="L10" s="33">
        <v>0.02</v>
      </c>
      <c r="M10" s="34">
        <f>'Count-&gt;Actual Activity'!F32</f>
        <v>6.4271849563485182</v>
      </c>
      <c r="N10" s="34">
        <f>'Count-&gt;Actual Activity'!G32</f>
        <v>92.234451910874</v>
      </c>
      <c r="O10" s="33">
        <v>0.03</v>
      </c>
      <c r="P10" s="33">
        <v>9.0000000000000006E-5</v>
      </c>
      <c r="Q10" s="33">
        <f t="shared" si="0"/>
        <v>2.5789631738835417E-2</v>
      </c>
      <c r="R10" s="33">
        <f t="shared" si="1"/>
        <v>2.3940063837284521E-2</v>
      </c>
      <c r="S10" s="33">
        <f t="shared" si="2"/>
        <v>214.23949854495061</v>
      </c>
      <c r="T10" s="33">
        <f t="shared" si="3"/>
        <v>3074.5041235979497</v>
      </c>
      <c r="U10" s="33">
        <f>Parameters!$B$6*'Bottle Results'!B10</f>
        <v>9.9780548394793733</v>
      </c>
      <c r="V10" s="33">
        <f>SQRT((C10/B10)^2+(Parameters!$C$6/Parameters!$B$6))</f>
        <v>6.9625118055662974E-2</v>
      </c>
      <c r="W10" s="33">
        <f t="shared" si="4"/>
        <v>2.5789631738835417E-2</v>
      </c>
      <c r="X10" s="33">
        <v>2.3297919570431896E-2</v>
      </c>
      <c r="Y10" s="33">
        <f>S10</f>
        <v>214.23949854495061</v>
      </c>
      <c r="AA10" s="33">
        <f>(Q10*G10+S10*O10-U10)/U10</f>
        <v>-9.7404426502232494E-2</v>
      </c>
      <c r="AB10" s="33">
        <f t="shared" si="6"/>
        <v>0.64413205376649052</v>
      </c>
    </row>
    <row r="11" spans="1:28" x14ac:dyDescent="0.25">
      <c r="A11" s="20" t="s">
        <v>105</v>
      </c>
      <c r="B11">
        <v>7.9100000000000004E-2</v>
      </c>
      <c r="C11">
        <v>2E-3</v>
      </c>
      <c r="D11">
        <v>8.94</v>
      </c>
      <c r="E11" s="1">
        <v>0.03</v>
      </c>
      <c r="F11" s="21">
        <v>9.0000000000000006E-5</v>
      </c>
      <c r="G11" s="1">
        <v>100</v>
      </c>
      <c r="H11" s="1">
        <v>5</v>
      </c>
      <c r="I11" s="1"/>
      <c r="J11" s="1"/>
      <c r="K11">
        <v>10</v>
      </c>
      <c r="L11">
        <v>0.02</v>
      </c>
      <c r="M11" s="1">
        <f>'Count-&gt;Actual Activity'!F33</f>
        <v>-4.9863554343643806</v>
      </c>
      <c r="N11" s="1">
        <f>'Count-&gt;Actual Activity'!G33</f>
        <v>74.035276446395159</v>
      </c>
      <c r="O11" s="1"/>
      <c r="P11" s="1"/>
      <c r="Q11">
        <f t="shared" si="0"/>
        <v>0</v>
      </c>
      <c r="R11" t="e">
        <f t="shared" si="1"/>
        <v>#DIV/0!</v>
      </c>
      <c r="S11" t="e">
        <f t="shared" si="2"/>
        <v>#DIV/0!</v>
      </c>
      <c r="T11" t="e">
        <f t="shared" si="3"/>
        <v>#DIV/0!</v>
      </c>
      <c r="U11">
        <f>Parameters!$B$6*'Bottle Results'!B11</f>
        <v>49.953426443216358</v>
      </c>
      <c r="V11">
        <f>SQRT((C11/B11)^2+(Parameters!$C$6/Parameters!$B$6))</f>
        <v>3.8486259533798084E-2</v>
      </c>
      <c r="W11">
        <f t="shared" si="4"/>
        <v>0</v>
      </c>
      <c r="X11">
        <v>2.3297919246001962E-2</v>
      </c>
      <c r="Y11">
        <f t="shared" si="5"/>
        <v>1665.1142147738788</v>
      </c>
      <c r="AA11" s="38" t="s">
        <v>132</v>
      </c>
      <c r="AB11">
        <f t="shared" si="6"/>
        <v>1</v>
      </c>
    </row>
    <row r="12" spans="1:28" x14ac:dyDescent="0.25">
      <c r="A12" s="20" t="s">
        <v>106</v>
      </c>
      <c r="B12">
        <v>7.9100000000000004E-2</v>
      </c>
      <c r="C12">
        <v>2E-3</v>
      </c>
      <c r="D12">
        <v>8.89</v>
      </c>
      <c r="E12" s="1">
        <v>0.03</v>
      </c>
      <c r="F12" s="21">
        <v>9.0000000000000006E-5</v>
      </c>
      <c r="G12" s="1">
        <v>100</v>
      </c>
      <c r="H12" s="1">
        <v>5</v>
      </c>
      <c r="I12" s="1"/>
      <c r="J12" s="1"/>
      <c r="K12">
        <v>10</v>
      </c>
      <c r="L12">
        <v>0.02</v>
      </c>
      <c r="M12" s="1">
        <f>'Count-&gt;Actual Activity'!F34</f>
        <v>-4.9863554343643806</v>
      </c>
      <c r="N12" s="1">
        <f>'Count-&gt;Actual Activity'!G34</f>
        <v>74.035276446395159</v>
      </c>
      <c r="O12" s="1"/>
      <c r="P12" s="1"/>
      <c r="Q12">
        <f t="shared" si="0"/>
        <v>0</v>
      </c>
      <c r="R12" t="e">
        <f t="shared" si="1"/>
        <v>#DIV/0!</v>
      </c>
      <c r="S12" t="e">
        <f t="shared" si="2"/>
        <v>#DIV/0!</v>
      </c>
      <c r="T12" t="e">
        <f t="shared" si="3"/>
        <v>#DIV/0!</v>
      </c>
      <c r="U12">
        <f>Parameters!$B$6*'Bottle Results'!B12</f>
        <v>49.953426443216358</v>
      </c>
      <c r="V12">
        <f>SQRT((C12/B12)^2+(Parameters!$C$6/Parameters!$B$6))</f>
        <v>3.8486259533798084E-2</v>
      </c>
      <c r="W12">
        <f t="shared" si="4"/>
        <v>0</v>
      </c>
      <c r="X12">
        <v>2.3297917690924E-2</v>
      </c>
      <c r="Y12">
        <f t="shared" si="5"/>
        <v>1665.1142147738788</v>
      </c>
      <c r="AA12" s="38" t="s">
        <v>132</v>
      </c>
      <c r="AB12">
        <f t="shared" si="6"/>
        <v>1</v>
      </c>
    </row>
    <row r="13" spans="1:28" x14ac:dyDescent="0.25">
      <c r="A13" s="20" t="s">
        <v>107</v>
      </c>
      <c r="B13">
        <v>7.9100000000000004E-2</v>
      </c>
      <c r="C13">
        <v>2E-3</v>
      </c>
      <c r="D13">
        <v>8.92</v>
      </c>
      <c r="E13" s="1">
        <v>0.03</v>
      </c>
      <c r="F13" s="21">
        <v>9.0000000000000006E-5</v>
      </c>
      <c r="G13" s="1">
        <v>100</v>
      </c>
      <c r="H13" s="1">
        <v>5</v>
      </c>
      <c r="I13" s="1"/>
      <c r="J13" s="1"/>
      <c r="K13">
        <v>10</v>
      </c>
      <c r="L13">
        <v>0.02</v>
      </c>
      <c r="M13" s="1">
        <f>'Count-&gt;Actual Activity'!F35</f>
        <v>-4.9863554343643806</v>
      </c>
      <c r="N13" s="1">
        <f>'Count-&gt;Actual Activity'!G35</f>
        <v>74.035276446395159</v>
      </c>
      <c r="O13" s="1"/>
      <c r="P13" s="1"/>
      <c r="Q13">
        <f t="shared" si="0"/>
        <v>0</v>
      </c>
      <c r="R13" t="e">
        <f t="shared" si="1"/>
        <v>#DIV/0!</v>
      </c>
      <c r="S13" t="e">
        <f t="shared" si="2"/>
        <v>#DIV/0!</v>
      </c>
      <c r="T13" t="e">
        <f t="shared" si="3"/>
        <v>#DIV/0!</v>
      </c>
      <c r="U13">
        <f>Parameters!$B$6*'Bottle Results'!B13</f>
        <v>49.953426443216358</v>
      </c>
      <c r="V13">
        <f>SQRT((C13/B13)^2+(Parameters!$C$6/Parameters!$B$6))</f>
        <v>3.8486259533798084E-2</v>
      </c>
      <c r="W13">
        <f t="shared" si="4"/>
        <v>0</v>
      </c>
      <c r="X13">
        <v>2.3297920113197729E-2</v>
      </c>
      <c r="Y13">
        <f t="shared" si="5"/>
        <v>1665.1142147738788</v>
      </c>
      <c r="AA13" s="38" t="s">
        <v>132</v>
      </c>
      <c r="AB13">
        <f t="shared" si="6"/>
        <v>1</v>
      </c>
    </row>
    <row r="14" spans="1:28" s="33" customFormat="1" x14ac:dyDescent="0.25">
      <c r="A14" s="32" t="s">
        <v>108</v>
      </c>
      <c r="B14" s="33">
        <v>0.158</v>
      </c>
      <c r="C14" s="33">
        <v>2E-3</v>
      </c>
      <c r="D14" s="33">
        <v>8.81</v>
      </c>
      <c r="E14" s="34">
        <v>0.03</v>
      </c>
      <c r="F14" s="35">
        <v>9.0000000000000006E-5</v>
      </c>
      <c r="G14" s="34">
        <v>100</v>
      </c>
      <c r="H14" s="34">
        <v>5</v>
      </c>
      <c r="I14" s="34">
        <f>'Count-&gt;Actual Activity'!F14</f>
        <v>0.27151880469894579</v>
      </c>
      <c r="J14" s="34">
        <f>'Count-&gt;Actual Activity'!G14</f>
        <v>0.23939950363035681</v>
      </c>
      <c r="K14" s="33">
        <v>10</v>
      </c>
      <c r="L14" s="33">
        <v>0.02</v>
      </c>
      <c r="M14" s="34">
        <f>'Count-&gt;Actual Activity'!F36</f>
        <v>78.712940764196873</v>
      </c>
      <c r="N14" s="34">
        <f>'Count-&gt;Actual Activity'!G36</f>
        <v>1143.0368988343</v>
      </c>
      <c r="O14" s="34">
        <v>0.03</v>
      </c>
      <c r="P14" s="34"/>
      <c r="Q14" s="33">
        <f t="shared" si="0"/>
        <v>2.7151880469894578E-2</v>
      </c>
      <c r="R14" s="33">
        <f t="shared" si="1"/>
        <v>2.394001195244197E-2</v>
      </c>
      <c r="S14" s="33">
        <f t="shared" si="2"/>
        <v>2623.7646921398959</v>
      </c>
      <c r="T14" s="33">
        <f t="shared" si="3"/>
        <v>38101.229961143334</v>
      </c>
      <c r="U14" s="33">
        <f>Parameters!$B$6*'Bottle Results'!B14</f>
        <v>99.780548394793726</v>
      </c>
      <c r="V14" s="33">
        <f>SQRT((C14/B14)^2+(Parameters!$C$6/Parameters!$B$6))</f>
        <v>3.165627094523759E-2</v>
      </c>
      <c r="W14" s="33">
        <f>(U14-S14*O14)/G14</f>
        <v>0.21067607630596855</v>
      </c>
      <c r="X14" s="33">
        <v>2.3297925795726985E-2</v>
      </c>
      <c r="Y14" s="33">
        <f t="shared" si="5"/>
        <v>3235.512011593476</v>
      </c>
      <c r="AA14" s="33">
        <f>(Q14*G14+S14*O14-U14)/U14</f>
        <v>-0.18392782840793626</v>
      </c>
      <c r="AB14" s="33">
        <f t="shared" si="6"/>
        <v>0.97278840324422267</v>
      </c>
    </row>
    <row r="15" spans="1:28" s="33" customFormat="1" x14ac:dyDescent="0.25">
      <c r="A15" s="32" t="s">
        <v>109</v>
      </c>
      <c r="B15" s="33">
        <v>0.158</v>
      </c>
      <c r="C15" s="33">
        <v>2E-3</v>
      </c>
      <c r="D15" s="33">
        <v>8.8699999999999992</v>
      </c>
      <c r="E15" s="34">
        <v>0.03</v>
      </c>
      <c r="F15" s="35">
        <v>9.0000000000000006E-5</v>
      </c>
      <c r="G15" s="34">
        <v>100</v>
      </c>
      <c r="H15" s="34">
        <v>5</v>
      </c>
      <c r="I15" s="34"/>
      <c r="J15" s="34"/>
      <c r="K15" s="33">
        <v>10</v>
      </c>
      <c r="L15" s="33">
        <v>0.02</v>
      </c>
      <c r="M15" s="34">
        <f>'Count-&gt;Actual Activity'!F37</f>
        <v>78.712940764196873</v>
      </c>
      <c r="N15" s="34">
        <f>'Count-&gt;Actual Activity'!G37</f>
        <v>1143.0368988343</v>
      </c>
      <c r="O15" s="34">
        <v>0.03</v>
      </c>
      <c r="P15" s="34"/>
      <c r="Q15" s="33">
        <f t="shared" si="0"/>
        <v>0</v>
      </c>
      <c r="R15" s="33" t="e">
        <f t="shared" si="1"/>
        <v>#DIV/0!</v>
      </c>
      <c r="S15" s="33">
        <f t="shared" si="2"/>
        <v>2623.7646921398959</v>
      </c>
      <c r="T15" s="33">
        <f t="shared" si="3"/>
        <v>38101.229961143334</v>
      </c>
      <c r="U15" s="33">
        <f>Parameters!$B$6*'Bottle Results'!B15</f>
        <v>99.780548394793726</v>
      </c>
      <c r="V15" s="33">
        <f>SQRT((C15/B15)^2+(Parameters!$C$6/Parameters!$B$6))</f>
        <v>3.165627094523759E-2</v>
      </c>
      <c r="W15" s="33">
        <f>(U15-S15*O15)/G15</f>
        <v>0.21067607630596855</v>
      </c>
      <c r="X15" s="33">
        <v>2.329792734453592E-2</v>
      </c>
      <c r="Y15" s="33">
        <f t="shared" si="5"/>
        <v>3326.0182798264577</v>
      </c>
      <c r="AA15" s="33">
        <f>(Q15*G15+S15*O15-U15)/U15</f>
        <v>-0.21113942516371362</v>
      </c>
      <c r="AB15" s="33">
        <f t="shared" si="6"/>
        <v>1</v>
      </c>
    </row>
    <row r="16" spans="1:28" x14ac:dyDescent="0.25">
      <c r="A16" s="20" t="s">
        <v>110</v>
      </c>
      <c r="B16">
        <v>0.158</v>
      </c>
      <c r="C16">
        <v>2E-3</v>
      </c>
      <c r="D16">
        <v>8.91</v>
      </c>
      <c r="E16" s="1">
        <v>0.03</v>
      </c>
      <c r="F16" s="21">
        <v>9.0000000000000006E-5</v>
      </c>
      <c r="G16" s="1">
        <v>100</v>
      </c>
      <c r="H16" s="1">
        <v>5</v>
      </c>
      <c r="I16" s="1"/>
      <c r="J16" s="1"/>
      <c r="K16">
        <v>10</v>
      </c>
      <c r="L16">
        <v>0.02</v>
      </c>
      <c r="M16" s="1">
        <f>'Count-&gt;Actual Activity'!F38</f>
        <v>-4.9863554343643806</v>
      </c>
      <c r="N16" s="1">
        <f>'Count-&gt;Actual Activity'!G38</f>
        <v>74.035276446395159</v>
      </c>
      <c r="O16" s="1"/>
      <c r="P16" s="1"/>
      <c r="Q16">
        <f t="shared" si="0"/>
        <v>0</v>
      </c>
      <c r="R16" t="e">
        <f t="shared" si="1"/>
        <v>#DIV/0!</v>
      </c>
      <c r="S16" t="e">
        <f t="shared" si="2"/>
        <v>#DIV/0!</v>
      </c>
      <c r="T16" t="e">
        <f t="shared" si="3"/>
        <v>#DIV/0!</v>
      </c>
      <c r="U16">
        <f>Parameters!$B$6*'Bottle Results'!B16</f>
        <v>99.780548394793726</v>
      </c>
      <c r="V16">
        <f>SQRT((C16/B16)^2+(Parameters!$C$6/Parameters!$B$6))</f>
        <v>3.165627094523759E-2</v>
      </c>
      <c r="W16">
        <f t="shared" si="4"/>
        <v>0</v>
      </c>
      <c r="X16">
        <v>2.3297930026256426E-2</v>
      </c>
      <c r="Y16">
        <f t="shared" si="5"/>
        <v>3326.0182798264577</v>
      </c>
      <c r="AA16" t="s">
        <v>132</v>
      </c>
      <c r="AB16">
        <f t="shared" si="6"/>
        <v>1</v>
      </c>
    </row>
    <row r="17" spans="1:28" s="33" customFormat="1" x14ac:dyDescent="0.25">
      <c r="A17" s="32" t="s">
        <v>111</v>
      </c>
      <c r="B17" s="33">
        <v>0.79200000000000004</v>
      </c>
      <c r="C17" s="33">
        <v>2E-3</v>
      </c>
      <c r="D17" s="33">
        <v>8.9</v>
      </c>
      <c r="E17" s="34">
        <v>0.03</v>
      </c>
      <c r="F17" s="35">
        <v>9.0000000000000006E-5</v>
      </c>
      <c r="G17" s="34">
        <v>100</v>
      </c>
      <c r="H17" s="34">
        <v>5</v>
      </c>
      <c r="I17" s="34">
        <f>'Count-&gt;Actual Activity'!F17</f>
        <v>0.66243553877254491</v>
      </c>
      <c r="J17" s="34">
        <f>'Count-&gt;Actual Activity'!G17</f>
        <v>0.23938289621143691</v>
      </c>
      <c r="K17" s="33">
        <v>10</v>
      </c>
      <c r="L17" s="33">
        <v>0.02</v>
      </c>
      <c r="M17" s="34">
        <f>'Count-&gt;Actual Activity'!F39</f>
        <v>398.29207170415805</v>
      </c>
      <c r="N17" s="34">
        <f>'Count-&gt;Actual Activity'!G39</f>
        <v>5789.281144766288</v>
      </c>
      <c r="O17" s="33">
        <v>0.03</v>
      </c>
      <c r="P17" s="33">
        <v>9.0000000000000006E-5</v>
      </c>
      <c r="Q17" s="33">
        <f t="shared" si="0"/>
        <v>6.6243553877254488E-2</v>
      </c>
      <c r="R17" s="33">
        <f t="shared" si="1"/>
        <v>2.3938656245066824E-2</v>
      </c>
      <c r="S17" s="33">
        <f t="shared" si="2"/>
        <v>13276.402390138603</v>
      </c>
      <c r="T17" s="33">
        <f t="shared" si="3"/>
        <v>192977.4082427198</v>
      </c>
      <c r="U17" s="33">
        <f>Parameters!$B$6*'Bottle Results'!B17</f>
        <v>500.16578689035845</v>
      </c>
      <c r="V17" s="33">
        <f>SQRT((C17/B17)^2+(Parameters!$C$6/Parameters!$B$6))</f>
        <v>2.9125000570302848E-2</v>
      </c>
      <c r="W17" s="33">
        <f t="shared" si="4"/>
        <v>6.6243553877254488E-2</v>
      </c>
      <c r="X17" s="33">
        <v>2.3298241351735846E-2</v>
      </c>
      <c r="Y17" s="33">
        <f>S17</f>
        <v>13276.402390138603</v>
      </c>
      <c r="Z17" s="33">
        <v>750.18565608355891</v>
      </c>
      <c r="AA17" s="33">
        <f>(Q17*G17+S17*O17-U17)/U17</f>
        <v>-0.19043557615298182</v>
      </c>
      <c r="AB17" s="33">
        <f t="shared" si="6"/>
        <v>0.79632010454059265</v>
      </c>
    </row>
    <row r="18" spans="1:28" s="33" customFormat="1" x14ac:dyDescent="0.25">
      <c r="A18" s="32" t="s">
        <v>112</v>
      </c>
      <c r="B18" s="33">
        <v>0.79200000000000004</v>
      </c>
      <c r="C18" s="33">
        <v>2E-3</v>
      </c>
      <c r="D18" s="33">
        <v>8.9</v>
      </c>
      <c r="E18" s="34">
        <v>0.03</v>
      </c>
      <c r="F18" s="35">
        <v>9.0000000000000006E-5</v>
      </c>
      <c r="G18" s="34">
        <v>100</v>
      </c>
      <c r="H18" s="34">
        <v>5</v>
      </c>
      <c r="I18" s="34">
        <f>'Count-&gt;Actual Activity'!F18</f>
        <v>0.55199608807595779</v>
      </c>
      <c r="J18" s="34">
        <f>'Count-&gt;Actual Activity'!G18</f>
        <v>0.23938758594741139</v>
      </c>
      <c r="K18" s="33">
        <v>10</v>
      </c>
      <c r="L18" s="33">
        <v>0.02</v>
      </c>
      <c r="M18" s="34">
        <f>'Count-&gt;Actual Activity'!F40</f>
        <v>367.85596399559029</v>
      </c>
      <c r="N18" s="34">
        <f>'Count-&gt;Actual Activity'!G40</f>
        <v>5346.7809764687972</v>
      </c>
      <c r="O18" s="33">
        <v>0.03</v>
      </c>
      <c r="P18" s="33">
        <v>9.0000000000000006E-5</v>
      </c>
      <c r="Q18" s="33">
        <f t="shared" si="0"/>
        <v>5.5199608807595779E-2</v>
      </c>
      <c r="R18" s="33">
        <f t="shared" si="1"/>
        <v>2.3939013159371102E-2</v>
      </c>
      <c r="S18" s="33">
        <f t="shared" si="2"/>
        <v>12261.865466519677</v>
      </c>
      <c r="T18" s="33">
        <f t="shared" si="3"/>
        <v>178227.29796015276</v>
      </c>
      <c r="U18" s="33">
        <f>Parameters!$B$6*'Bottle Results'!B18</f>
        <v>500.16578689035845</v>
      </c>
      <c r="V18" s="33">
        <f>SQRT((C18/B18)^2+(Parameters!$C$6/Parameters!$B$6))</f>
        <v>2.9125000570302848E-2</v>
      </c>
      <c r="W18" s="33">
        <f t="shared" si="4"/>
        <v>5.5199608807595779E-2</v>
      </c>
      <c r="X18" s="33">
        <v>2.3298125385430756E-2</v>
      </c>
      <c r="Y18" s="33">
        <f>S18</f>
        <v>12261.865466519677</v>
      </c>
      <c r="Z18" s="33">
        <v>696.13408835057783</v>
      </c>
      <c r="AA18" s="33">
        <f>(Q18*G18+S18*O18-U18)/U18</f>
        <v>-0.25349567150981928</v>
      </c>
      <c r="AB18" s="33">
        <f t="shared" si="6"/>
        <v>0.73546806606391923</v>
      </c>
    </row>
    <row r="19" spans="1:28" s="33" customFormat="1" x14ac:dyDescent="0.25">
      <c r="A19" s="32" t="s">
        <v>113</v>
      </c>
      <c r="B19" s="33">
        <v>0.79200000000000004</v>
      </c>
      <c r="C19" s="33">
        <v>2E-3</v>
      </c>
      <c r="D19" s="33">
        <v>8.94</v>
      </c>
      <c r="E19" s="34">
        <v>0.03</v>
      </c>
      <c r="F19" s="35">
        <v>9.0000000000000006E-5</v>
      </c>
      <c r="G19" s="34">
        <v>100</v>
      </c>
      <c r="H19" s="34">
        <v>5</v>
      </c>
      <c r="I19" s="34">
        <f>'Count-&gt;Actual Activity'!F19</f>
        <v>0.54895535430127174</v>
      </c>
      <c r="J19" s="34">
        <f>'Count-&gt;Actual Activity'!G19</f>
        <v>0.23938771509340789</v>
      </c>
      <c r="K19" s="33">
        <v>10</v>
      </c>
      <c r="L19" s="33">
        <v>0.02</v>
      </c>
      <c r="M19" s="34">
        <f>'Count-&gt;Actual Activity'!F41</f>
        <v>413.51012555844193</v>
      </c>
      <c r="N19" s="34">
        <f>'Count-&gt;Actual Activity'!G41</f>
        <v>6010.5312396693034</v>
      </c>
      <c r="O19" s="33">
        <v>0.03</v>
      </c>
      <c r="P19" s="33">
        <v>9.0000000000000006E-5</v>
      </c>
      <c r="Q19" s="33">
        <f t="shared" si="0"/>
        <v>5.4895535430127172E-2</v>
      </c>
      <c r="R19" s="33">
        <f t="shared" si="1"/>
        <v>2.3939023276977424E-2</v>
      </c>
      <c r="S19" s="33">
        <f t="shared" si="2"/>
        <v>13783.670851948065</v>
      </c>
      <c r="T19" s="33">
        <f t="shared" si="3"/>
        <v>200352.4637424768</v>
      </c>
      <c r="U19" s="33">
        <f>Parameters!$B$6*'Bottle Results'!B19</f>
        <v>500.16578689035845</v>
      </c>
      <c r="V19" s="33">
        <f>SQRT((C19/B19)^2+(Parameters!$C$6/Parameters!$B$6))</f>
        <v>2.9125000570302848E-2</v>
      </c>
      <c r="W19" s="33">
        <f t="shared" si="4"/>
        <v>5.4895535430127172E-2</v>
      </c>
      <c r="X19" s="33">
        <v>2.3298122491261654E-2</v>
      </c>
      <c r="Y19" s="33">
        <f>S19</f>
        <v>13783.670851948065</v>
      </c>
      <c r="AA19" s="33">
        <f>(Q19*G19+S19*O19-U19)/U19</f>
        <v>-0.1622784083124347</v>
      </c>
      <c r="AB19" s="33">
        <f t="shared" si="6"/>
        <v>0.82674612377892942</v>
      </c>
    </row>
    <row r="20" spans="1:28" s="38" customFormat="1" x14ac:dyDescent="0.25">
      <c r="A20" s="37" t="s">
        <v>122</v>
      </c>
      <c r="B20" s="38">
        <v>0.79200000000000004</v>
      </c>
      <c r="C20" s="38">
        <v>2E-3</v>
      </c>
      <c r="D20" s="38">
        <v>9</v>
      </c>
      <c r="E20" s="39">
        <v>0.03</v>
      </c>
      <c r="F20" s="40">
        <v>9.0000000000000006E-5</v>
      </c>
      <c r="G20" s="39">
        <v>100</v>
      </c>
      <c r="H20" s="39">
        <v>5</v>
      </c>
      <c r="I20" s="39"/>
      <c r="J20" s="39"/>
      <c r="K20" s="38">
        <v>10</v>
      </c>
      <c r="L20" s="38">
        <v>0.02</v>
      </c>
      <c r="M20" s="39">
        <f>'Count-&gt;Actual Activity'!F42</f>
        <v>-1.9427446635076073</v>
      </c>
      <c r="N20" s="39">
        <f>'Count-&gt;Actual Activity'!G42</f>
        <v>30.057732841703878</v>
      </c>
      <c r="O20" s="38">
        <v>0.03</v>
      </c>
      <c r="P20" s="38">
        <v>9.0000000000000006E-5</v>
      </c>
      <c r="Q20" s="38">
        <f t="shared" si="0"/>
        <v>0</v>
      </c>
      <c r="R20" s="38" t="e">
        <f t="shared" si="1"/>
        <v>#DIV/0!</v>
      </c>
      <c r="S20" s="38">
        <f t="shared" si="2"/>
        <v>-64.758155450253582</v>
      </c>
      <c r="T20" s="38">
        <f t="shared" si="3"/>
        <v>-1001.9307063829463</v>
      </c>
      <c r="U20" s="38">
        <f>Parameters!$B$6*'Bottle Results'!B20</f>
        <v>500.16578689035845</v>
      </c>
      <c r="V20" s="38">
        <f>SQRT((C20/B20)^2+(Parameters!$C$6/Parameters!$B$6))</f>
        <v>2.9125000570302848E-2</v>
      </c>
      <c r="W20" s="38">
        <f t="shared" si="4"/>
        <v>0</v>
      </c>
      <c r="X20" s="38">
        <v>2.330092730933234E-2</v>
      </c>
      <c r="Y20" s="38">
        <f>(U20-Q20*G20)/E20</f>
        <v>16672.192896345281</v>
      </c>
      <c r="AB20" s="38">
        <f t="shared" si="6"/>
        <v>0.99999999999999989</v>
      </c>
    </row>
    <row r="21" spans="1:28" s="38" customFormat="1" x14ac:dyDescent="0.25">
      <c r="A21" s="37" t="s">
        <v>138</v>
      </c>
      <c r="B21" s="38">
        <v>0.79200000000000004</v>
      </c>
      <c r="C21" s="38">
        <v>2E-3</v>
      </c>
      <c r="D21" s="38">
        <v>9</v>
      </c>
      <c r="E21" s="39">
        <v>0.03</v>
      </c>
      <c r="F21" s="40">
        <v>9.0000000000000006E-5</v>
      </c>
      <c r="G21" s="39">
        <v>100</v>
      </c>
      <c r="H21" s="39">
        <v>5</v>
      </c>
      <c r="I21" s="39"/>
      <c r="J21" s="39"/>
      <c r="K21" s="38">
        <v>10</v>
      </c>
      <c r="L21" s="38">
        <v>0.02</v>
      </c>
      <c r="M21" s="39">
        <f>'Count-&gt;Actual Activity'!F43</f>
        <v>-0.49702954735064037</v>
      </c>
      <c r="N21" s="39">
        <f>'Count-&gt;Actual Activity'!G43</f>
        <v>10.045075299214339</v>
      </c>
      <c r="O21" s="38">
        <v>0.03</v>
      </c>
      <c r="P21" s="38">
        <v>9.0000000000000006E-5</v>
      </c>
      <c r="Q21" s="38">
        <f t="shared" si="0"/>
        <v>0</v>
      </c>
      <c r="R21" s="38" t="e">
        <f t="shared" si="1"/>
        <v>#DIV/0!</v>
      </c>
      <c r="U21" s="38">
        <f>Parameters!$B$6*'Bottle Results'!B21</f>
        <v>500.16578689035845</v>
      </c>
      <c r="V21" s="38">
        <f>SQRT((C21/B21)^2+(Parameters!$C$6/Parameters!$B$6))</f>
        <v>2.9125000570302848E-2</v>
      </c>
      <c r="W21" s="38">
        <f t="shared" si="4"/>
        <v>0</v>
      </c>
      <c r="X21" s="38">
        <v>2.3298893977915368E-2</v>
      </c>
      <c r="Y21" s="38">
        <f>(U21-Q21*G21)/E21</f>
        <v>16672.192896345281</v>
      </c>
      <c r="AB21" s="38">
        <f t="shared" si="6"/>
        <v>0.99999999999999989</v>
      </c>
    </row>
    <row r="22" spans="1:28" s="38" customFormat="1" x14ac:dyDescent="0.25">
      <c r="A22" s="37" t="s">
        <v>142</v>
      </c>
      <c r="B22" s="38">
        <v>0.79200000000000004</v>
      </c>
      <c r="C22" s="38">
        <v>2E-3</v>
      </c>
      <c r="D22" s="38">
        <v>8.94</v>
      </c>
      <c r="E22" s="39">
        <v>0.03</v>
      </c>
      <c r="F22" s="40">
        <v>9.0000000000000006E-5</v>
      </c>
      <c r="G22" s="39">
        <v>100</v>
      </c>
      <c r="H22" s="39">
        <v>5</v>
      </c>
      <c r="I22" s="39"/>
      <c r="J22" s="39"/>
      <c r="K22" s="38">
        <v>10</v>
      </c>
      <c r="L22" s="38">
        <v>0.02</v>
      </c>
      <c r="M22" s="39">
        <f>'Count-&gt;Actual Activity'!F44</f>
        <v>360.24693706844835</v>
      </c>
      <c r="N22" s="39">
        <f>'Count-&gt;Actual Activity'!G44</f>
        <v>5236.1559395380582</v>
      </c>
      <c r="O22" s="38">
        <v>0.03</v>
      </c>
      <c r="P22" s="38">
        <v>9.0000000000000006E-5</v>
      </c>
      <c r="Q22" s="38">
        <f t="shared" si="0"/>
        <v>0</v>
      </c>
      <c r="R22" s="38" t="e">
        <f t="shared" si="1"/>
        <v>#DIV/0!</v>
      </c>
      <c r="U22" s="38">
        <f>Parameters!$B$6*'Bottle Results'!B22</f>
        <v>500.16578689035845</v>
      </c>
      <c r="V22" s="38">
        <f>SQRT((C22/B22)^2+(Parameters!$C$6/Parameters!$B$6))</f>
        <v>2.9125000570302848E-2</v>
      </c>
      <c r="W22" s="38">
        <f t="shared" si="4"/>
        <v>0</v>
      </c>
      <c r="X22" s="38">
        <v>2.3300879553606872E-2</v>
      </c>
      <c r="Y22" s="38">
        <f>(U22-Q22*G22)/E22</f>
        <v>16672.192896345281</v>
      </c>
      <c r="AB22" s="38">
        <f t="shared" si="6"/>
        <v>0.99999999999999989</v>
      </c>
    </row>
    <row r="23" spans="1:28" s="38" customFormat="1" x14ac:dyDescent="0.25">
      <c r="A23" s="37" t="s">
        <v>143</v>
      </c>
      <c r="B23" s="38">
        <v>0.79200000000000004</v>
      </c>
      <c r="C23" s="38">
        <v>2E-3</v>
      </c>
      <c r="D23" s="38">
        <v>8.99</v>
      </c>
      <c r="E23" s="39">
        <v>0.03</v>
      </c>
      <c r="F23" s="40">
        <v>9.0000000000000006E-5</v>
      </c>
      <c r="G23" s="39">
        <v>100</v>
      </c>
      <c r="H23" s="39">
        <v>5</v>
      </c>
      <c r="I23" s="39"/>
      <c r="J23" s="39"/>
      <c r="K23" s="38">
        <v>10</v>
      </c>
      <c r="L23" s="38">
        <v>0.02</v>
      </c>
      <c r="M23" s="39">
        <f>'Count-&gt;Actual Activity'!F45</f>
        <v>0</v>
      </c>
      <c r="N23" s="39">
        <f>'Count-&gt;Actual Activity'!G45</f>
        <v>0</v>
      </c>
      <c r="O23" s="38">
        <v>0.03</v>
      </c>
      <c r="P23" s="38">
        <v>9.0000000000000006E-5</v>
      </c>
      <c r="Q23" s="38">
        <f t="shared" si="0"/>
        <v>0</v>
      </c>
      <c r="R23" s="38" t="e">
        <f t="shared" si="1"/>
        <v>#DIV/0!</v>
      </c>
      <c r="U23" s="38">
        <f>Parameters!$B$6*'Bottle Results'!B23</f>
        <v>500.16578689035845</v>
      </c>
      <c r="V23" s="38">
        <f>SQRT((C23/B23)^2+(Parameters!$C$6/Parameters!$B$6))</f>
        <v>2.9125000570302848E-2</v>
      </c>
      <c r="W23" s="38">
        <f t="shared" si="4"/>
        <v>0</v>
      </c>
      <c r="X23" s="38">
        <v>2.3299183599979709E-2</v>
      </c>
      <c r="Y23" s="38">
        <f>(U23-Q23*G23)/E23</f>
        <v>16672.192896345281</v>
      </c>
      <c r="AB23" s="38">
        <f t="shared" si="6"/>
        <v>0.99999999999999989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6" sqref="D6"/>
    </sheetView>
  </sheetViews>
  <sheetFormatPr defaultRowHeight="15" x14ac:dyDescent="0.25"/>
  <cols>
    <col min="1" max="1" width="12.5703125" bestFit="1" customWidth="1"/>
    <col min="2" max="2" width="11.28515625" bestFit="1" customWidth="1"/>
    <col min="4" max="4" width="10.7109375" bestFit="1" customWidth="1"/>
  </cols>
  <sheetData>
    <row r="1" spans="1:9" x14ac:dyDescent="0.25">
      <c r="A1" t="s">
        <v>144</v>
      </c>
      <c r="B1" t="s">
        <v>29</v>
      </c>
      <c r="C1" t="s">
        <v>145</v>
      </c>
      <c r="D1" t="s">
        <v>31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</row>
    <row r="2" spans="1:9" x14ac:dyDescent="0.25">
      <c r="A2" s="20">
        <v>0</v>
      </c>
      <c r="B2">
        <f>AVERAGE('Bottle Results'!W2:W4)</f>
        <v>0</v>
      </c>
      <c r="C2">
        <f>_xlfn.STDEV.S('Bottle Results'!W2:W4)</f>
        <v>0</v>
      </c>
      <c r="D2">
        <f>AVERAGE('Bottle Results'!Y2:Y4)</f>
        <v>0</v>
      </c>
      <c r="E2">
        <f>_xlfn.STDEV.S('Bottle Results'!Y2:Y4)</f>
        <v>0</v>
      </c>
      <c r="F2" t="e">
        <f>AVERAGE('Bottle Results'!AB2:AB4)</f>
        <v>#DIV/0!</v>
      </c>
      <c r="G2" t="e">
        <f>_xlfn.STDEV.S('Bottle Results'!AB2:AB4)</f>
        <v>#DIV/0!</v>
      </c>
      <c r="H2">
        <f>AVERAGE('Bottle Results'!D2:D4)</f>
        <v>8.9466666666666672</v>
      </c>
      <c r="I2">
        <f>_xlfn.STDEV.S('Bottle Results'!D2:D4)</f>
        <v>1.5275252316519917E-2</v>
      </c>
    </row>
    <row r="3" spans="1:9" x14ac:dyDescent="0.25">
      <c r="A3" s="20">
        <v>5</v>
      </c>
      <c r="B3">
        <f>AVERAGE('Bottle Results'!W5:W7)</f>
        <v>0</v>
      </c>
      <c r="C3">
        <f>_xlfn.STDEV.S('Bottle Results'!W5:W7)</f>
        <v>0</v>
      </c>
      <c r="D3">
        <f>AVERAGE('Bottle Results'!Y5:Y7)</f>
        <v>166.72192896345283</v>
      </c>
      <c r="E3">
        <f>_xlfn.STDEV.S('Bottle Results'!Y5:Y7)</f>
        <v>0</v>
      </c>
      <c r="F3">
        <f>AVERAGE('Bottle Results'!AB5:AB7)</f>
        <v>1</v>
      </c>
      <c r="G3">
        <f>_xlfn.STDEV.S('Bottle Results'!AB5:AB7)</f>
        <v>0</v>
      </c>
      <c r="H3">
        <f>AVERAGE('Bottle Results'!D5:D7)</f>
        <v>8.9166666666666661</v>
      </c>
      <c r="I3">
        <f>_xlfn.STDEV.S('Bottle Results'!D5:D7)</f>
        <v>1.527525231651914E-2</v>
      </c>
    </row>
    <row r="4" spans="1:9" x14ac:dyDescent="0.25">
      <c r="A4" s="20">
        <v>10</v>
      </c>
      <c r="B4">
        <f>AVERAGE('Bottle Results'!W8:W10)</f>
        <v>2.5157159113700759E-2</v>
      </c>
      <c r="C4">
        <f>_xlfn.STDEV.S('Bottle Results'!W8:W10)</f>
        <v>6.4497970238454989E-4</v>
      </c>
      <c r="D4">
        <f>AVERAGE('Bottle Results'!Y8:Y10)</f>
        <v>231.14844727193267</v>
      </c>
      <c r="E4">
        <f>_xlfn.STDEV.S('Bottle Results'!Y8:Y10)</f>
        <v>14.643579148855018</v>
      </c>
      <c r="F4">
        <f>AVERAGE('Bottle Results'!AB8:AB10)</f>
        <v>0.69497046565839493</v>
      </c>
      <c r="G4">
        <f>_xlfn.STDEV.S('Bottle Results'!AB8:AB10)</f>
        <v>4.4027356186446098E-2</v>
      </c>
      <c r="H4">
        <f>AVERAGE('Bottle Results'!D8:D10)</f>
        <v>8.9066666666666663</v>
      </c>
      <c r="I4">
        <f>_xlfn.STDEV.S('Bottle Results'!D8:D10)</f>
        <v>1.154700538379227E-2</v>
      </c>
    </row>
    <row r="5" spans="1:9" x14ac:dyDescent="0.25">
      <c r="A5" s="20">
        <v>50</v>
      </c>
      <c r="B5">
        <f>AVERAGE('Bottle Results'!W11:W13)</f>
        <v>0</v>
      </c>
      <c r="C5">
        <f>_xlfn.STDEV.S('Bottle Results'!W11:W13)</f>
        <v>0</v>
      </c>
      <c r="D5">
        <f>AVERAGE('Bottle Results'!Y11:Y13)</f>
        <v>1665.1142147738785</v>
      </c>
      <c r="E5">
        <f>_xlfn.STDEV.S('Bottle Results'!Y11:Y13)</f>
        <v>2.7847474288855413E-13</v>
      </c>
      <c r="F5">
        <f>AVERAGE('Bottle Results'!AB11:AB13)</f>
        <v>1</v>
      </c>
      <c r="G5">
        <f>_xlfn.STDEV.S('Bottle Results'!AB11:AB13)</f>
        <v>0</v>
      </c>
      <c r="H5">
        <f>AVERAGE('Bottle Results'!D11:D13)</f>
        <v>8.9166666666666661</v>
      </c>
      <c r="I5">
        <f>_xlfn.STDEV.S('Bottle Results'!D11:D13)</f>
        <v>2.5166114784235295E-2</v>
      </c>
    </row>
    <row r="6" spans="1:9" x14ac:dyDescent="0.25">
      <c r="A6" s="20">
        <v>100</v>
      </c>
      <c r="B6">
        <f>AVERAGE('Bottle Results'!W14:W16)</f>
        <v>0.14045071753731236</v>
      </c>
      <c r="C6">
        <f>_xlfn.STDEV.S('Bottle Results'!W14:W16)</f>
        <v>0.12163388936706508</v>
      </c>
      <c r="D6">
        <f>AVERAGE('Bottle Results'!Y14:Y16)</f>
        <v>3295.8495237487973</v>
      </c>
      <c r="E6">
        <f>_xlfn.STDEV.S('Bottle Results'!Y14:Y16)</f>
        <v>52.253818327660468</v>
      </c>
      <c r="F6">
        <f>AVERAGE('Bottle Results'!AB14:AB16)</f>
        <v>0.99092946774807411</v>
      </c>
      <c r="G6">
        <f>_xlfn.STDEV.S('Bottle Results'!AB14:AB16)</f>
        <v>1.571062271202759E-2</v>
      </c>
      <c r="H6">
        <f>AVERAGE('Bottle Results'!D14:D16)</f>
        <v>8.8633333333333333</v>
      </c>
      <c r="I6">
        <f>_xlfn.STDEV.S('Bottle Results'!D14:D16)</f>
        <v>5.0332229568471415E-2</v>
      </c>
    </row>
    <row r="7" spans="1:9" x14ac:dyDescent="0.25">
      <c r="A7" s="20">
        <v>500</v>
      </c>
      <c r="B7">
        <f>AVERAGE('Bottle Results'!W17:W19,'Bottle Results'!W21)</f>
        <v>4.4084674528744358E-2</v>
      </c>
      <c r="C7">
        <f>_xlfn.STDEV.S('Bottle Results'!W17:W19,'Bottle Results'!W21)</f>
        <v>2.9860179390728075E-2</v>
      </c>
      <c r="D7">
        <f>AVERAGE('Bottle Results'!Y17:Y19,'Bottle Results'!Y21)</f>
        <v>13998.532901237906</v>
      </c>
      <c r="E7">
        <f>_xlfn.STDEV.S('Bottle Results'!Y17:Y19,'Bottle Results'!Y21)</f>
        <v>1891.3936416951028</v>
      </c>
      <c r="F7">
        <f>AVERAGE('Bottle Results'!AB17:AB19,'Bottle Results'!AB21)</f>
        <v>0.83963357359586033</v>
      </c>
      <c r="G7">
        <f>_xlfn.STDEV.S('Bottle Results'!AB17:AB19,'Bottle Results'!AB21)</f>
        <v>0.11344600278165595</v>
      </c>
      <c r="H7">
        <f>AVERAGE('Bottle Results'!D17:D19,'Bottle Results'!D21)</f>
        <v>8.9350000000000005</v>
      </c>
      <c r="I7">
        <f>_xlfn.STDEV.S('Bottle Results'!D17:D19,'Bottle Results'!D21)</f>
        <v>4.7258156262525892E-2</v>
      </c>
    </row>
    <row r="8" spans="1:9" x14ac:dyDescent="0.25">
      <c r="A8" s="20"/>
    </row>
    <row r="9" spans="1:9" x14ac:dyDescent="0.25">
      <c r="A9" s="20"/>
    </row>
    <row r="10" spans="1:9" x14ac:dyDescent="0.25">
      <c r="A10" s="20"/>
    </row>
    <row r="11" spans="1:9" x14ac:dyDescent="0.25">
      <c r="A11" s="20"/>
    </row>
    <row r="12" spans="1:9" x14ac:dyDescent="0.25">
      <c r="A12" s="20"/>
    </row>
    <row r="13" spans="1:9" x14ac:dyDescent="0.25">
      <c r="A13" s="20"/>
    </row>
    <row r="14" spans="1:9" x14ac:dyDescent="0.25">
      <c r="A14" s="20"/>
    </row>
    <row r="15" spans="1:9" x14ac:dyDescent="0.25">
      <c r="A15" s="20"/>
    </row>
    <row r="16" spans="1:9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Calibration data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2016-04-21T15:26:27Z</dcterms:modified>
</cp:coreProperties>
</file>