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 Sorption\Sorption Experiments\RaGoe_pH9\"/>
    </mc:Choice>
  </mc:AlternateContent>
  <bookViews>
    <workbookView xWindow="0" yWindow="0" windowWidth="7470" windowHeight="12285" firstSheet="2" activeTab="3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5" l="1"/>
  <c r="T3" i="5" s="1"/>
  <c r="S4" i="5"/>
  <c r="T4" i="5"/>
  <c r="S5" i="5"/>
  <c r="T5" i="5" s="1"/>
  <c r="S6" i="5"/>
  <c r="S7" i="5"/>
  <c r="T7" i="5" s="1"/>
  <c r="S8" i="5"/>
  <c r="T8" i="5"/>
  <c r="S9" i="5"/>
  <c r="T9" i="5" s="1"/>
  <c r="S10" i="5"/>
  <c r="T10" i="5" s="1"/>
  <c r="S11" i="5"/>
  <c r="T11" i="5" s="1"/>
  <c r="S12" i="5"/>
  <c r="T12" i="5"/>
  <c r="S13" i="5"/>
  <c r="T13" i="5" s="1"/>
  <c r="S14" i="5"/>
  <c r="S15" i="5"/>
  <c r="T15" i="5" s="1"/>
  <c r="S16" i="5"/>
  <c r="T16" i="5"/>
  <c r="S17" i="5"/>
  <c r="T17" i="5" s="1"/>
  <c r="S18" i="5"/>
  <c r="S19" i="5"/>
  <c r="T19" i="5" s="1"/>
  <c r="T2" i="5"/>
  <c r="S2" i="5"/>
  <c r="T18" i="5" l="1"/>
  <c r="T14" i="5"/>
  <c r="T6" i="5"/>
  <c r="J7" i="8"/>
  <c r="J6" i="8"/>
  <c r="J5" i="8"/>
  <c r="J4" i="8"/>
  <c r="J3" i="8"/>
  <c r="I7" i="8"/>
  <c r="I6" i="8"/>
  <c r="I5" i="8"/>
  <c r="I4" i="8"/>
  <c r="I3" i="8"/>
  <c r="J2" i="8"/>
  <c r="I2" i="8"/>
  <c r="F3" i="2" l="1"/>
  <c r="F4" i="2"/>
  <c r="F5" i="2"/>
  <c r="F6" i="2"/>
  <c r="F7" i="2"/>
  <c r="F8" i="2"/>
  <c r="F9" i="2"/>
  <c r="F10" i="2"/>
  <c r="I10" i="5" s="1"/>
  <c r="Q10" i="5" s="1"/>
  <c r="F11" i="2"/>
  <c r="G11" i="2" s="1"/>
  <c r="J11" i="5" s="1"/>
  <c r="F12" i="2"/>
  <c r="G12" i="2" s="1"/>
  <c r="J12" i="5" s="1"/>
  <c r="F13" i="2"/>
  <c r="F14" i="2"/>
  <c r="F15" i="2"/>
  <c r="F16" i="2"/>
  <c r="F17" i="2"/>
  <c r="G17" i="2" s="1"/>
  <c r="J17" i="5" s="1"/>
  <c r="F18" i="2"/>
  <c r="F19" i="2"/>
  <c r="W10" i="5" l="1"/>
  <c r="U10" i="5"/>
  <c r="F4" i="8"/>
  <c r="F6" i="8"/>
  <c r="F3" i="8"/>
  <c r="F2" i="8"/>
  <c r="F5" i="8"/>
  <c r="F7" i="8"/>
  <c r="G18" i="2"/>
  <c r="J18" i="5" s="1"/>
  <c r="I18" i="5"/>
  <c r="Q18" i="5" s="1"/>
  <c r="G10" i="2"/>
  <c r="J10" i="5" s="1"/>
  <c r="R10" i="5" s="1"/>
  <c r="G19" i="2"/>
  <c r="J19" i="5" s="1"/>
  <c r="I19" i="5"/>
  <c r="Q19" i="5" s="1"/>
  <c r="G3" i="2"/>
  <c r="J3" i="5" s="1"/>
  <c r="I3" i="5"/>
  <c r="Q3" i="5" s="1"/>
  <c r="G9" i="2"/>
  <c r="J9" i="5" s="1"/>
  <c r="I9" i="5"/>
  <c r="Q9" i="5" s="1"/>
  <c r="I16" i="5"/>
  <c r="Q16" i="5" s="1"/>
  <c r="G16" i="2"/>
  <c r="J16" i="5" s="1"/>
  <c r="I8" i="5"/>
  <c r="Q8" i="5" s="1"/>
  <c r="G8" i="2"/>
  <c r="J8" i="5" s="1"/>
  <c r="G15" i="2"/>
  <c r="J15" i="5" s="1"/>
  <c r="I15" i="5"/>
  <c r="Q15" i="5" s="1"/>
  <c r="G7" i="2"/>
  <c r="J7" i="5" s="1"/>
  <c r="I7" i="5"/>
  <c r="Q7" i="5" s="1"/>
  <c r="I14" i="5"/>
  <c r="Q14" i="5" s="1"/>
  <c r="G14" i="2"/>
  <c r="J14" i="5" s="1"/>
  <c r="G6" i="2"/>
  <c r="J6" i="5" s="1"/>
  <c r="I6" i="5"/>
  <c r="Q6" i="5" s="1"/>
  <c r="G13" i="2"/>
  <c r="J13" i="5" s="1"/>
  <c r="I13" i="5"/>
  <c r="Q13" i="5" s="1"/>
  <c r="G5" i="2"/>
  <c r="J5" i="5" s="1"/>
  <c r="I5" i="5"/>
  <c r="Q5" i="5" s="1"/>
  <c r="I4" i="5"/>
  <c r="Q4" i="5" s="1"/>
  <c r="G4" i="2"/>
  <c r="J4" i="5" s="1"/>
  <c r="I17" i="5"/>
  <c r="Q17" i="5" s="1"/>
  <c r="I12" i="5"/>
  <c r="Q12" i="5" s="1"/>
  <c r="I11" i="5"/>
  <c r="Q11" i="5" s="1"/>
  <c r="F2" i="2"/>
  <c r="G2" i="2" s="1"/>
  <c r="J2" i="5" s="1"/>
  <c r="U13" i="5" l="1"/>
  <c r="W13" i="5"/>
  <c r="U15" i="5"/>
  <c r="W15" i="5"/>
  <c r="U3" i="5"/>
  <c r="W3" i="5"/>
  <c r="U7" i="5"/>
  <c r="W7" i="5"/>
  <c r="G3" i="8" s="1"/>
  <c r="U19" i="5"/>
  <c r="W19" i="5"/>
  <c r="W6" i="5"/>
  <c r="U6" i="5"/>
  <c r="W8" i="5"/>
  <c r="U8" i="5"/>
  <c r="U11" i="5"/>
  <c r="W11" i="5"/>
  <c r="H5" i="8" s="1"/>
  <c r="U17" i="5"/>
  <c r="W17" i="5"/>
  <c r="U5" i="5"/>
  <c r="W5" i="5"/>
  <c r="W12" i="5"/>
  <c r="U12" i="5"/>
  <c r="W4" i="5"/>
  <c r="U4" i="5"/>
  <c r="W14" i="5"/>
  <c r="U14" i="5"/>
  <c r="W16" i="5"/>
  <c r="U16" i="5"/>
  <c r="U18" i="5"/>
  <c r="W18" i="5"/>
  <c r="U9" i="5"/>
  <c r="W9" i="5"/>
  <c r="R18" i="5"/>
  <c r="R8" i="5"/>
  <c r="R4" i="5"/>
  <c r="R14" i="5"/>
  <c r="R16" i="5"/>
  <c r="R17" i="5"/>
  <c r="R13" i="5"/>
  <c r="R12" i="5"/>
  <c r="R15" i="5"/>
  <c r="R6" i="5"/>
  <c r="R19" i="5"/>
  <c r="R5" i="5"/>
  <c r="R7" i="5"/>
  <c r="R9" i="5"/>
  <c r="R11" i="5"/>
  <c r="R3" i="5"/>
  <c r="B7" i="8"/>
  <c r="C7" i="8"/>
  <c r="B4" i="8"/>
  <c r="C4" i="8"/>
  <c r="B6" i="8"/>
  <c r="C6" i="8"/>
  <c r="C3" i="8"/>
  <c r="B3" i="8"/>
  <c r="C5" i="8"/>
  <c r="B5" i="8"/>
  <c r="I2" i="5"/>
  <c r="Q2" i="5" s="1"/>
  <c r="R2" i="5" s="1"/>
  <c r="O43" i="7"/>
  <c r="O42" i="7"/>
  <c r="O41" i="7"/>
  <c r="O40" i="7"/>
  <c r="O39" i="7"/>
  <c r="O38" i="7"/>
  <c r="L8" i="7"/>
  <c r="K8" i="7"/>
  <c r="H8" i="7"/>
  <c r="I8" i="7" s="1"/>
  <c r="E8" i="7"/>
  <c r="D8" i="7"/>
  <c r="L7" i="7"/>
  <c r="K7" i="7"/>
  <c r="I7" i="7"/>
  <c r="E7" i="7"/>
  <c r="D7" i="7"/>
  <c r="L6" i="7"/>
  <c r="K6" i="7"/>
  <c r="I6" i="7"/>
  <c r="J6" i="7" s="1"/>
  <c r="H6" i="7"/>
  <c r="E6" i="7"/>
  <c r="D6" i="7"/>
  <c r="K5" i="7"/>
  <c r="I5" i="7"/>
  <c r="H5" i="7"/>
  <c r="E5" i="7"/>
  <c r="D5" i="7"/>
  <c r="L5" i="7" s="1"/>
  <c r="K4" i="7"/>
  <c r="H4" i="7"/>
  <c r="I4" i="7" s="1"/>
  <c r="E4" i="7"/>
  <c r="D4" i="7"/>
  <c r="L4" i="7" s="1"/>
  <c r="K3" i="7"/>
  <c r="H3" i="7"/>
  <c r="I3" i="7" s="1"/>
  <c r="E3" i="7"/>
  <c r="D3" i="7"/>
  <c r="L2" i="7"/>
  <c r="E2" i="7"/>
  <c r="D2" i="7"/>
  <c r="G5" i="8" l="1"/>
  <c r="H3" i="8"/>
  <c r="D3" i="8"/>
  <c r="G6" i="8"/>
  <c r="H6" i="8"/>
  <c r="G4" i="8"/>
  <c r="H4" i="8"/>
  <c r="G7" i="8"/>
  <c r="H7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J8" i="7"/>
  <c r="M8" i="7"/>
  <c r="M3" i="7"/>
  <c r="N2" i="7" s="1"/>
  <c r="J5" i="7"/>
  <c r="M5" i="7"/>
  <c r="N8" i="7" s="1"/>
  <c r="M7" i="7"/>
  <c r="J3" i="7"/>
  <c r="M6" i="7"/>
  <c r="N4" i="7" s="1"/>
  <c r="J7" i="7"/>
  <c r="M4" i="7"/>
  <c r="J4" i="7"/>
  <c r="L3" i="7"/>
  <c r="E2" i="8" l="1"/>
  <c r="D2" i="8"/>
  <c r="N6" i="7"/>
  <c r="J9" i="7"/>
  <c r="N5" i="7"/>
  <c r="N3" i="7"/>
  <c r="N7" i="7"/>
</calcChain>
</file>

<file path=xl/sharedStrings.xml><?xml version="1.0" encoding="utf-8"?>
<sst xmlns="http://schemas.openxmlformats.org/spreadsheetml/2006/main" count="411" uniqueCount="152">
  <si>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</si>
  <si>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</si>
  <si>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</si>
  <si>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</si>
  <si>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</si>
  <si>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</si>
  <si>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</si>
  <si>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</si>
  <si>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</si>
  <si>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</si>
  <si>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</si>
  <si>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</si>
  <si>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</si>
  <si>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</si>
  <si>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</si>
  <si>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</si>
  <si>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</si>
  <si>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</si>
  <si>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</si>
  <si>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</si>
  <si>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</si>
  <si>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</si>
  <si>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</si>
  <si>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</si>
  <si>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</si>
  <si>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</si>
  <si>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</si>
  <si>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</si>
  <si>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</si>
  <si>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</si>
  <si>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</si>
  <si>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</si>
  <si>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</si>
  <si>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</si>
  <si>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</si>
  <si>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</si>
  <si>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</si>
  <si>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</si>
  <si>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</si>
  <si>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</si>
  <si>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</si>
  <si>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</si>
  <si>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</si>
  <si>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</si>
  <si>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</si>
  <si>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</si>
  <si>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</si>
  <si>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</si>
  <si>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Known-Average</t>
  </si>
  <si>
    <t>Gamma Counter Calculated Activity</t>
  </si>
  <si>
    <t>Scint Counter Calculated Activity (Bq)</t>
  </si>
  <si>
    <t>Squared Actual Activity Variation from Average</t>
  </si>
  <si>
    <t>Error (Bq)</t>
  </si>
  <si>
    <t>Background</t>
  </si>
  <si>
    <t>Scintillation Counter</t>
  </si>
  <si>
    <t>SUMMARY OUTPUT</t>
  </si>
  <si>
    <t>Counter CPS-&gt;Activity (Bq)</t>
  </si>
  <si>
    <t>DOES NOT INCLUDE BACKGROUND</t>
  </si>
  <si>
    <t>Activity (Bq) - &gt; Counter CPS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</si>
  <si>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</si>
  <si>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</si>
  <si>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</si>
  <si>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</si>
  <si>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</si>
  <si>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</si>
  <si>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</si>
  <si>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Std dev of residuals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</si>
  <si>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</si>
  <si>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</si>
  <si>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</si>
  <si>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</si>
  <si>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</si>
  <si>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</si>
  <si>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</si>
  <si>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</si>
  <si>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</si>
  <si>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</si>
  <si>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</si>
  <si>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</si>
  <si>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</si>
  <si>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</si>
  <si>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</si>
  <si>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</si>
  <si>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</si>
  <si>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</si>
  <si>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</si>
  <si>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</si>
  <si>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</si>
  <si>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Residual Squared</t>
  </si>
  <si>
    <t>Parsons Gamma Counter</t>
  </si>
  <si>
    <t>Gamma Counter CPS-&gt;Bq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</si>
  <si>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</si>
  <si>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</si>
  <si>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</si>
  <si>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</si>
  <si>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</si>
  <si>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</si>
  <si>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</si>
  <si>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</si>
  <si>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</si>
  <si>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</si>
  <si>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</si>
  <si>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</si>
  <si>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</si>
  <si>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</si>
  <si>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</si>
  <si>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</si>
  <si>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</si>
  <si>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</si>
  <si>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</si>
  <si>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</si>
  <si>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</si>
  <si>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</si>
  <si>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</si>
  <si>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</si>
  <si>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</si>
  <si>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</si>
  <si>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</si>
  <si>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</si>
  <si>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</si>
  <si>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</si>
  <si>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</si>
  <si>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</si>
  <si>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</si>
  <si>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</si>
  <si>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</si>
  <si>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</si>
  <si>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</si>
  <si>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</si>
  <si>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</si>
  <si>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</si>
  <si>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</si>
  <si>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</si>
  <si>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</si>
  <si>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</si>
  <si>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</si>
  <si>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</si>
  <si>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</si>
  <si>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</si>
  <si>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</si>
  <si>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</si>
  <si>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</si>
  <si>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</si>
  <si>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</si>
  <si>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</si>
  <si>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</si>
  <si>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</si>
  <si>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</si>
  <si>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</si>
  <si>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</si>
  <si>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Ra_Stock_5</t>
  </si>
  <si>
    <t>Goethite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</si>
</sst>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3" fillId="0" borderId="0" xfId="0" applyFont="1" applyFill="1" applyAlignment="1">
      <alignment horizontal="center" vertical="top"/>
    </xf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/>
    <xf numFmtId="0" fontId="6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Continuous"/>
    </xf>
    <xf numFmtId="0" fontId="0" fillId="0" borderId="4" xfId="0" applyFill="1" applyBorder="1"/>
    <xf numFmtId="0" fontId="0" fillId="0" borderId="5" xfId="0" applyFill="1" applyBorder="1" applyAlignment="1"/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8" sqref="C8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25">
        <v>42419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151</v>
      </c>
    </row>
    <row r="5" spans="1:5" x14ac:dyDescent="0.25">
      <c r="A5" t="s">
        <v>22</v>
      </c>
      <c r="B5" t="s">
        <v>150</v>
      </c>
    </row>
    <row r="6" spans="1:5" x14ac:dyDescent="0.25">
      <c r="A6" t="s">
        <v>6</v>
      </c>
      <c r="B6">
        <v>1438.3389999999999</v>
      </c>
      <c r="C6">
        <v>7.2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workbookViewId="0">
      <selection activeCell="B19" sqref="B19:C19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2" width="22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23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</row>
    <row r="2" spans="1:23" x14ac:dyDescent="0.25">
      <c r="A2" s="3" t="s">
        <v>53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L2">
        <f t="shared" ref="L2:L8" si="0">(D2-$L$30)/$L$31</f>
        <v>0.24403057137578671</v>
      </c>
      <c r="N2">
        <f t="shared" ref="N2:N8" si="1">$L$20/ABS($L$31)*SQRT(1/$L$21+1+(D2-AVERAGE($D$3:$D$8))^2/($L$31^2*(SUM($M$3:$M$8))))</f>
        <v>0.23936202341417753</v>
      </c>
    </row>
    <row r="3" spans="1:23" x14ac:dyDescent="0.25">
      <c r="A3" s="3" t="s">
        <v>36</v>
      </c>
      <c r="B3" s="2">
        <v>213.53333333333333</v>
      </c>
      <c r="C3" s="2">
        <v>4.5389670875898238</v>
      </c>
      <c r="D3" s="2">
        <f t="shared" ref="D3:E8" si="2">B3/60</f>
        <v>3.5588888888888888</v>
      </c>
      <c r="E3" s="2">
        <f t="shared" si="2"/>
        <v>7.5649451459830402E-2</v>
      </c>
      <c r="F3" s="2">
        <v>3.4640522875816994E-3</v>
      </c>
      <c r="G3" s="2">
        <v>6.1343954248366012E-4</v>
      </c>
      <c r="H3" s="5">
        <f>H7/100</f>
        <v>1.59E-5</v>
      </c>
      <c r="I3" s="5">
        <f t="shared" ref="I3:I8" si="3">H3*37000</f>
        <v>0.58830000000000005</v>
      </c>
      <c r="J3" s="5">
        <f>(I3-AVERAGE($I$3:$I$8))^2</f>
        <v>4187.7723690000012</v>
      </c>
      <c r="K3">
        <f>F3*$B$61+$B$60</f>
        <v>-2.249901649732176</v>
      </c>
      <c r="L3">
        <f t="shared" si="0"/>
        <v>0.77044240244938123</v>
      </c>
      <c r="M3">
        <f>(I3-AVERAGE($I$3:$I$8))^2</f>
        <v>4187.7723690000012</v>
      </c>
      <c r="N3">
        <f>$L$20/ABS($L$31)*SQRT(1/$L$21+1+(D3-AVERAGE($D$3:$D$8))^2/($L$31^2*(SUM($M$3:$M$8))))</f>
        <v>0.23926048894726873</v>
      </c>
    </row>
    <row r="4" spans="1:23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F4" s="2">
        <v>7.9815435847137763E-3</v>
      </c>
      <c r="G4" s="2">
        <v>8.5144502711856026E-4</v>
      </c>
      <c r="H4" s="5">
        <f>H7/20</f>
        <v>7.9500000000000008E-5</v>
      </c>
      <c r="I4" s="5">
        <f t="shared" si="3"/>
        <v>2.9415000000000004</v>
      </c>
      <c r="J4" s="5">
        <f t="shared" ref="J4:J8" si="4">(I4-AVERAGE($I$3:$I$8))^2</f>
        <v>3888.7446560400017</v>
      </c>
      <c r="K4">
        <f t="shared" ref="K4:K8" si="5">F4*$B$61+$B$60</f>
        <v>1.1815378350424348</v>
      </c>
      <c r="L4">
        <f t="shared" si="0"/>
        <v>3.0978200335938433</v>
      </c>
      <c r="M4">
        <f t="shared" ref="M4:M8" si="6">(I4-AVERAGE($I$3:$I$8))^2</f>
        <v>3888.7446560400017</v>
      </c>
      <c r="N4">
        <f t="shared" si="1"/>
        <v>0.23882097262076729</v>
      </c>
    </row>
    <row r="5" spans="1:23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F5" s="2">
        <v>1.2604166666666666E-2</v>
      </c>
      <c r="G5" s="2">
        <v>9.3201388888888891E-4</v>
      </c>
      <c r="H5" s="5">
        <f>H7/10</f>
        <v>1.5900000000000002E-4</v>
      </c>
      <c r="I5" s="5">
        <f t="shared" si="3"/>
        <v>5.8830000000000009</v>
      </c>
      <c r="J5" s="5">
        <f t="shared" si="4"/>
        <v>3530.5343748900009</v>
      </c>
      <c r="K5">
        <f t="shared" si="5"/>
        <v>4.6928343319972328</v>
      </c>
      <c r="L5">
        <f t="shared" si="0"/>
        <v>5.9597586623280572</v>
      </c>
      <c r="M5">
        <f t="shared" si="6"/>
        <v>3530.5343748900009</v>
      </c>
      <c r="N5">
        <f t="shared" si="1"/>
        <v>0.23830159492838568</v>
      </c>
    </row>
    <row r="6" spans="1:23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F6" s="2">
        <v>5.0219907407407408E-2</v>
      </c>
      <c r="G6" s="2">
        <v>2.5444444444444447E-3</v>
      </c>
      <c r="H6" s="5">
        <f>H7/2</f>
        <v>7.9500000000000003E-4</v>
      </c>
      <c r="I6" s="5">
        <f t="shared" si="3"/>
        <v>29.415000000000003</v>
      </c>
      <c r="J6" s="5">
        <f t="shared" si="4"/>
        <v>1287.8265276900004</v>
      </c>
      <c r="K6">
        <f t="shared" si="5"/>
        <v>33.265360439300757</v>
      </c>
      <c r="L6">
        <f t="shared" si="0"/>
        <v>29.178071989722408</v>
      </c>
      <c r="M6">
        <f t="shared" si="6"/>
        <v>1287.8265276900004</v>
      </c>
      <c r="N6">
        <f t="shared" si="1"/>
        <v>0.23496515304651927</v>
      </c>
    </row>
    <row r="7" spans="1:23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 s="2">
        <v>9.4872685185185185E-2</v>
      </c>
      <c r="G7" s="2">
        <v>2.9521990740740741E-3</v>
      </c>
      <c r="H7" s="5">
        <v>1.5900000000000001E-3</v>
      </c>
      <c r="I7" s="5">
        <f t="shared" si="3"/>
        <v>58.830000000000005</v>
      </c>
      <c r="J7" s="5">
        <f t="shared" si="4"/>
        <v>41.877723690000082</v>
      </c>
      <c r="K7">
        <f t="shared" si="5"/>
        <v>67.183146815293682</v>
      </c>
      <c r="L7">
        <f t="shared" si="0"/>
        <v>58.581845961582474</v>
      </c>
      <c r="M7">
        <f t="shared" si="6"/>
        <v>41.877723690000082</v>
      </c>
      <c r="N7">
        <f t="shared" si="1"/>
        <v>0.23304764250463261</v>
      </c>
    </row>
    <row r="8" spans="1:23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F8" s="2">
        <v>0.39049768518518518</v>
      </c>
      <c r="G8" s="2">
        <v>5.6158564814814812E-3</v>
      </c>
      <c r="H8" s="5">
        <f>H7*5</f>
        <v>7.9500000000000005E-3</v>
      </c>
      <c r="I8" s="5">
        <f t="shared" si="3"/>
        <v>294.15000000000003</v>
      </c>
      <c r="J8" s="5">
        <f t="shared" si="4"/>
        <v>52371.727491690006</v>
      </c>
      <c r="K8">
        <f t="shared" si="5"/>
        <v>291.73682737921575</v>
      </c>
      <c r="L8">
        <f t="shared" si="0"/>
        <v>294.21986095032389</v>
      </c>
      <c r="M8">
        <f t="shared" si="6"/>
        <v>52371.727491690006</v>
      </c>
      <c r="N8">
        <f t="shared" si="1"/>
        <v>0.30267266037130586</v>
      </c>
    </row>
    <row r="9" spans="1:23" x14ac:dyDescent="0.25">
      <c r="A9" s="4"/>
      <c r="H9" s="5"/>
      <c r="I9" s="5"/>
      <c r="J9" s="5">
        <f>SUM(J3:J8)</f>
        <v>65308.483143000012</v>
      </c>
    </row>
    <row r="10" spans="1:23" x14ac:dyDescent="0.25">
      <c r="A10" s="6" t="s">
        <v>54</v>
      </c>
      <c r="I10" s="5"/>
    </row>
    <row r="11" spans="1:23" x14ac:dyDescent="0.25">
      <c r="A11" t="s">
        <v>55</v>
      </c>
      <c r="B11" t="s">
        <v>56</v>
      </c>
      <c r="C11" s="2" t="s">
        <v>57</v>
      </c>
      <c r="K11" s="7" t="s">
        <v>54</v>
      </c>
    </row>
    <row r="12" spans="1:23" ht="15.75" thickBot="1" x14ac:dyDescent="0.3">
      <c r="K12" t="s">
        <v>58</v>
      </c>
      <c r="M12" t="s">
        <v>57</v>
      </c>
      <c r="V12" t="s">
        <v>55</v>
      </c>
    </row>
    <row r="13" spans="1:23" ht="15.75" thickBot="1" x14ac:dyDescent="0.3">
      <c r="A13" s="8" t="s">
        <v>59</v>
      </c>
      <c r="B13" s="8"/>
    </row>
    <row r="14" spans="1:23" x14ac:dyDescent="0.25">
      <c r="A14" s="9" t="s">
        <v>60</v>
      </c>
      <c r="B14" s="9">
        <v>0.99999857522978297</v>
      </c>
      <c r="K14" t="s">
        <v>55</v>
      </c>
      <c r="V14" s="10" t="s">
        <v>59</v>
      </c>
      <c r="W14" s="10"/>
    </row>
    <row r="15" spans="1:23" ht="15.75" thickBot="1" x14ac:dyDescent="0.3">
      <c r="A15" s="9" t="s">
        <v>61</v>
      </c>
      <c r="B15" s="9">
        <v>0.99999715046159587</v>
      </c>
      <c r="V15" s="11" t="s">
        <v>60</v>
      </c>
      <c r="W15" s="11">
        <v>0.99999829960800468</v>
      </c>
    </row>
    <row r="16" spans="1:23" x14ac:dyDescent="0.25">
      <c r="A16" s="9" t="s">
        <v>62</v>
      </c>
      <c r="B16" s="9">
        <v>0.99999643807699479</v>
      </c>
      <c r="K16" s="10" t="s">
        <v>59</v>
      </c>
      <c r="L16" s="10"/>
      <c r="M16" s="12"/>
      <c r="V16" s="11" t="s">
        <v>61</v>
      </c>
      <c r="W16" s="11">
        <v>0.99999659921890061</v>
      </c>
    </row>
    <row r="17" spans="1:30" x14ac:dyDescent="0.25">
      <c r="A17" s="9" t="s">
        <v>63</v>
      </c>
      <c r="B17" s="9">
        <v>0.2156959844518157</v>
      </c>
      <c r="K17" s="11" t="s">
        <v>60</v>
      </c>
      <c r="L17" s="11">
        <v>0.99999857522978297</v>
      </c>
      <c r="M17" s="11"/>
      <c r="V17" s="11" t="s">
        <v>62</v>
      </c>
      <c r="W17" s="11">
        <v>0.9999959190626807</v>
      </c>
    </row>
    <row r="18" spans="1:30" ht="15.75" customHeight="1" thickBot="1" x14ac:dyDescent="0.3">
      <c r="A18" s="13" t="s">
        <v>64</v>
      </c>
      <c r="B18" s="13">
        <v>6</v>
      </c>
      <c r="K18" s="11" t="s">
        <v>61</v>
      </c>
      <c r="L18" s="11">
        <v>0.99999715046159587</v>
      </c>
      <c r="M18" s="11"/>
      <c r="V18" s="11" t="s">
        <v>63</v>
      </c>
      <c r="W18" s="11">
        <v>0.21657792198407996</v>
      </c>
    </row>
    <row r="19" spans="1:30" ht="15.75" thickBot="1" x14ac:dyDescent="0.3">
      <c r="K19" s="11" t="s">
        <v>62</v>
      </c>
      <c r="L19" s="11">
        <v>0.99999643807699479</v>
      </c>
      <c r="M19" s="11"/>
      <c r="V19" s="14" t="s">
        <v>64</v>
      </c>
      <c r="W19" s="14">
        <v>7</v>
      </c>
    </row>
    <row r="20" spans="1:30" ht="15.75" customHeight="1" thickBot="1" x14ac:dyDescent="0.3">
      <c r="A20" t="s">
        <v>65</v>
      </c>
      <c r="K20" s="11" t="s">
        <v>63</v>
      </c>
      <c r="L20" s="11">
        <v>0.98521674441591967</v>
      </c>
      <c r="M20" t="s">
        <v>66</v>
      </c>
    </row>
    <row r="21" spans="1:30" ht="15.75" thickBot="1" x14ac:dyDescent="0.3">
      <c r="A21" s="15"/>
      <c r="B21" s="15" t="s">
        <v>67</v>
      </c>
      <c r="C21" s="15" t="s">
        <v>68</v>
      </c>
      <c r="D21" s="15" t="s">
        <v>69</v>
      </c>
      <c r="E21" s="15" t="s">
        <v>70</v>
      </c>
      <c r="F21" s="15" t="s">
        <v>71</v>
      </c>
      <c r="K21" s="14" t="s">
        <v>64</v>
      </c>
      <c r="L21" s="14">
        <v>6</v>
      </c>
      <c r="M21" s="11"/>
      <c r="V21" t="s">
        <v>65</v>
      </c>
    </row>
    <row r="22" spans="1:30" x14ac:dyDescent="0.25">
      <c r="A22" s="9" t="s">
        <v>72</v>
      </c>
      <c r="B22" s="9">
        <v>1</v>
      </c>
      <c r="C22" s="9">
        <v>65308.297043969178</v>
      </c>
      <c r="D22" s="9">
        <v>65308.297043969178</v>
      </c>
      <c r="E22" s="9">
        <v>1403732.125870778</v>
      </c>
      <c r="F22" s="9">
        <v>3.0449538110702301E-12</v>
      </c>
      <c r="V22" s="16"/>
      <c r="W22" s="16" t="s">
        <v>67</v>
      </c>
      <c r="X22" s="16" t="s">
        <v>68</v>
      </c>
      <c r="Y22" s="16" t="s">
        <v>69</v>
      </c>
      <c r="Z22" s="16" t="s">
        <v>70</v>
      </c>
      <c r="AA22" s="16" t="s">
        <v>71</v>
      </c>
    </row>
    <row r="23" spans="1:30" ht="15.75" thickBot="1" x14ac:dyDescent="0.3">
      <c r="A23" s="9" t="s">
        <v>73</v>
      </c>
      <c r="B23" s="9">
        <v>4</v>
      </c>
      <c r="C23" s="9">
        <v>0.1860990308345517</v>
      </c>
      <c r="D23" s="9">
        <v>4.6524757708637926E-2</v>
      </c>
      <c r="E23" s="9"/>
      <c r="F23" s="9"/>
      <c r="K23" t="s">
        <v>65</v>
      </c>
      <c r="V23" s="11" t="s">
        <v>72</v>
      </c>
      <c r="W23" s="11">
        <v>1</v>
      </c>
      <c r="X23" s="11">
        <v>68963.328425895714</v>
      </c>
      <c r="Y23" s="11">
        <v>68963.328425895714</v>
      </c>
      <c r="Z23" s="11">
        <v>1470245.467085684</v>
      </c>
      <c r="AA23" s="11">
        <v>7.241458966576287E-15</v>
      </c>
    </row>
    <row r="24" spans="1:30" ht="15.75" customHeight="1" thickBot="1" x14ac:dyDescent="0.3">
      <c r="A24" s="13" t="s">
        <v>74</v>
      </c>
      <c r="B24" s="13">
        <v>5</v>
      </c>
      <c r="C24" s="13">
        <v>65308.483143000012</v>
      </c>
      <c r="D24" s="13"/>
      <c r="E24" s="13"/>
      <c r="F24" s="13"/>
      <c r="K24" s="16"/>
      <c r="L24" s="16" t="s">
        <v>67</v>
      </c>
      <c r="M24" s="16"/>
      <c r="N24" s="16" t="s">
        <v>68</v>
      </c>
      <c r="O24" s="16" t="s">
        <v>69</v>
      </c>
      <c r="P24" s="16" t="s">
        <v>70</v>
      </c>
      <c r="Q24" s="16" t="s">
        <v>71</v>
      </c>
      <c r="V24" s="11" t="s">
        <v>73</v>
      </c>
      <c r="W24" s="11">
        <v>5</v>
      </c>
      <c r="X24" s="11">
        <v>0.23452998145471113</v>
      </c>
      <c r="Y24" s="11">
        <v>4.6905996290942227E-2</v>
      </c>
      <c r="Z24" s="11"/>
      <c r="AA24" s="11"/>
    </row>
    <row r="25" spans="1:30" ht="15.75" thickBot="1" x14ac:dyDescent="0.3">
      <c r="K25" s="11" t="s">
        <v>72</v>
      </c>
      <c r="L25" s="11">
        <v>1</v>
      </c>
      <c r="M25" s="11"/>
      <c r="N25" s="11">
        <v>1362535.4424342527</v>
      </c>
      <c r="O25" s="11">
        <v>1362535.4424342527</v>
      </c>
      <c r="P25" s="11">
        <v>1403732.1258708637</v>
      </c>
      <c r="Q25" s="11">
        <v>3.0449538110698621E-12</v>
      </c>
      <c r="V25" s="14" t="s">
        <v>74</v>
      </c>
      <c r="W25" s="14">
        <v>6</v>
      </c>
      <c r="X25" s="14">
        <v>68963.562955877162</v>
      </c>
      <c r="Y25" s="14"/>
      <c r="Z25" s="14"/>
      <c r="AA25" s="14"/>
    </row>
    <row r="26" spans="1:30" ht="15.75" thickBot="1" x14ac:dyDescent="0.3">
      <c r="A26" s="15"/>
      <c r="B26" s="15" t="s">
        <v>75</v>
      </c>
      <c r="C26" s="15" t="s">
        <v>63</v>
      </c>
      <c r="D26" s="15" t="s">
        <v>76</v>
      </c>
      <c r="E26" s="15" t="s">
        <v>77</v>
      </c>
      <c r="F26" s="15" t="s">
        <v>78</v>
      </c>
      <c r="G26" s="15" t="s">
        <v>79</v>
      </c>
      <c r="H26" s="15" t="s">
        <v>80</v>
      </c>
      <c r="I26" s="15" t="s">
        <v>81</v>
      </c>
      <c r="J26" s="17"/>
      <c r="K26" s="11" t="s">
        <v>73</v>
      </c>
      <c r="L26" s="11">
        <v>4</v>
      </c>
      <c r="M26" s="11"/>
      <c r="N26" s="11">
        <v>3.882608133910014</v>
      </c>
      <c r="O26" s="11">
        <v>0.97065203347750351</v>
      </c>
      <c r="P26" s="11"/>
      <c r="Q26" s="11"/>
    </row>
    <row r="27" spans="1:30" ht="15.75" thickBot="1" x14ac:dyDescent="0.3">
      <c r="A27" s="9" t="s">
        <v>82</v>
      </c>
      <c r="B27" s="9">
        <v>-8.5291165795524648E-3</v>
      </c>
      <c r="C27" s="9">
        <v>0.10388802405182966</v>
      </c>
      <c r="D27" s="9">
        <v>-8.2099131804617781E-2</v>
      </c>
      <c r="E27" s="9">
        <v>0.93851196251853586</v>
      </c>
      <c r="F27" s="9">
        <v>-0.29696851244692557</v>
      </c>
      <c r="G27" s="9">
        <v>0.27991027928782064</v>
      </c>
      <c r="H27" s="9">
        <v>-0.29696851244692557</v>
      </c>
      <c r="I27" s="9">
        <v>0.27991027928782064</v>
      </c>
      <c r="J27" s="9"/>
      <c r="K27" s="14" t="s">
        <v>74</v>
      </c>
      <c r="L27" s="14">
        <v>5</v>
      </c>
      <c r="M27" s="14"/>
      <c r="N27" s="14">
        <v>1362539.3250423865</v>
      </c>
      <c r="O27" s="14"/>
      <c r="P27" s="14"/>
      <c r="Q27" s="14"/>
      <c r="V27" s="16"/>
      <c r="W27" s="16" t="s">
        <v>75</v>
      </c>
      <c r="X27" s="16" t="s">
        <v>63</v>
      </c>
      <c r="Y27" s="16" t="s">
        <v>76</v>
      </c>
      <c r="Z27" s="16" t="s">
        <v>77</v>
      </c>
      <c r="AA27" s="16" t="s">
        <v>78</v>
      </c>
      <c r="AB27" s="16" t="s">
        <v>79</v>
      </c>
      <c r="AC27" s="16" t="s">
        <v>80</v>
      </c>
      <c r="AD27" s="16" t="s">
        <v>81</v>
      </c>
    </row>
    <row r="28" spans="1:30" ht="15.75" customHeight="1" thickBot="1" x14ac:dyDescent="0.3">
      <c r="A28" s="13" t="s">
        <v>83</v>
      </c>
      <c r="B28" s="13">
        <v>0.21893220791986087</v>
      </c>
      <c r="C28" s="13">
        <v>1.8478535016888282E-4</v>
      </c>
      <c r="D28" s="13">
        <v>1184.7920179806995</v>
      </c>
      <c r="E28" s="13">
        <v>3.0449538110702301E-12</v>
      </c>
      <c r="F28" s="13">
        <v>0.21841916153887223</v>
      </c>
      <c r="G28" s="13">
        <v>0.21944525430084952</v>
      </c>
      <c r="H28" s="13">
        <v>0.21841916153887223</v>
      </c>
      <c r="I28" s="13">
        <v>0.21944525430084952</v>
      </c>
      <c r="J28" s="18"/>
      <c r="V28" s="11" t="s">
        <v>82</v>
      </c>
      <c r="W28" s="11">
        <v>-5.448301612160833E-2</v>
      </c>
      <c r="X28" s="11">
        <v>9.3999431059690358E-2</v>
      </c>
      <c r="Y28" s="11">
        <v>-0.57961006260783854</v>
      </c>
      <c r="Z28" s="11">
        <v>0.58731182151210115</v>
      </c>
      <c r="AA28" s="11">
        <v>-0.29611624616379639</v>
      </c>
      <c r="AB28" s="11">
        <v>0.18715021392057976</v>
      </c>
      <c r="AC28" s="11">
        <v>-0.29611624616379639</v>
      </c>
      <c r="AD28" s="11">
        <v>0.18715021392057976</v>
      </c>
    </row>
    <row r="29" spans="1:30" ht="15.75" thickBot="1" x14ac:dyDescent="0.3">
      <c r="K29" s="16"/>
      <c r="L29" s="16" t="s">
        <v>75</v>
      </c>
      <c r="M29" s="16"/>
      <c r="N29" s="16" t="s">
        <v>63</v>
      </c>
      <c r="O29" s="16" t="s">
        <v>76</v>
      </c>
      <c r="P29" s="16" t="s">
        <v>77</v>
      </c>
      <c r="Q29" s="16" t="s">
        <v>78</v>
      </c>
      <c r="R29" s="16" t="s">
        <v>79</v>
      </c>
      <c r="S29" s="16" t="s">
        <v>80</v>
      </c>
      <c r="T29" s="16" t="s">
        <v>81</v>
      </c>
      <c r="V29" s="14" t="s">
        <v>83</v>
      </c>
      <c r="W29" s="14">
        <v>0.21897545779439398</v>
      </c>
      <c r="X29" s="14">
        <v>1.8059283611157159E-4</v>
      </c>
      <c r="Y29" s="14">
        <v>1212.5367899926514</v>
      </c>
      <c r="Z29" s="14">
        <v>7.241458966576287E-15</v>
      </c>
      <c r="AA29" s="14">
        <v>0.21851122913023951</v>
      </c>
      <c r="AB29" s="14">
        <v>0.21943968645854844</v>
      </c>
      <c r="AC29" s="14">
        <v>0.21851122913023951</v>
      </c>
      <c r="AD29" s="14">
        <v>0.21943968645854844</v>
      </c>
    </row>
    <row r="30" spans="1:30" x14ac:dyDescent="0.25">
      <c r="K30" s="11" t="s">
        <v>82</v>
      </c>
      <c r="L30" s="11">
        <v>3.980773420477135E-2</v>
      </c>
      <c r="M30" s="11"/>
      <c r="N30" s="11">
        <v>0.47450311588139682</v>
      </c>
      <c r="O30" s="11">
        <v>8.3893514863074975E-2</v>
      </c>
      <c r="P30" s="11">
        <v>0.93717195197236269</v>
      </c>
      <c r="Q30" s="11">
        <v>-1.2776241192852342</v>
      </c>
      <c r="R30" s="11">
        <v>1.3572395876947769</v>
      </c>
      <c r="S30" s="11">
        <v>-1.2776241192852342</v>
      </c>
      <c r="T30" s="11">
        <v>1.3572395876947769</v>
      </c>
    </row>
    <row r="31" spans="1:30" ht="15.75" thickBot="1" x14ac:dyDescent="0.3">
      <c r="K31" s="14" t="s">
        <v>83</v>
      </c>
      <c r="L31" s="14">
        <v>4.5676109511837577</v>
      </c>
      <c r="M31" s="14"/>
      <c r="N31" s="14">
        <v>3.8552006443868751E-3</v>
      </c>
      <c r="O31" s="14">
        <v>1184.7920179807356</v>
      </c>
      <c r="P31" s="14">
        <v>3.0449538110698516E-12</v>
      </c>
      <c r="Q31" s="14">
        <v>4.5569071982250948</v>
      </c>
      <c r="R31" s="14">
        <v>4.5783147041424206</v>
      </c>
      <c r="S31" s="14">
        <v>4.5569071982250948</v>
      </c>
      <c r="T31" s="14">
        <v>4.5783147041424206</v>
      </c>
    </row>
    <row r="32" spans="1:30" x14ac:dyDescent="0.25">
      <c r="A32" t="s">
        <v>84</v>
      </c>
    </row>
    <row r="33" spans="1:24" ht="15.75" thickBot="1" x14ac:dyDescent="0.3">
      <c r="V33" t="s">
        <v>84</v>
      </c>
    </row>
    <row r="34" spans="1:24" ht="15.75" thickBot="1" x14ac:dyDescent="0.3">
      <c r="A34" s="15" t="s">
        <v>85</v>
      </c>
      <c r="B34" s="15" t="s">
        <v>86</v>
      </c>
      <c r="C34" s="15" t="s">
        <v>87</v>
      </c>
    </row>
    <row r="35" spans="1:24" x14ac:dyDescent="0.25">
      <c r="A35" s="9">
        <v>1</v>
      </c>
      <c r="B35" s="9">
        <v>0.77062628560635238</v>
      </c>
      <c r="C35" s="9">
        <v>-0.18232628560635233</v>
      </c>
      <c r="K35" t="s">
        <v>84</v>
      </c>
      <c r="V35" s="16" t="s">
        <v>85</v>
      </c>
      <c r="W35" s="16" t="s">
        <v>86</v>
      </c>
      <c r="X35" s="16" t="s">
        <v>87</v>
      </c>
    </row>
    <row r="36" spans="1:24" ht="15.75" thickBot="1" x14ac:dyDescent="0.3">
      <c r="A36" s="9">
        <v>2</v>
      </c>
      <c r="B36" s="9">
        <v>3.0979972847988737</v>
      </c>
      <c r="C36" s="9">
        <v>-0.15649728479887326</v>
      </c>
      <c r="V36" s="11">
        <v>1</v>
      </c>
      <c r="W36" s="11">
        <v>0.19831198459880872</v>
      </c>
      <c r="X36" s="11">
        <v>-0.19831198459880872</v>
      </c>
    </row>
    <row r="37" spans="1:24" x14ac:dyDescent="0.25">
      <c r="A37" s="9">
        <v>3</v>
      </c>
      <c r="B37" s="9">
        <v>5.9599277583290551</v>
      </c>
      <c r="C37" s="9">
        <v>-7.6927758329054186E-2</v>
      </c>
      <c r="K37" s="16" t="s">
        <v>85</v>
      </c>
      <c r="L37" s="16" t="s">
        <v>86</v>
      </c>
      <c r="M37" s="16"/>
      <c r="N37" s="16" t="s">
        <v>87</v>
      </c>
      <c r="O37" s="19" t="s">
        <v>88</v>
      </c>
      <c r="V37" s="11">
        <v>2</v>
      </c>
      <c r="W37" s="11">
        <v>0.72482630756221822</v>
      </c>
      <c r="X37" s="11">
        <v>-0.13652630756221817</v>
      </c>
    </row>
    <row r="38" spans="1:24" x14ac:dyDescent="0.25">
      <c r="A38" s="9">
        <v>4</v>
      </c>
      <c r="B38" s="9">
        <v>29.178174924247902</v>
      </c>
      <c r="C38" s="9">
        <v>0.2368250757521011</v>
      </c>
      <c r="K38" s="11">
        <v>1</v>
      </c>
      <c r="L38" s="11">
        <v>2.7269332567861762</v>
      </c>
      <c r="M38" s="11"/>
      <c r="N38" s="11">
        <v>0.83195563210271262</v>
      </c>
      <c r="O38">
        <f>N38^2</f>
        <v>0.69215017378742405</v>
      </c>
      <c r="V38" s="11">
        <v>3</v>
      </c>
      <c r="W38" s="11">
        <v>3.0526570769487344</v>
      </c>
      <c r="X38" s="11">
        <v>-0.111157076948734</v>
      </c>
    </row>
    <row r="39" spans="1:24" x14ac:dyDescent="0.25">
      <c r="A39" s="9">
        <v>5</v>
      </c>
      <c r="B39" s="9">
        <v>58.581865108924809</v>
      </c>
      <c r="C39" s="9">
        <v>0.24813489107519615</v>
      </c>
      <c r="K39" s="11">
        <v>2</v>
      </c>
      <c r="L39" s="11">
        <v>13.475435347111796</v>
      </c>
      <c r="M39" s="11"/>
      <c r="N39" s="11">
        <v>0.71400909733264939</v>
      </c>
      <c r="O39">
        <f t="shared" ref="O39:O43" si="7">N39^2</f>
        <v>0.50980899107378475</v>
      </c>
      <c r="V39" s="11">
        <v>4</v>
      </c>
      <c r="W39" s="11">
        <v>5.915152922449896</v>
      </c>
      <c r="X39" s="11">
        <v>-3.2152922449895094E-2</v>
      </c>
    </row>
    <row r="40" spans="1:24" ht="15.75" customHeight="1" thickBot="1" x14ac:dyDescent="0.3">
      <c r="A40" s="13">
        <v>6</v>
      </c>
      <c r="B40" s="13">
        <v>294.21920863809305</v>
      </c>
      <c r="C40" s="13">
        <v>-6.9208638093016361E-2</v>
      </c>
      <c r="K40" s="11">
        <v>3</v>
      </c>
      <c r="L40" s="11">
        <v>26.911062960018821</v>
      </c>
      <c r="M40" s="11"/>
      <c r="N40" s="11">
        <v>0.35060370664784557</v>
      </c>
      <c r="O40">
        <f t="shared" si="7"/>
        <v>0.12292295911520855</v>
      </c>
      <c r="V40" s="11">
        <v>5</v>
      </c>
      <c r="W40" s="11">
        <v>29.137986833673811</v>
      </c>
      <c r="X40" s="11">
        <v>0.27701316632619211</v>
      </c>
    </row>
    <row r="41" spans="1:24" ht="15.75" customHeight="1" thickBot="1" x14ac:dyDescent="0.3">
      <c r="A41" s="13">
        <v>6</v>
      </c>
      <c r="B41" s="13">
        <v>1343.6025690249071</v>
      </c>
      <c r="C41" s="13">
        <v>0.3190976417595266</v>
      </c>
      <c r="K41" s="11">
        <v>4</v>
      </c>
      <c r="L41" s="11">
        <v>134.39608386327501</v>
      </c>
      <c r="M41" s="11"/>
      <c r="N41" s="11">
        <v>-1.0821949743861126</v>
      </c>
      <c r="O41">
        <f t="shared" si="7"/>
        <v>1.1711459625865588</v>
      </c>
      <c r="V41" s="11">
        <v>6</v>
      </c>
      <c r="W41" s="11">
        <v>58.547485692749888</v>
      </c>
      <c r="X41" s="11">
        <v>0.28251430725011772</v>
      </c>
    </row>
    <row r="42" spans="1:24" ht="15.75" thickBot="1" x14ac:dyDescent="0.3">
      <c r="K42" s="11">
        <v>5</v>
      </c>
      <c r="L42" s="11">
        <v>268.75235999234525</v>
      </c>
      <c r="M42" s="11"/>
      <c r="N42" s="11">
        <v>-1.1334711034563725</v>
      </c>
      <c r="O42">
        <f t="shared" si="7"/>
        <v>1.2847567423706066</v>
      </c>
      <c r="V42" s="14">
        <v>7</v>
      </c>
      <c r="W42" s="14">
        <v>294.23137918201667</v>
      </c>
      <c r="X42" s="14">
        <v>-8.1379182016632967E-2</v>
      </c>
    </row>
    <row r="43" spans="1:24" ht="15.75" thickBot="1" x14ac:dyDescent="0.3">
      <c r="A43" s="20" t="s">
        <v>89</v>
      </c>
      <c r="K43" s="14">
        <v>6</v>
      </c>
      <c r="L43" s="14">
        <v>1343.6025690249071</v>
      </c>
      <c r="M43" s="14"/>
      <c r="N43" s="14">
        <v>0.3190976417595266</v>
      </c>
      <c r="O43">
        <f t="shared" si="7"/>
        <v>0.10182330497649117</v>
      </c>
    </row>
    <row r="44" spans="1:24" x14ac:dyDescent="0.25">
      <c r="A44" t="s">
        <v>55</v>
      </c>
      <c r="B44" t="s">
        <v>90</v>
      </c>
      <c r="C44"/>
      <c r="D44"/>
      <c r="E44"/>
      <c r="F44"/>
      <c r="G44"/>
      <c r="H44"/>
      <c r="I44"/>
    </row>
    <row r="45" spans="1:24" ht="15.75" thickBot="1" x14ac:dyDescent="0.3">
      <c r="A45"/>
      <c r="B45"/>
      <c r="C45"/>
      <c r="D45"/>
      <c r="E45"/>
      <c r="F45"/>
      <c r="G45"/>
      <c r="H45"/>
      <c r="I45"/>
    </row>
    <row r="46" spans="1:24" x14ac:dyDescent="0.25">
      <c r="A46" s="10" t="s">
        <v>59</v>
      </c>
      <c r="B46" s="10"/>
      <c r="C46"/>
      <c r="D46"/>
      <c r="E46"/>
      <c r="F46"/>
      <c r="G46"/>
      <c r="H46"/>
      <c r="I46"/>
    </row>
    <row r="47" spans="1:24" x14ac:dyDescent="0.25">
      <c r="A47" s="11" t="s">
        <v>60</v>
      </c>
      <c r="B47" s="11">
        <v>0.99913678675732565</v>
      </c>
      <c r="C47"/>
      <c r="D47"/>
      <c r="E47"/>
      <c r="F47"/>
      <c r="G47"/>
      <c r="H47"/>
      <c r="I47"/>
    </row>
    <row r="48" spans="1:24" x14ac:dyDescent="0.25">
      <c r="A48" s="11" t="s">
        <v>61</v>
      </c>
      <c r="B48" s="11">
        <v>0.99827431865175353</v>
      </c>
      <c r="C48"/>
      <c r="D48"/>
      <c r="E48"/>
      <c r="F48"/>
      <c r="G48"/>
      <c r="H48"/>
      <c r="I48"/>
    </row>
    <row r="49" spans="1:10" x14ac:dyDescent="0.25">
      <c r="A49" s="11" t="s">
        <v>62</v>
      </c>
      <c r="B49" s="11">
        <v>0.99792918238210437</v>
      </c>
      <c r="C49"/>
      <c r="D49"/>
      <c r="E49"/>
      <c r="F49"/>
      <c r="G49"/>
      <c r="H49"/>
      <c r="I49"/>
    </row>
    <row r="50" spans="1:10" x14ac:dyDescent="0.25">
      <c r="A50" s="11" t="s">
        <v>63</v>
      </c>
      <c r="B50" s="11">
        <v>4.8787115983951139</v>
      </c>
      <c r="C50"/>
      <c r="D50"/>
      <c r="E50"/>
      <c r="F50"/>
      <c r="G50"/>
      <c r="H50"/>
      <c r="I50"/>
    </row>
    <row r="51" spans="1:10" ht="15.75" customHeight="1" thickBot="1" x14ac:dyDescent="0.3">
      <c r="A51" s="14" t="s">
        <v>64</v>
      </c>
      <c r="B51" s="14">
        <v>7</v>
      </c>
      <c r="C51"/>
      <c r="D51"/>
      <c r="E51"/>
      <c r="F51"/>
      <c r="G51"/>
      <c r="H51"/>
      <c r="I51"/>
    </row>
    <row r="52" spans="1:10" x14ac:dyDescent="0.25">
      <c r="A52"/>
      <c r="B52"/>
      <c r="C52"/>
      <c r="D52"/>
      <c r="E52"/>
      <c r="F52"/>
      <c r="G52"/>
      <c r="H52"/>
      <c r="I52"/>
    </row>
    <row r="53" spans="1:10" ht="15.75" customHeight="1" thickBot="1" x14ac:dyDescent="0.3">
      <c r="A53" t="s">
        <v>65</v>
      </c>
      <c r="B53"/>
      <c r="C53"/>
      <c r="D53"/>
      <c r="E53"/>
      <c r="F53"/>
      <c r="G53"/>
      <c r="H53"/>
      <c r="I53"/>
    </row>
    <row r="54" spans="1:10" x14ac:dyDescent="0.25">
      <c r="A54" s="16"/>
      <c r="B54" s="16" t="s">
        <v>67</v>
      </c>
      <c r="C54" s="16" t="s">
        <v>68</v>
      </c>
      <c r="D54" s="16" t="s">
        <v>69</v>
      </c>
      <c r="E54" s="16" t="s">
        <v>70</v>
      </c>
      <c r="F54" s="16" t="s">
        <v>71</v>
      </c>
      <c r="G54"/>
      <c r="H54"/>
      <c r="I54"/>
    </row>
    <row r="55" spans="1:10" x14ac:dyDescent="0.25">
      <c r="A55" s="11" t="s">
        <v>72</v>
      </c>
      <c r="B55" s="11">
        <v>1</v>
      </c>
      <c r="C55" s="11">
        <v>68844.553821575581</v>
      </c>
      <c r="D55" s="11">
        <v>68844.553821575581</v>
      </c>
      <c r="E55" s="11">
        <v>2892.4062940883214</v>
      </c>
      <c r="F55" s="11">
        <v>4.2028918326297201E-8</v>
      </c>
      <c r="G55"/>
      <c r="H55"/>
      <c r="I55"/>
    </row>
    <row r="56" spans="1:10" x14ac:dyDescent="0.25">
      <c r="A56" s="11" t="s">
        <v>73</v>
      </c>
      <c r="B56" s="11">
        <v>5</v>
      </c>
      <c r="C56" s="11">
        <v>119.00913430157502</v>
      </c>
      <c r="D56" s="11">
        <v>23.801826860315003</v>
      </c>
      <c r="E56" s="11"/>
      <c r="F56" s="11"/>
      <c r="G56"/>
      <c r="H56"/>
      <c r="I56"/>
    </row>
    <row r="57" spans="1:10" ht="15.75" customHeight="1" thickBot="1" x14ac:dyDescent="0.3">
      <c r="A57" s="14" t="s">
        <v>74</v>
      </c>
      <c r="B57" s="14">
        <v>6</v>
      </c>
      <c r="C57" s="14">
        <v>68963.562955877162</v>
      </c>
      <c r="D57" s="14"/>
      <c r="E57" s="14"/>
      <c r="F57" s="14"/>
      <c r="G57"/>
      <c r="H57"/>
      <c r="I57"/>
    </row>
    <row r="58" spans="1:10" ht="15.75" thickBot="1" x14ac:dyDescent="0.3">
      <c r="A58"/>
      <c r="B58"/>
      <c r="C58"/>
      <c r="D58"/>
      <c r="E58"/>
      <c r="F58"/>
      <c r="G58"/>
      <c r="H58"/>
      <c r="I58"/>
    </row>
    <row r="59" spans="1:10" x14ac:dyDescent="0.25">
      <c r="A59" s="16"/>
      <c r="B59" s="16" t="s">
        <v>75</v>
      </c>
      <c r="C59" s="16" t="s">
        <v>63</v>
      </c>
      <c r="D59" s="16" t="s">
        <v>76</v>
      </c>
      <c r="E59" s="16" t="s">
        <v>77</v>
      </c>
      <c r="F59" s="16" t="s">
        <v>78</v>
      </c>
      <c r="G59" s="16" t="s">
        <v>79</v>
      </c>
      <c r="H59" s="16" t="s">
        <v>80</v>
      </c>
      <c r="I59" s="16" t="s">
        <v>81</v>
      </c>
      <c r="J59" s="17"/>
    </row>
    <row r="60" spans="1:10" x14ac:dyDescent="0.25">
      <c r="A60" s="11" t="s">
        <v>82</v>
      </c>
      <c r="B60" s="11">
        <v>-4.8811598005730872</v>
      </c>
      <c r="C60" s="11">
        <v>2.1634624433925831</v>
      </c>
      <c r="D60" s="11">
        <v>-2.2561795863295924</v>
      </c>
      <c r="E60" s="11">
        <v>7.3703712687858761E-2</v>
      </c>
      <c r="F60" s="11">
        <v>-10.442517059639421</v>
      </c>
      <c r="G60" s="11">
        <v>0.68019745849324664</v>
      </c>
      <c r="H60" s="11">
        <v>-10.442517059639421</v>
      </c>
      <c r="I60" s="11">
        <v>0.68019745849324664</v>
      </c>
      <c r="J60" s="9"/>
    </row>
    <row r="61" spans="1:10" ht="15.75" customHeight="1" thickBot="1" x14ac:dyDescent="0.3">
      <c r="A61" s="14" t="s">
        <v>83</v>
      </c>
      <c r="B61" s="14">
        <v>759.58961712954601</v>
      </c>
      <c r="C61" s="14">
        <v>14.12372883203613</v>
      </c>
      <c r="D61" s="14">
        <v>53.781096066260332</v>
      </c>
      <c r="E61" s="14">
        <v>4.2028918326297201E-8</v>
      </c>
      <c r="F61" s="14">
        <v>723.28341634246101</v>
      </c>
      <c r="G61" s="14">
        <v>795.89581791663102</v>
      </c>
      <c r="H61" s="14">
        <v>723.28341634246101</v>
      </c>
      <c r="I61" s="14">
        <v>795.89581791663102</v>
      </c>
      <c r="J61" s="18"/>
    </row>
    <row r="62" spans="1:10" x14ac:dyDescent="0.25">
      <c r="A62"/>
      <c r="B62"/>
      <c r="C62"/>
      <c r="D62"/>
      <c r="E62"/>
      <c r="F62"/>
      <c r="G62"/>
      <c r="H62"/>
      <c r="I62"/>
    </row>
    <row r="63" spans="1:10" x14ac:dyDescent="0.25">
      <c r="A63"/>
      <c r="B63"/>
      <c r="C63"/>
      <c r="D63"/>
      <c r="E63"/>
      <c r="F63"/>
      <c r="G63"/>
      <c r="H63"/>
      <c r="I63"/>
    </row>
    <row r="64" spans="1:10" x14ac:dyDescent="0.25">
      <c r="A64"/>
      <c r="B64"/>
      <c r="C64"/>
      <c r="D64"/>
      <c r="E64"/>
      <c r="F64"/>
      <c r="G64"/>
      <c r="H64"/>
      <c r="I64"/>
    </row>
    <row r="65" spans="1:9" x14ac:dyDescent="0.25">
      <c r="A65" t="s">
        <v>84</v>
      </c>
      <c r="B65"/>
      <c r="C65"/>
      <c r="D65"/>
      <c r="E65"/>
      <c r="F65"/>
      <c r="G65"/>
      <c r="H65"/>
      <c r="I65"/>
    </row>
    <row r="66" spans="1:9" ht="15.75" thickBot="1" x14ac:dyDescent="0.3">
      <c r="A66"/>
      <c r="B66"/>
      <c r="C66"/>
      <c r="D66"/>
      <c r="E66"/>
      <c r="F66"/>
      <c r="G66"/>
      <c r="H66"/>
      <c r="I66"/>
    </row>
    <row r="67" spans="1:9" x14ac:dyDescent="0.25">
      <c r="A67" s="16" t="s">
        <v>85</v>
      </c>
      <c r="B67" s="16" t="s">
        <v>86</v>
      </c>
      <c r="C67" s="16" t="s">
        <v>87</v>
      </c>
      <c r="D67"/>
      <c r="E67"/>
      <c r="F67"/>
      <c r="G67"/>
      <c r="H67"/>
      <c r="I67"/>
    </row>
    <row r="68" spans="1:9" x14ac:dyDescent="0.25">
      <c r="A68" s="11">
        <v>1</v>
      </c>
      <c r="B68" s="11">
        <v>-4.0020051511175945</v>
      </c>
      <c r="C68" s="11">
        <v>4.0020051511175945</v>
      </c>
      <c r="D68"/>
      <c r="E68"/>
      <c r="F68"/>
      <c r="G68"/>
      <c r="H68"/>
      <c r="I68"/>
    </row>
    <row r="69" spans="1:9" x14ac:dyDescent="0.25">
      <c r="A69" s="11">
        <v>2</v>
      </c>
      <c r="B69" s="11">
        <v>-2.249901649732176</v>
      </c>
      <c r="C69" s="11">
        <v>2.8382016497321763</v>
      </c>
      <c r="D69"/>
      <c r="E69"/>
      <c r="F69"/>
      <c r="G69"/>
      <c r="H69"/>
      <c r="I69"/>
    </row>
    <row r="70" spans="1:9" x14ac:dyDescent="0.25">
      <c r="A70" s="11">
        <v>3</v>
      </c>
      <c r="B70" s="11">
        <v>1.1815378350424348</v>
      </c>
      <c r="C70" s="11">
        <v>1.7599621649575656</v>
      </c>
      <c r="D70"/>
      <c r="E70"/>
      <c r="F70"/>
      <c r="G70"/>
      <c r="H70"/>
      <c r="I70"/>
    </row>
    <row r="71" spans="1:9" x14ac:dyDescent="0.25">
      <c r="A71" s="11">
        <v>4</v>
      </c>
      <c r="B71" s="11">
        <v>4.6928343319972328</v>
      </c>
      <c r="C71" s="11">
        <v>1.1901656680027681</v>
      </c>
      <c r="D71"/>
      <c r="E71"/>
      <c r="F71"/>
      <c r="G71"/>
      <c r="H71"/>
      <c r="I71"/>
    </row>
    <row r="72" spans="1:9" x14ac:dyDescent="0.25">
      <c r="A72" s="11">
        <v>5</v>
      </c>
      <c r="B72" s="11">
        <v>33.265360439300757</v>
      </c>
      <c r="C72" s="11">
        <v>-3.8503604393007542</v>
      </c>
      <c r="D72"/>
      <c r="E72"/>
      <c r="F72"/>
      <c r="G72"/>
      <c r="H72"/>
      <c r="I72"/>
    </row>
    <row r="73" spans="1:9" ht="15.75" customHeight="1" x14ac:dyDescent="0.25">
      <c r="A73" s="11">
        <v>6</v>
      </c>
      <c r="B73" s="11">
        <v>67.183146815293682</v>
      </c>
      <c r="C73" s="11">
        <v>-8.3531468152936768</v>
      </c>
      <c r="D73"/>
      <c r="E73"/>
      <c r="F73"/>
      <c r="G73"/>
      <c r="H73"/>
      <c r="I73"/>
    </row>
    <row r="74" spans="1:9" ht="15.75" thickBot="1" x14ac:dyDescent="0.3">
      <c r="A74" s="14">
        <v>7</v>
      </c>
      <c r="B74" s="14">
        <v>291.73682737921575</v>
      </c>
      <c r="C74" s="14">
        <v>2.4131726207842803</v>
      </c>
      <c r="D74"/>
      <c r="E74"/>
      <c r="F74"/>
      <c r="G74"/>
      <c r="H74"/>
      <c r="I7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56" workbookViewId="0">
      <selection activeCell="H76" sqref="H76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24">
        <v>42464.413194444445</v>
      </c>
      <c r="B2" t="s">
        <v>125</v>
      </c>
      <c r="C2">
        <v>80.8</v>
      </c>
      <c r="D2">
        <v>7.04</v>
      </c>
      <c r="E2">
        <v>0.18</v>
      </c>
      <c r="F2">
        <v>585.79999999999995</v>
      </c>
    </row>
    <row r="3" spans="1:6" x14ac:dyDescent="0.25">
      <c r="A3" s="24">
        <v>42464.413194444445</v>
      </c>
      <c r="B3" t="s">
        <v>126</v>
      </c>
      <c r="C3">
        <v>73</v>
      </c>
      <c r="D3">
        <v>7.4</v>
      </c>
      <c r="E3">
        <v>0.22</v>
      </c>
      <c r="F3">
        <v>596.42999999999995</v>
      </c>
    </row>
    <row r="4" spans="1:6" x14ac:dyDescent="0.25">
      <c r="A4" s="24">
        <v>42464.413194444445</v>
      </c>
      <c r="B4" t="s">
        <v>127</v>
      </c>
      <c r="C4">
        <v>74.099999999999994</v>
      </c>
      <c r="D4">
        <v>7.35</v>
      </c>
      <c r="E4">
        <v>0.17</v>
      </c>
      <c r="F4">
        <v>607.05999999999995</v>
      </c>
    </row>
    <row r="5" spans="1:6" x14ac:dyDescent="0.25">
      <c r="A5" s="24">
        <v>42464.413194444445</v>
      </c>
      <c r="B5" t="s">
        <v>128</v>
      </c>
      <c r="C5">
        <v>77.5</v>
      </c>
      <c r="D5">
        <v>7.18</v>
      </c>
      <c r="E5">
        <v>0.15</v>
      </c>
      <c r="F5">
        <v>617.69000000000005</v>
      </c>
    </row>
    <row r="6" spans="1:6" x14ac:dyDescent="0.25">
      <c r="A6" s="24">
        <v>42464.413194444445</v>
      </c>
      <c r="B6" t="s">
        <v>129</v>
      </c>
      <c r="C6">
        <v>81.3</v>
      </c>
      <c r="D6">
        <v>7.01</v>
      </c>
      <c r="E6">
        <v>0.15</v>
      </c>
      <c r="F6">
        <v>628.33000000000004</v>
      </c>
    </row>
    <row r="7" spans="1:6" x14ac:dyDescent="0.25">
      <c r="A7" s="24">
        <v>42464.413194444445</v>
      </c>
      <c r="B7" t="s">
        <v>130</v>
      </c>
      <c r="C7">
        <v>76.099999999999994</v>
      </c>
      <c r="D7">
        <v>7.25</v>
      </c>
      <c r="E7">
        <v>0.13</v>
      </c>
      <c r="F7">
        <v>638.96</v>
      </c>
    </row>
    <row r="8" spans="1:6" x14ac:dyDescent="0.25">
      <c r="A8" s="24">
        <v>42464.413194444445</v>
      </c>
      <c r="B8" t="s">
        <v>131</v>
      </c>
      <c r="C8">
        <v>132.4</v>
      </c>
      <c r="D8">
        <v>5.5</v>
      </c>
      <c r="E8">
        <v>7.0000000000000007E-2</v>
      </c>
      <c r="F8">
        <v>649.69000000000005</v>
      </c>
    </row>
    <row r="9" spans="1:6" x14ac:dyDescent="0.25">
      <c r="A9" s="24">
        <v>42464.413194444445</v>
      </c>
      <c r="B9" t="s">
        <v>132</v>
      </c>
      <c r="C9">
        <v>157.80000000000001</v>
      </c>
      <c r="D9">
        <v>5.03</v>
      </c>
      <c r="E9">
        <v>7.0000000000000007E-2</v>
      </c>
      <c r="F9">
        <v>660.33</v>
      </c>
    </row>
    <row r="10" spans="1:6" x14ac:dyDescent="0.25">
      <c r="A10" s="24">
        <v>42464.413194444445</v>
      </c>
      <c r="B10" t="s">
        <v>133</v>
      </c>
      <c r="C10">
        <v>133.30000000000001</v>
      </c>
      <c r="D10">
        <v>5.48</v>
      </c>
      <c r="E10">
        <v>0.08</v>
      </c>
      <c r="F10">
        <v>670.96</v>
      </c>
    </row>
    <row r="11" spans="1:6" x14ac:dyDescent="0.25">
      <c r="A11" s="24">
        <v>42464.413194444445</v>
      </c>
      <c r="B11" t="s">
        <v>134</v>
      </c>
      <c r="C11">
        <v>381.6</v>
      </c>
      <c r="D11">
        <v>3.24</v>
      </c>
      <c r="E11">
        <v>0.03</v>
      </c>
      <c r="F11">
        <v>681.59</v>
      </c>
    </row>
    <row r="12" spans="1:6" x14ac:dyDescent="0.25">
      <c r="A12" s="24">
        <v>42464.413194444445</v>
      </c>
      <c r="B12" t="s">
        <v>135</v>
      </c>
      <c r="C12">
        <v>306.8</v>
      </c>
      <c r="D12">
        <v>3.61</v>
      </c>
      <c r="E12">
        <v>0.03</v>
      </c>
      <c r="F12">
        <v>692.23</v>
      </c>
    </row>
    <row r="13" spans="1:6" x14ac:dyDescent="0.25">
      <c r="A13" s="24">
        <v>42464.413194444445</v>
      </c>
      <c r="B13" t="s">
        <v>136</v>
      </c>
      <c r="C13">
        <v>293.7</v>
      </c>
      <c r="D13">
        <v>3.69</v>
      </c>
      <c r="E13">
        <v>0.03</v>
      </c>
      <c r="F13">
        <v>702.87</v>
      </c>
    </row>
    <row r="14" spans="1:6" x14ac:dyDescent="0.25">
      <c r="A14" s="24">
        <v>42464.413194444445</v>
      </c>
      <c r="B14" t="s">
        <v>137</v>
      </c>
      <c r="C14">
        <v>1029.8</v>
      </c>
      <c r="D14">
        <v>1.97</v>
      </c>
      <c r="E14">
        <v>0.01</v>
      </c>
      <c r="F14">
        <v>713.51</v>
      </c>
    </row>
    <row r="15" spans="1:6" x14ac:dyDescent="0.25">
      <c r="A15" s="24">
        <v>42464.413194444445</v>
      </c>
      <c r="B15" t="s">
        <v>138</v>
      </c>
      <c r="C15">
        <v>1386.4</v>
      </c>
      <c r="D15">
        <v>1.7</v>
      </c>
      <c r="E15">
        <v>0.01</v>
      </c>
      <c r="F15">
        <v>724.15</v>
      </c>
    </row>
    <row r="16" spans="1:6" x14ac:dyDescent="0.25">
      <c r="A16" s="24">
        <v>42464.413194444445</v>
      </c>
      <c r="B16" t="s">
        <v>139</v>
      </c>
      <c r="C16">
        <v>1294.5</v>
      </c>
      <c r="D16">
        <v>1.76</v>
      </c>
      <c r="E16">
        <v>0.01</v>
      </c>
      <c r="F16">
        <v>734.78</v>
      </c>
    </row>
    <row r="17" spans="1:6" x14ac:dyDescent="0.25">
      <c r="A17" s="24">
        <v>42464.413194444445</v>
      </c>
      <c r="B17" t="s">
        <v>140</v>
      </c>
      <c r="C17">
        <v>2361.1999999999998</v>
      </c>
      <c r="D17">
        <v>1.3</v>
      </c>
      <c r="E17">
        <v>0.01</v>
      </c>
      <c r="F17">
        <v>745.43</v>
      </c>
    </row>
    <row r="18" spans="1:6" x14ac:dyDescent="0.25">
      <c r="A18" s="24">
        <v>42464.413194444445</v>
      </c>
      <c r="B18" t="s">
        <v>141</v>
      </c>
      <c r="C18">
        <v>2352.9</v>
      </c>
      <c r="D18">
        <v>1.3</v>
      </c>
      <c r="E18">
        <v>0</v>
      </c>
      <c r="F18">
        <v>756.07</v>
      </c>
    </row>
    <row r="19" spans="1:6" x14ac:dyDescent="0.25">
      <c r="A19" s="24">
        <v>42464.413194444445</v>
      </c>
      <c r="B19" t="s">
        <v>142</v>
      </c>
      <c r="C19">
        <v>2636.2</v>
      </c>
      <c r="D19">
        <v>1.23</v>
      </c>
      <c r="E19">
        <v>0</v>
      </c>
      <c r="F19">
        <v>766.7</v>
      </c>
    </row>
    <row r="20" spans="1:6" x14ac:dyDescent="0.25">
      <c r="A20" s="24">
        <v>42465.597222222219</v>
      </c>
      <c r="B20" t="s">
        <v>125</v>
      </c>
      <c r="C20">
        <v>76.900000000000006</v>
      </c>
      <c r="D20">
        <v>7.21</v>
      </c>
      <c r="E20">
        <v>0.2</v>
      </c>
      <c r="F20">
        <v>585.75</v>
      </c>
    </row>
    <row r="21" spans="1:6" x14ac:dyDescent="0.25">
      <c r="A21" s="24">
        <v>42465.597222222219</v>
      </c>
      <c r="B21" t="s">
        <v>126</v>
      </c>
      <c r="C21">
        <v>72.099999999999994</v>
      </c>
      <c r="D21">
        <v>7.45</v>
      </c>
      <c r="E21">
        <v>0.19</v>
      </c>
      <c r="F21">
        <v>596.37</v>
      </c>
    </row>
    <row r="22" spans="1:6" x14ac:dyDescent="0.25">
      <c r="A22" s="24">
        <v>42465.597222222219</v>
      </c>
      <c r="B22" t="s">
        <v>127</v>
      </c>
      <c r="C22">
        <v>71.599999999999994</v>
      </c>
      <c r="D22">
        <v>7.47</v>
      </c>
      <c r="E22">
        <v>0.14000000000000001</v>
      </c>
      <c r="F22">
        <v>607.01</v>
      </c>
    </row>
    <row r="23" spans="1:6" x14ac:dyDescent="0.25">
      <c r="A23" s="24">
        <v>42465.597222222219</v>
      </c>
      <c r="B23" t="s">
        <v>128</v>
      </c>
      <c r="C23">
        <v>81.7</v>
      </c>
      <c r="D23">
        <v>7</v>
      </c>
      <c r="E23">
        <v>0.13</v>
      </c>
      <c r="F23">
        <v>617.64</v>
      </c>
    </row>
    <row r="24" spans="1:6" x14ac:dyDescent="0.25">
      <c r="A24" s="24">
        <v>42465.597222222219</v>
      </c>
      <c r="B24" t="s">
        <v>129</v>
      </c>
      <c r="C24">
        <v>82.1</v>
      </c>
      <c r="D24">
        <v>6.98</v>
      </c>
      <c r="E24">
        <v>0.1</v>
      </c>
      <c r="F24">
        <v>628.27</v>
      </c>
    </row>
    <row r="25" spans="1:6" x14ac:dyDescent="0.25">
      <c r="A25" s="24">
        <v>42465.597222222219</v>
      </c>
      <c r="B25" t="s">
        <v>130</v>
      </c>
      <c r="C25">
        <v>81.2</v>
      </c>
      <c r="D25">
        <v>7.02</v>
      </c>
      <c r="E25">
        <v>0.12</v>
      </c>
      <c r="F25">
        <v>638.91</v>
      </c>
    </row>
    <row r="26" spans="1:6" x14ac:dyDescent="0.25">
      <c r="A26" s="24">
        <v>42465.597222222219</v>
      </c>
      <c r="B26" t="s">
        <v>131</v>
      </c>
      <c r="C26">
        <v>129.5</v>
      </c>
      <c r="D26">
        <v>5.56</v>
      </c>
      <c r="E26">
        <v>7.0000000000000007E-2</v>
      </c>
      <c r="F26">
        <v>649.64</v>
      </c>
    </row>
    <row r="27" spans="1:6" x14ac:dyDescent="0.25">
      <c r="A27" s="24">
        <v>42465.597222222219</v>
      </c>
      <c r="B27" t="s">
        <v>132</v>
      </c>
      <c r="C27">
        <v>158.6</v>
      </c>
      <c r="D27">
        <v>5.0199999999999996</v>
      </c>
      <c r="E27">
        <v>0.05</v>
      </c>
      <c r="F27">
        <v>660.27</v>
      </c>
    </row>
    <row r="28" spans="1:6" x14ac:dyDescent="0.25">
      <c r="A28" s="24">
        <v>42465.597222222219</v>
      </c>
      <c r="B28" t="s">
        <v>133</v>
      </c>
      <c r="C28">
        <v>134.6</v>
      </c>
      <c r="D28">
        <v>5.45</v>
      </c>
      <c r="E28">
        <v>7.0000000000000007E-2</v>
      </c>
      <c r="F28">
        <v>670.91</v>
      </c>
    </row>
    <row r="29" spans="1:6" x14ac:dyDescent="0.25">
      <c r="A29" s="24">
        <v>42465.597222222219</v>
      </c>
      <c r="B29" t="s">
        <v>134</v>
      </c>
      <c r="C29">
        <v>387.2</v>
      </c>
      <c r="D29">
        <v>3.21</v>
      </c>
      <c r="E29">
        <v>0.02</v>
      </c>
      <c r="F29">
        <v>681.53</v>
      </c>
    </row>
    <row r="30" spans="1:6" x14ac:dyDescent="0.25">
      <c r="A30" s="24">
        <v>42465.597222222219</v>
      </c>
      <c r="B30" t="s">
        <v>135</v>
      </c>
      <c r="C30">
        <v>287.8</v>
      </c>
      <c r="D30">
        <v>3.73</v>
      </c>
      <c r="E30">
        <v>0.03</v>
      </c>
      <c r="F30">
        <v>692.16</v>
      </c>
    </row>
    <row r="31" spans="1:6" x14ac:dyDescent="0.25">
      <c r="A31" s="24">
        <v>42465.597222222219</v>
      </c>
      <c r="B31" t="s">
        <v>136</v>
      </c>
      <c r="C31">
        <v>297.2</v>
      </c>
      <c r="D31">
        <v>3.67</v>
      </c>
      <c r="E31">
        <v>0.04</v>
      </c>
      <c r="F31">
        <v>702.79</v>
      </c>
    </row>
    <row r="32" spans="1:6" x14ac:dyDescent="0.25">
      <c r="A32" s="24">
        <v>42465.597222222219</v>
      </c>
      <c r="B32" t="s">
        <v>137</v>
      </c>
      <c r="C32">
        <v>1013.7</v>
      </c>
      <c r="D32">
        <v>1.99</v>
      </c>
      <c r="E32">
        <v>0.01</v>
      </c>
      <c r="F32">
        <v>713.43</v>
      </c>
    </row>
    <row r="33" spans="1:6" x14ac:dyDescent="0.25">
      <c r="A33" s="24">
        <v>42465.597222222219</v>
      </c>
      <c r="B33" t="s">
        <v>138</v>
      </c>
      <c r="C33">
        <v>1362.9</v>
      </c>
      <c r="D33">
        <v>1.71</v>
      </c>
      <c r="E33">
        <v>0.01</v>
      </c>
      <c r="F33">
        <v>724.07</v>
      </c>
    </row>
    <row r="34" spans="1:6" x14ac:dyDescent="0.25">
      <c r="A34" s="24">
        <v>42465.597222222219</v>
      </c>
      <c r="B34" t="s">
        <v>139</v>
      </c>
      <c r="C34">
        <v>1290.2</v>
      </c>
      <c r="D34">
        <v>1.76</v>
      </c>
      <c r="E34">
        <v>0.01</v>
      </c>
      <c r="F34">
        <v>734.69</v>
      </c>
    </row>
    <row r="35" spans="1:6" x14ac:dyDescent="0.25">
      <c r="A35" s="24">
        <v>42465.597222222219</v>
      </c>
      <c r="B35" t="s">
        <v>140</v>
      </c>
      <c r="C35">
        <v>2427.11</v>
      </c>
      <c r="D35">
        <v>1.28</v>
      </c>
      <c r="E35">
        <v>0.01</v>
      </c>
      <c r="F35">
        <v>745.34</v>
      </c>
    </row>
    <row r="36" spans="1:6" x14ac:dyDescent="0.25">
      <c r="A36" s="24">
        <v>42465.597222222219</v>
      </c>
      <c r="B36" t="s">
        <v>141</v>
      </c>
      <c r="C36">
        <v>2377.4</v>
      </c>
      <c r="D36">
        <v>1.3</v>
      </c>
      <c r="E36">
        <v>0</v>
      </c>
      <c r="F36">
        <v>755.98</v>
      </c>
    </row>
    <row r="37" spans="1:6" x14ac:dyDescent="0.25">
      <c r="A37" s="24">
        <v>42465.597222222219</v>
      </c>
      <c r="B37" t="s">
        <v>142</v>
      </c>
      <c r="C37">
        <v>2645.3</v>
      </c>
      <c r="D37">
        <v>1.23</v>
      </c>
      <c r="E37">
        <v>0</v>
      </c>
      <c r="F37">
        <v>766.64</v>
      </c>
    </row>
    <row r="38" spans="1:6" x14ac:dyDescent="0.25">
      <c r="A38" s="24">
        <v>42466.703472222223</v>
      </c>
      <c r="B38" t="s">
        <v>125</v>
      </c>
      <c r="C38">
        <v>76.3</v>
      </c>
      <c r="D38">
        <v>7.24</v>
      </c>
      <c r="E38">
        <v>0.18</v>
      </c>
      <c r="F38">
        <v>585.66</v>
      </c>
    </row>
    <row r="39" spans="1:6" x14ac:dyDescent="0.25">
      <c r="A39" s="24">
        <v>42466.703472222223</v>
      </c>
      <c r="B39" t="s">
        <v>126</v>
      </c>
      <c r="C39">
        <v>75.099999999999994</v>
      </c>
      <c r="D39">
        <v>7.3</v>
      </c>
      <c r="E39">
        <v>0.17</v>
      </c>
      <c r="F39">
        <v>596.29</v>
      </c>
    </row>
    <row r="40" spans="1:6" x14ac:dyDescent="0.25">
      <c r="A40" s="24">
        <v>42466.703472222223</v>
      </c>
      <c r="B40" t="s">
        <v>127</v>
      </c>
      <c r="C40">
        <v>77.599999999999994</v>
      </c>
      <c r="D40">
        <v>7.18</v>
      </c>
      <c r="E40">
        <v>0.12</v>
      </c>
      <c r="F40">
        <v>606.91999999999996</v>
      </c>
    </row>
    <row r="41" spans="1:6" x14ac:dyDescent="0.25">
      <c r="A41" s="24">
        <v>42466.703472222223</v>
      </c>
      <c r="B41" t="s">
        <v>128</v>
      </c>
      <c r="C41">
        <v>77.400000000000006</v>
      </c>
      <c r="D41">
        <v>7.19</v>
      </c>
      <c r="E41">
        <v>0.12</v>
      </c>
      <c r="F41">
        <v>617.55999999999995</v>
      </c>
    </row>
    <row r="42" spans="1:6" x14ac:dyDescent="0.25">
      <c r="A42" s="24">
        <v>42466.703472222223</v>
      </c>
      <c r="B42" t="s">
        <v>129</v>
      </c>
      <c r="C42">
        <v>83.7</v>
      </c>
      <c r="D42">
        <v>6.91</v>
      </c>
      <c r="E42">
        <v>0.12</v>
      </c>
      <c r="F42">
        <v>628.19000000000005</v>
      </c>
    </row>
    <row r="43" spans="1:6" x14ac:dyDescent="0.25">
      <c r="A43" s="24">
        <v>42466.703472222223</v>
      </c>
      <c r="B43" t="s">
        <v>130</v>
      </c>
      <c r="C43">
        <v>80.599999999999994</v>
      </c>
      <c r="D43">
        <v>7.04</v>
      </c>
      <c r="E43">
        <v>0.14000000000000001</v>
      </c>
      <c r="F43">
        <v>638.82000000000005</v>
      </c>
    </row>
    <row r="44" spans="1:6" x14ac:dyDescent="0.25">
      <c r="A44" s="24">
        <v>42466.703472222223</v>
      </c>
      <c r="B44" t="s">
        <v>131</v>
      </c>
      <c r="C44">
        <v>128.1</v>
      </c>
      <c r="D44">
        <v>5.59</v>
      </c>
      <c r="E44">
        <v>7.0000000000000007E-2</v>
      </c>
      <c r="F44">
        <v>649.55999999999995</v>
      </c>
    </row>
    <row r="45" spans="1:6" x14ac:dyDescent="0.25">
      <c r="A45" s="24">
        <v>42466.703472222223</v>
      </c>
      <c r="B45" t="s">
        <v>132</v>
      </c>
      <c r="C45">
        <v>157</v>
      </c>
      <c r="D45">
        <v>5.05</v>
      </c>
      <c r="E45">
        <v>0.05</v>
      </c>
      <c r="F45">
        <v>660.19</v>
      </c>
    </row>
    <row r="46" spans="1:6" x14ac:dyDescent="0.25">
      <c r="A46" s="24">
        <v>42466.703472222223</v>
      </c>
      <c r="B46" t="s">
        <v>133</v>
      </c>
      <c r="C46">
        <v>136.19999999999999</v>
      </c>
      <c r="D46">
        <v>5.42</v>
      </c>
      <c r="E46">
        <v>0.08</v>
      </c>
      <c r="F46">
        <v>670.82</v>
      </c>
    </row>
    <row r="47" spans="1:6" x14ac:dyDescent="0.25">
      <c r="A47" s="24">
        <v>42466.703472222223</v>
      </c>
      <c r="B47" t="s">
        <v>134</v>
      </c>
      <c r="C47">
        <v>391.4</v>
      </c>
      <c r="D47">
        <v>3.2</v>
      </c>
      <c r="E47">
        <v>0.02</v>
      </c>
      <c r="F47">
        <v>681.46</v>
      </c>
    </row>
    <row r="48" spans="1:6" x14ac:dyDescent="0.25">
      <c r="A48" s="24">
        <v>42466.703472222223</v>
      </c>
      <c r="B48" t="s">
        <v>135</v>
      </c>
      <c r="C48">
        <v>295</v>
      </c>
      <c r="D48">
        <v>3.68</v>
      </c>
      <c r="E48">
        <v>0.03</v>
      </c>
      <c r="F48">
        <v>692.09</v>
      </c>
    </row>
    <row r="49" spans="1:6" x14ac:dyDescent="0.25">
      <c r="A49" s="24">
        <v>42466.703472222223</v>
      </c>
      <c r="B49" t="s">
        <v>136</v>
      </c>
      <c r="C49">
        <v>290.5</v>
      </c>
      <c r="D49">
        <v>3.71</v>
      </c>
      <c r="E49">
        <v>0.03</v>
      </c>
      <c r="F49">
        <v>702.73</v>
      </c>
    </row>
    <row r="50" spans="1:6" x14ac:dyDescent="0.25">
      <c r="A50" s="24">
        <v>42466.703472222223</v>
      </c>
      <c r="B50" t="s">
        <v>137</v>
      </c>
      <c r="C50">
        <v>1022.3</v>
      </c>
      <c r="D50">
        <v>1.98</v>
      </c>
      <c r="E50">
        <v>0.01</v>
      </c>
      <c r="F50">
        <v>713.36</v>
      </c>
    </row>
    <row r="51" spans="1:6" x14ac:dyDescent="0.25">
      <c r="A51" s="24">
        <v>42466.703472222223</v>
      </c>
      <c r="B51" t="s">
        <v>138</v>
      </c>
      <c r="C51">
        <v>1359.3</v>
      </c>
      <c r="D51">
        <v>1.72</v>
      </c>
      <c r="E51">
        <v>0.01</v>
      </c>
      <c r="F51">
        <v>724</v>
      </c>
    </row>
    <row r="52" spans="1:6" x14ac:dyDescent="0.25">
      <c r="A52" s="24">
        <v>42466.703472222223</v>
      </c>
      <c r="B52" t="s">
        <v>139</v>
      </c>
      <c r="C52">
        <v>1273.3</v>
      </c>
      <c r="D52">
        <v>1.77</v>
      </c>
      <c r="E52">
        <v>0.01</v>
      </c>
      <c r="F52">
        <v>734.65</v>
      </c>
    </row>
    <row r="53" spans="1:6" x14ac:dyDescent="0.25">
      <c r="A53" s="24">
        <v>42466.703472222223</v>
      </c>
      <c r="B53" t="s">
        <v>140</v>
      </c>
      <c r="C53">
        <v>2413.6</v>
      </c>
      <c r="D53">
        <v>1.29</v>
      </c>
      <c r="E53">
        <v>0.01</v>
      </c>
      <c r="F53">
        <v>745.27</v>
      </c>
    </row>
    <row r="54" spans="1:6" x14ac:dyDescent="0.25">
      <c r="A54" s="24">
        <v>42466.703472222223</v>
      </c>
      <c r="B54" t="s">
        <v>141</v>
      </c>
      <c r="C54">
        <v>2378.5</v>
      </c>
      <c r="D54">
        <v>1.3</v>
      </c>
      <c r="E54">
        <v>0</v>
      </c>
      <c r="F54">
        <v>755.92</v>
      </c>
    </row>
    <row r="55" spans="1:6" x14ac:dyDescent="0.25">
      <c r="A55" s="24">
        <v>42466.703472222223</v>
      </c>
      <c r="B55" t="s">
        <v>142</v>
      </c>
      <c r="C55">
        <v>2633.9</v>
      </c>
      <c r="D55">
        <v>1.23</v>
      </c>
      <c r="E55">
        <v>0</v>
      </c>
      <c r="F55">
        <v>766.57</v>
      </c>
    </row>
    <row r="56" spans="1:6" x14ac:dyDescent="0.25">
      <c r="A56" s="24">
        <v>42471.644444444442</v>
      </c>
      <c r="B56" t="s">
        <v>125</v>
      </c>
      <c r="C56">
        <v>75.3</v>
      </c>
      <c r="D56">
        <v>7.29</v>
      </c>
      <c r="E56">
        <v>0.21</v>
      </c>
      <c r="F56">
        <v>585.63</v>
      </c>
    </row>
    <row r="57" spans="1:6" x14ac:dyDescent="0.25">
      <c r="A57" s="24">
        <v>42471.644444444442</v>
      </c>
      <c r="B57" t="s">
        <v>126</v>
      </c>
      <c r="C57">
        <v>75.900000000000006</v>
      </c>
      <c r="D57">
        <v>7.26</v>
      </c>
      <c r="E57">
        <v>0.15</v>
      </c>
      <c r="F57">
        <v>596.26</v>
      </c>
    </row>
    <row r="58" spans="1:6" x14ac:dyDescent="0.25">
      <c r="A58" s="24">
        <v>42471.644444444442</v>
      </c>
      <c r="B58" t="s">
        <v>127</v>
      </c>
      <c r="C58">
        <v>73.099999999999994</v>
      </c>
      <c r="D58">
        <v>7.4</v>
      </c>
      <c r="E58">
        <v>0.09</v>
      </c>
      <c r="F58">
        <v>606.89</v>
      </c>
    </row>
    <row r="59" spans="1:6" x14ac:dyDescent="0.25">
      <c r="A59" s="24">
        <v>42471.644444444442</v>
      </c>
      <c r="B59" t="s">
        <v>128</v>
      </c>
      <c r="C59">
        <v>76.2</v>
      </c>
      <c r="D59">
        <v>7.25</v>
      </c>
      <c r="E59">
        <v>0.15</v>
      </c>
      <c r="F59">
        <v>617.53</v>
      </c>
    </row>
    <row r="60" spans="1:6" x14ac:dyDescent="0.25">
      <c r="A60" s="24">
        <v>42471.644444444442</v>
      </c>
      <c r="B60" t="s">
        <v>129</v>
      </c>
      <c r="C60">
        <v>82</v>
      </c>
      <c r="D60">
        <v>6.98</v>
      </c>
      <c r="E60">
        <v>0.08</v>
      </c>
      <c r="F60">
        <v>628.16</v>
      </c>
    </row>
    <row r="61" spans="1:6" x14ac:dyDescent="0.25">
      <c r="A61" s="24">
        <v>42471.644444444442</v>
      </c>
      <c r="B61" t="s">
        <v>130</v>
      </c>
      <c r="C61">
        <v>87.5</v>
      </c>
      <c r="D61">
        <v>6.76</v>
      </c>
      <c r="E61">
        <v>0.33</v>
      </c>
      <c r="F61">
        <v>638.80999999999995</v>
      </c>
    </row>
    <row r="62" spans="1:6" x14ac:dyDescent="0.25">
      <c r="A62" s="24">
        <v>42471.644444444442</v>
      </c>
      <c r="B62" t="s">
        <v>131</v>
      </c>
      <c r="C62">
        <v>128.19999999999999</v>
      </c>
      <c r="D62">
        <v>5.59</v>
      </c>
      <c r="E62">
        <v>0.06</v>
      </c>
      <c r="F62">
        <v>649.54</v>
      </c>
    </row>
    <row r="63" spans="1:6" x14ac:dyDescent="0.25">
      <c r="A63" s="24">
        <v>42471.644444444442</v>
      </c>
      <c r="B63" t="s">
        <v>132</v>
      </c>
      <c r="C63">
        <v>160.80000000000001</v>
      </c>
      <c r="D63">
        <v>4.99</v>
      </c>
      <c r="E63">
        <v>0.04</v>
      </c>
      <c r="F63">
        <v>660.18</v>
      </c>
    </row>
    <row r="64" spans="1:6" x14ac:dyDescent="0.25">
      <c r="A64" s="24">
        <v>42471.644444444442</v>
      </c>
      <c r="B64" t="s">
        <v>133</v>
      </c>
      <c r="C64">
        <v>140.9</v>
      </c>
      <c r="D64">
        <v>5.33</v>
      </c>
      <c r="E64">
        <v>0.06</v>
      </c>
      <c r="F64">
        <v>670.81</v>
      </c>
    </row>
    <row r="65" spans="1:6" x14ac:dyDescent="0.25">
      <c r="A65" s="24">
        <v>42471.644444444442</v>
      </c>
      <c r="B65" t="s">
        <v>134</v>
      </c>
      <c r="C65">
        <v>365.5</v>
      </c>
      <c r="D65">
        <v>3.31</v>
      </c>
      <c r="E65">
        <v>0.02</v>
      </c>
      <c r="F65">
        <v>681.43</v>
      </c>
    </row>
    <row r="66" spans="1:6" x14ac:dyDescent="0.25">
      <c r="A66" s="24">
        <v>42471.644444444442</v>
      </c>
      <c r="B66" t="s">
        <v>135</v>
      </c>
      <c r="C66">
        <v>301.5</v>
      </c>
      <c r="D66">
        <v>3.64</v>
      </c>
      <c r="E66">
        <v>0.03</v>
      </c>
      <c r="F66">
        <v>692.06</v>
      </c>
    </row>
    <row r="67" spans="1:6" x14ac:dyDescent="0.25">
      <c r="A67" s="24">
        <v>42471.644444444442</v>
      </c>
      <c r="B67" t="s">
        <v>136</v>
      </c>
      <c r="C67">
        <v>289.7</v>
      </c>
      <c r="D67">
        <v>3.72</v>
      </c>
      <c r="E67">
        <v>0.03</v>
      </c>
      <c r="F67">
        <v>702.69</v>
      </c>
    </row>
    <row r="68" spans="1:6" x14ac:dyDescent="0.25">
      <c r="A68" s="24">
        <v>42471.644444444442</v>
      </c>
      <c r="B68" t="s">
        <v>137</v>
      </c>
      <c r="C68">
        <v>1003</v>
      </c>
      <c r="D68">
        <v>2</v>
      </c>
      <c r="E68">
        <v>0.01</v>
      </c>
      <c r="F68">
        <v>713.33</v>
      </c>
    </row>
    <row r="69" spans="1:6" x14ac:dyDescent="0.25">
      <c r="A69" s="24">
        <v>42471.644444444442</v>
      </c>
      <c r="B69" t="s">
        <v>138</v>
      </c>
      <c r="C69">
        <v>1401.1</v>
      </c>
      <c r="D69">
        <v>1.69</v>
      </c>
      <c r="E69">
        <v>0.01</v>
      </c>
      <c r="F69">
        <v>723.97</v>
      </c>
    </row>
    <row r="70" spans="1:6" x14ac:dyDescent="0.25">
      <c r="A70" s="24">
        <v>42471.644444444442</v>
      </c>
      <c r="B70" t="s">
        <v>139</v>
      </c>
      <c r="C70">
        <v>1265.2</v>
      </c>
      <c r="D70">
        <v>1.78</v>
      </c>
      <c r="E70">
        <v>0.01</v>
      </c>
      <c r="F70">
        <v>734.62</v>
      </c>
    </row>
    <row r="71" spans="1:6" x14ac:dyDescent="0.25">
      <c r="A71" s="24">
        <v>42471.644444444442</v>
      </c>
      <c r="B71" t="s">
        <v>140</v>
      </c>
      <c r="C71">
        <v>2401.1999999999998</v>
      </c>
      <c r="D71">
        <v>1.29</v>
      </c>
      <c r="E71">
        <v>0.01</v>
      </c>
      <c r="F71">
        <v>745.26</v>
      </c>
    </row>
    <row r="72" spans="1:6" x14ac:dyDescent="0.25">
      <c r="A72" s="24">
        <v>42471.644444444442</v>
      </c>
      <c r="B72" t="s">
        <v>141</v>
      </c>
      <c r="C72">
        <v>2369.4</v>
      </c>
      <c r="D72">
        <v>1.3</v>
      </c>
      <c r="E72">
        <v>0</v>
      </c>
      <c r="F72">
        <v>755.9</v>
      </c>
    </row>
    <row r="73" spans="1:6" x14ac:dyDescent="0.25">
      <c r="A73" s="24">
        <v>42471.644444444442</v>
      </c>
      <c r="B73" t="s">
        <v>142</v>
      </c>
      <c r="C73">
        <v>2625.9</v>
      </c>
      <c r="D73">
        <v>1.23</v>
      </c>
      <c r="E73">
        <v>0</v>
      </c>
      <c r="F73">
        <v>766.53</v>
      </c>
    </row>
    <row r="74" spans="1:6" x14ac:dyDescent="0.25">
      <c r="A74" s="24">
        <v>42472.4375</v>
      </c>
      <c r="B74" t="s">
        <v>125</v>
      </c>
      <c r="C74">
        <v>74.099999999999994</v>
      </c>
      <c r="D74">
        <v>7.35</v>
      </c>
      <c r="E74">
        <v>0.21</v>
      </c>
      <c r="F74">
        <v>585.58000000000004</v>
      </c>
    </row>
    <row r="75" spans="1:6" x14ac:dyDescent="0.25">
      <c r="A75" s="24">
        <v>42472.4375</v>
      </c>
      <c r="B75" t="s">
        <v>126</v>
      </c>
      <c r="C75">
        <v>75.099999999999994</v>
      </c>
      <c r="D75">
        <v>7.3</v>
      </c>
      <c r="E75">
        <v>0.23</v>
      </c>
      <c r="F75">
        <v>596.21</v>
      </c>
    </row>
    <row r="76" spans="1:6" x14ac:dyDescent="0.25">
      <c r="A76" s="24">
        <v>42472.4375</v>
      </c>
      <c r="B76" t="s">
        <v>127</v>
      </c>
      <c r="C76">
        <v>76.400000000000006</v>
      </c>
      <c r="D76">
        <v>7.24</v>
      </c>
      <c r="E76">
        <v>0.11</v>
      </c>
      <c r="F76">
        <v>606.84</v>
      </c>
    </row>
    <row r="77" spans="1:6" x14ac:dyDescent="0.25">
      <c r="A77" s="24">
        <v>42472.4375</v>
      </c>
      <c r="B77" t="s">
        <v>128</v>
      </c>
      <c r="C77">
        <v>83.5</v>
      </c>
      <c r="D77">
        <v>6.92</v>
      </c>
      <c r="E77">
        <v>0.16</v>
      </c>
      <c r="F77">
        <v>617.47</v>
      </c>
    </row>
    <row r="78" spans="1:6" x14ac:dyDescent="0.25">
      <c r="A78" s="24">
        <v>42472.4375</v>
      </c>
      <c r="B78" t="s">
        <v>129</v>
      </c>
      <c r="C78">
        <v>81.599999999999994</v>
      </c>
      <c r="D78">
        <v>7</v>
      </c>
      <c r="E78">
        <v>0.1</v>
      </c>
      <c r="F78">
        <v>628.11</v>
      </c>
    </row>
    <row r="79" spans="1:6" x14ac:dyDescent="0.25">
      <c r="A79" s="24">
        <v>42472.4375</v>
      </c>
      <c r="B79" t="s">
        <v>130</v>
      </c>
      <c r="C79">
        <v>79.2</v>
      </c>
      <c r="D79">
        <v>7.11</v>
      </c>
      <c r="E79">
        <v>0.36</v>
      </c>
      <c r="F79">
        <v>638.75</v>
      </c>
    </row>
    <row r="80" spans="1:6" x14ac:dyDescent="0.25">
      <c r="A80" s="24">
        <v>42472.4375</v>
      </c>
      <c r="B80" t="s">
        <v>131</v>
      </c>
      <c r="C80">
        <v>133.1</v>
      </c>
      <c r="D80">
        <v>5.48</v>
      </c>
      <c r="E80">
        <v>0.06</v>
      </c>
      <c r="F80">
        <v>649.49</v>
      </c>
    </row>
    <row r="81" spans="1:6" x14ac:dyDescent="0.25">
      <c r="A81" s="24">
        <v>42472.4375</v>
      </c>
      <c r="B81" t="s">
        <v>132</v>
      </c>
      <c r="C81">
        <v>159.4</v>
      </c>
      <c r="D81">
        <v>5.01</v>
      </c>
      <c r="E81">
        <v>0.05</v>
      </c>
      <c r="F81">
        <v>660.11</v>
      </c>
    </row>
    <row r="82" spans="1:6" x14ac:dyDescent="0.25">
      <c r="A82" s="24">
        <v>42472.4375</v>
      </c>
      <c r="B82" t="s">
        <v>133</v>
      </c>
      <c r="C82">
        <v>144</v>
      </c>
      <c r="D82">
        <v>5.27</v>
      </c>
      <c r="E82">
        <v>0.05</v>
      </c>
      <c r="F82">
        <v>670.74</v>
      </c>
    </row>
    <row r="83" spans="1:6" x14ac:dyDescent="0.25">
      <c r="A83" s="24">
        <v>42472.4375</v>
      </c>
      <c r="B83" t="s">
        <v>134</v>
      </c>
      <c r="C83">
        <v>378</v>
      </c>
      <c r="D83">
        <v>3.25</v>
      </c>
      <c r="E83">
        <v>0.02</v>
      </c>
      <c r="F83">
        <v>681.38</v>
      </c>
    </row>
    <row r="84" spans="1:6" x14ac:dyDescent="0.25">
      <c r="A84" s="24">
        <v>42472.4375</v>
      </c>
      <c r="B84" t="s">
        <v>135</v>
      </c>
      <c r="C84">
        <v>307.39999999999998</v>
      </c>
      <c r="D84">
        <v>3.61</v>
      </c>
      <c r="E84">
        <v>0.02</v>
      </c>
      <c r="F84">
        <v>692.01</v>
      </c>
    </row>
    <row r="85" spans="1:6" x14ac:dyDescent="0.25">
      <c r="A85" s="24">
        <v>42472.4375</v>
      </c>
      <c r="B85" t="s">
        <v>136</v>
      </c>
      <c r="C85">
        <v>279.2</v>
      </c>
      <c r="D85">
        <v>3.79</v>
      </c>
      <c r="E85">
        <v>0.03</v>
      </c>
      <c r="F85">
        <v>702.64</v>
      </c>
    </row>
    <row r="86" spans="1:6" x14ac:dyDescent="0.25">
      <c r="A86" s="24">
        <v>42472.4375</v>
      </c>
      <c r="B86" t="s">
        <v>137</v>
      </c>
      <c r="C86">
        <v>1003.4</v>
      </c>
      <c r="D86">
        <v>2</v>
      </c>
      <c r="E86">
        <v>0.01</v>
      </c>
      <c r="F86">
        <v>713.28</v>
      </c>
    </row>
    <row r="87" spans="1:6" x14ac:dyDescent="0.25">
      <c r="A87" s="24">
        <v>42472.4375</v>
      </c>
      <c r="B87" t="s">
        <v>138</v>
      </c>
      <c r="C87">
        <v>1391.8</v>
      </c>
      <c r="D87">
        <v>1.7</v>
      </c>
      <c r="E87">
        <v>0.01</v>
      </c>
      <c r="F87">
        <v>723.91</v>
      </c>
    </row>
    <row r="88" spans="1:6" x14ac:dyDescent="0.25">
      <c r="A88" s="24">
        <v>42472.4375</v>
      </c>
      <c r="B88" t="s">
        <v>139</v>
      </c>
      <c r="C88">
        <v>1273</v>
      </c>
      <c r="D88">
        <v>1.77</v>
      </c>
      <c r="E88">
        <v>0.02</v>
      </c>
      <c r="F88">
        <v>734.55</v>
      </c>
    </row>
    <row r="89" spans="1:6" x14ac:dyDescent="0.25">
      <c r="A89" s="24">
        <v>42472.4375</v>
      </c>
      <c r="B89" t="s">
        <v>140</v>
      </c>
      <c r="C89">
        <v>2414.6</v>
      </c>
      <c r="D89">
        <v>1.29</v>
      </c>
      <c r="E89">
        <v>0.01</v>
      </c>
      <c r="F89">
        <v>745.19</v>
      </c>
    </row>
    <row r="90" spans="1:6" x14ac:dyDescent="0.25">
      <c r="A90" s="24">
        <v>42472.4375</v>
      </c>
      <c r="B90" t="s">
        <v>141</v>
      </c>
      <c r="C90">
        <v>2408.5</v>
      </c>
      <c r="D90">
        <v>1.29</v>
      </c>
      <c r="E90">
        <v>0</v>
      </c>
      <c r="F90">
        <v>755.83</v>
      </c>
    </row>
    <row r="91" spans="1:6" x14ac:dyDescent="0.25">
      <c r="A91" s="24">
        <v>42472.4375</v>
      </c>
      <c r="B91" t="s">
        <v>142</v>
      </c>
      <c r="C91">
        <v>2656.9</v>
      </c>
      <c r="D91">
        <v>1.23</v>
      </c>
      <c r="E91">
        <v>0.01</v>
      </c>
      <c r="F91">
        <v>766.47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C2" sqref="C2:D19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122</v>
      </c>
      <c r="C1" t="s">
        <v>23</v>
      </c>
      <c r="D1" t="s">
        <v>21</v>
      </c>
      <c r="E1" t="s">
        <v>119</v>
      </c>
      <c r="F1" t="s">
        <v>120</v>
      </c>
      <c r="G1" t="s">
        <v>121</v>
      </c>
    </row>
    <row r="2" spans="1:7" x14ac:dyDescent="0.25">
      <c r="A2" t="s">
        <v>125</v>
      </c>
      <c r="B2" s="21" t="s">
        <v>123</v>
      </c>
      <c r="C2">
        <v>1.278</v>
      </c>
      <c r="D2">
        <v>9.2348280000000005E-2</v>
      </c>
      <c r="E2" s="1" t="s">
        <v>54</v>
      </c>
      <c r="F2" s="1">
        <f>'Calibration Data'!$B$28*'Count-&gt;Actual Activity'!C2+'Calibration Data'!$B$27</f>
        <v>0.27126624514202974</v>
      </c>
      <c r="G2" s="23">
        <f>'Calibration Data'!$L$20/'Calibration Data'!$L$31*SQRT(1/'Calibration Data'!$L$21+1+('Count-&gt;Actual Activity'!F2-AVERAGE('Calibration Data'!$F$3:$F$8))^2/('Calibration Data'!$L$31^2*'Calibration Data'!$J$9))</f>
        <v>0.2329786250826516</v>
      </c>
    </row>
    <row r="3" spans="1:7" x14ac:dyDescent="0.25">
      <c r="A3" t="s">
        <v>126</v>
      </c>
      <c r="B3" s="21" t="s">
        <v>123</v>
      </c>
      <c r="C3">
        <v>1.2373333333333301</v>
      </c>
      <c r="D3">
        <v>9.0845013333333294E-2</v>
      </c>
      <c r="E3" s="1" t="s">
        <v>54</v>
      </c>
      <c r="F3" s="1">
        <f>'Calibration Data'!$B$28*'Count-&gt;Actual Activity'!C3+'Calibration Data'!$B$27</f>
        <v>0.26236300201995466</v>
      </c>
      <c r="G3" s="23">
        <f>'Calibration Data'!$L$20/'Calibration Data'!$L$31*SQRT(1/'Calibration Data'!$L$21+1+('Count-&gt;Actual Activity'!F3-AVERAGE('Calibration Data'!$F$3:$F$8))^2/('Calibration Data'!$L$31^2*'Calibration Data'!$J$9))</f>
        <v>0.23297862485620152</v>
      </c>
    </row>
    <row r="4" spans="1:7" x14ac:dyDescent="0.25">
      <c r="A4" t="s">
        <v>127</v>
      </c>
      <c r="B4" s="21" t="s">
        <v>123</v>
      </c>
      <c r="C4">
        <v>1.2426666666666699</v>
      </c>
      <c r="D4">
        <v>9.1062613333333306E-2</v>
      </c>
      <c r="E4" s="1" t="s">
        <v>54</v>
      </c>
      <c r="F4" s="1">
        <f>'Calibration Data'!$B$28*'Count-&gt;Actual Activity'!C4+'Calibration Data'!$B$27</f>
        <v>0.26353064046219538</v>
      </c>
      <c r="G4" s="23">
        <f>'Calibration Data'!$L$20/'Calibration Data'!$L$31*SQRT(1/'Calibration Data'!$L$21+1+('Count-&gt;Actual Activity'!F4-AVERAGE('Calibration Data'!$F$3:$F$8))^2/('Calibration Data'!$L$31^2*'Calibration Data'!$J$9))</f>
        <v>0.23297862488523796</v>
      </c>
    </row>
    <row r="5" spans="1:7" x14ac:dyDescent="0.25">
      <c r="A5" t="s">
        <v>128</v>
      </c>
      <c r="B5" s="21" t="s">
        <v>123</v>
      </c>
      <c r="C5">
        <v>1.321</v>
      </c>
      <c r="D5">
        <v>9.3896679999999996E-2</v>
      </c>
      <c r="E5" s="1" t="s">
        <v>54</v>
      </c>
      <c r="F5" s="1">
        <f>'Calibration Data'!$B$28*'Count-&gt;Actual Activity'!C5+'Calibration Data'!$B$27</f>
        <v>0.28068033008258375</v>
      </c>
      <c r="G5" s="23">
        <f>'Calibration Data'!$L$20/'Calibration Data'!$L$31*SQRT(1/'Calibration Data'!$L$21+1+('Count-&gt;Actual Activity'!F5-AVERAGE('Calibration Data'!$F$3:$F$8))^2/('Calibration Data'!$L$31^2*'Calibration Data'!$J$9))</f>
        <v>0.23297862533473138</v>
      </c>
    </row>
    <row r="6" spans="1:7" x14ac:dyDescent="0.25">
      <c r="A6" t="s">
        <v>129</v>
      </c>
      <c r="B6" s="21" t="s">
        <v>123</v>
      </c>
      <c r="C6">
        <v>1.369</v>
      </c>
      <c r="D6">
        <v>9.5501440000000007E-2</v>
      </c>
      <c r="E6" s="1" t="s">
        <v>54</v>
      </c>
      <c r="F6" s="1">
        <f>'Calibration Data'!$B$28*'Count-&gt;Actual Activity'!C6+'Calibration Data'!$B$27</f>
        <v>0.29118907606273708</v>
      </c>
      <c r="G6" s="23">
        <f>'Calibration Data'!$L$20/'Calibration Data'!$L$31*SQRT(1/'Calibration Data'!$L$21+1+('Count-&gt;Actual Activity'!F6-AVERAGE('Calibration Data'!$F$3:$F$8))^2/('Calibration Data'!$L$31^2*'Calibration Data'!$J$9))</f>
        <v>0.23297862563146515</v>
      </c>
    </row>
    <row r="7" spans="1:7" x14ac:dyDescent="0.25">
      <c r="A7" t="s">
        <v>130</v>
      </c>
      <c r="B7" s="21" t="s">
        <v>123</v>
      </c>
      <c r="C7">
        <v>1.34866666666667</v>
      </c>
      <c r="D7">
        <v>9.4892186666666697E-2</v>
      </c>
      <c r="E7" s="1" t="s">
        <v>54</v>
      </c>
      <c r="F7" s="1">
        <f>'Calibration Data'!$B$28*'Count-&gt;Actual Activity'!C7+'Calibration Data'!$B$27</f>
        <v>0.28673745450170063</v>
      </c>
      <c r="G7" s="23">
        <f>'Calibration Data'!$L$20/'Calibration Data'!$L$31*SQRT(1/'Calibration Data'!$L$21+1+('Count-&gt;Actual Activity'!F7-AVERAGE('Calibration Data'!$F$3:$F$8))^2/('Calibration Data'!$L$31^2*'Calibration Data'!$J$9))</f>
        <v>0.2329786255037895</v>
      </c>
    </row>
    <row r="8" spans="1:7" ht="15.75" customHeight="1" x14ac:dyDescent="0.25">
      <c r="A8" t="s">
        <v>131</v>
      </c>
      <c r="B8" s="21" t="s">
        <v>123</v>
      </c>
      <c r="C8">
        <v>2.1709999999999998</v>
      </c>
      <c r="D8">
        <v>0.12036023999999999</v>
      </c>
      <c r="E8" s="1" t="s">
        <v>54</v>
      </c>
      <c r="F8" s="1">
        <f>'Calibration Data'!$B$28*'Count-&gt;Actual Activity'!C8+'Calibration Data'!$B$27</f>
        <v>0.46677270681446542</v>
      </c>
      <c r="G8" s="23">
        <f>'Calibration Data'!$L$20/'Calibration Data'!$L$31*SQRT(1/'Calibration Data'!$L$21+1+('Count-&gt;Actual Activity'!F8-AVERAGE('Calibration Data'!$F$3:$F$8))^2/('Calibration Data'!$L$31^2*'Calibration Data'!$J$9))</f>
        <v>0.23297863298383267</v>
      </c>
    </row>
    <row r="9" spans="1:7" x14ac:dyDescent="0.25">
      <c r="A9" t="s">
        <v>132</v>
      </c>
      <c r="B9" s="21" t="s">
        <v>123</v>
      </c>
      <c r="C9">
        <v>2.6453333333333302</v>
      </c>
      <c r="D9">
        <v>0.132795733333333</v>
      </c>
      <c r="E9" s="1" t="s">
        <v>54</v>
      </c>
      <c r="F9" s="1">
        <f>'Calibration Data'!$B$28*'Count-&gt;Actual Activity'!C9+'Calibration Data'!$B$27</f>
        <v>0.57061955077111881</v>
      </c>
      <c r="G9" s="23">
        <f>'Calibration Data'!$L$20/'Calibration Data'!$L$31*SQRT(1/'Calibration Data'!$L$21+1+('Count-&gt;Actual Activity'!F9-AVERAGE('Calibration Data'!$F$3:$F$8))^2/('Calibration Data'!$L$31^2*'Calibration Data'!$J$9))</f>
        <v>0.23297863945876901</v>
      </c>
    </row>
    <row r="10" spans="1:7" x14ac:dyDescent="0.25">
      <c r="A10" t="s">
        <v>133</v>
      </c>
      <c r="B10" s="21" t="s">
        <v>123</v>
      </c>
      <c r="C10">
        <v>2.29666666666667</v>
      </c>
      <c r="D10">
        <v>0.123790333333333</v>
      </c>
      <c r="E10" s="1" t="s">
        <v>54</v>
      </c>
      <c r="F10" s="1">
        <f>'Calibration Data'!$B$28*'Count-&gt;Actual Activity'!C10+'Calibration Data'!$B$27</f>
        <v>0.49428518760972873</v>
      </c>
      <c r="G10" s="23">
        <f>'Calibration Data'!$L$20/'Calibration Data'!$L$31*SQRT(1/'Calibration Data'!$L$21+1+('Count-&gt;Actual Activity'!F10-AVERAGE('Calibration Data'!$F$3:$F$8))^2/('Calibration Data'!$L$31^2*'Calibration Data'!$J$9))</f>
        <v>0.23297863454535761</v>
      </c>
    </row>
    <row r="11" spans="1:7" x14ac:dyDescent="0.25">
      <c r="A11" t="s">
        <v>134</v>
      </c>
      <c r="B11" s="21" t="s">
        <v>123</v>
      </c>
      <c r="C11">
        <v>6.3456666666666699</v>
      </c>
      <c r="D11">
        <v>0.205726513333333</v>
      </c>
      <c r="E11" s="1" t="s">
        <v>54</v>
      </c>
      <c r="F11" s="1">
        <f>'Calibration Data'!$B$28*'Count-&gt;Actual Activity'!C11+'Calibration Data'!$B$27</f>
        <v>1.3807416974772453</v>
      </c>
      <c r="G11" s="23">
        <f>'Calibration Data'!$L$20/'Calibration Data'!$L$31*SQRT(1/'Calibration Data'!$L$21+1+('Count-&gt;Actual Activity'!F11-AVERAGE('Calibration Data'!$F$3:$F$8))^2/('Calibration Data'!$L$31^2*'Calibration Data'!$J$9))</f>
        <v>0.23297874422973219</v>
      </c>
    </row>
    <row r="12" spans="1:7" x14ac:dyDescent="0.25">
      <c r="A12" t="s">
        <v>135</v>
      </c>
      <c r="B12" s="21" t="s">
        <v>123</v>
      </c>
      <c r="C12">
        <v>4.9950000000000001</v>
      </c>
      <c r="D12">
        <v>0.18251729999999999</v>
      </c>
      <c r="E12" s="1" t="s">
        <v>54</v>
      </c>
      <c r="F12" s="1">
        <f>'Calibration Data'!$B$28*'Count-&gt;Actual Activity'!C12+'Calibration Data'!$B$27</f>
        <v>1.0850372619801527</v>
      </c>
      <c r="G12" s="23">
        <f>'Calibration Data'!$L$20/'Calibration Data'!$L$31*SQRT(1/'Calibration Data'!$L$21+1+('Count-&gt;Actual Activity'!F12-AVERAGE('Calibration Data'!$F$3:$F$8))^2/('Calibration Data'!$L$31^2*'Calibration Data'!$J$9))</f>
        <v>0.23297869483988012</v>
      </c>
    </row>
    <row r="13" spans="1:7" x14ac:dyDescent="0.25">
      <c r="A13" t="s">
        <v>136</v>
      </c>
      <c r="B13" s="21" t="s">
        <v>123</v>
      </c>
      <c r="C13">
        <v>4.8343333333333298</v>
      </c>
      <c r="D13">
        <v>0.17964382666666701</v>
      </c>
      <c r="E13" s="1" t="s">
        <v>54</v>
      </c>
      <c r="F13" s="1">
        <f>'Calibration Data'!$B$28*'Count-&gt;Actual Activity'!C13+'Calibration Data'!$B$27</f>
        <v>1.0498621539076942</v>
      </c>
      <c r="G13" s="23">
        <f>'Calibration Data'!$L$20/'Calibration Data'!$L$31*SQRT(1/'Calibration Data'!$L$21+1+('Count-&gt;Actual Activity'!F13-AVERAGE('Calibration Data'!$F$3:$F$8))^2/('Calibration Data'!$L$31^2*'Calibration Data'!$J$9))</f>
        <v>0.2329786898176758</v>
      </c>
    </row>
    <row r="14" spans="1:7" x14ac:dyDescent="0.25">
      <c r="A14" t="s">
        <v>137</v>
      </c>
      <c r="B14" s="21" t="s">
        <v>123</v>
      </c>
      <c r="C14">
        <v>16.907333333333298</v>
      </c>
      <c r="D14">
        <v>0.33611778666666697</v>
      </c>
      <c r="E14" s="1" t="s">
        <v>54</v>
      </c>
      <c r="F14" s="1">
        <f>'Calibration Data'!$B$28*'Count-&gt;Actual Activity'!C14+'Calibration Data'!$B$27</f>
        <v>3.6930307001241673</v>
      </c>
      <c r="G14" s="23">
        <f>'Calibration Data'!$L$20/'Calibration Data'!$L$31*SQRT(1/'Calibration Data'!$L$21+1+('Count-&gt;Actual Activity'!F14-AVERAGE('Calibration Data'!$F$3:$F$8))^2/('Calibration Data'!$L$31^2*'Calibration Data'!$J$9))</f>
        <v>0.23297957235301142</v>
      </c>
    </row>
    <row r="15" spans="1:7" x14ac:dyDescent="0.25">
      <c r="A15" t="s">
        <v>138</v>
      </c>
      <c r="B15" s="21" t="s">
        <v>123</v>
      </c>
      <c r="C15">
        <v>23.004999999999999</v>
      </c>
      <c r="D15">
        <v>0.3920052</v>
      </c>
      <c r="E15" s="1" t="s">
        <v>54</v>
      </c>
      <c r="F15" s="1">
        <f>'Calibration Data'!$B$28*'Count-&gt;Actual Activity'!C15+'Calibration Data'!$B$27</f>
        <v>5.0280063266168469</v>
      </c>
      <c r="G15" s="23">
        <f>'Calibration Data'!$L$20/'Calibration Data'!$L$31*SQRT(1/'Calibration Data'!$L$21+1+('Count-&gt;Actual Activity'!F15-AVERAGE('Calibration Data'!$F$3:$F$8))^2/('Calibration Data'!$L$31^2*'Calibration Data'!$J$9))</f>
        <v>0.23298040726339078</v>
      </c>
    </row>
    <row r="16" spans="1:7" x14ac:dyDescent="0.25">
      <c r="A16" t="s">
        <v>139</v>
      </c>
      <c r="B16" s="21" t="s">
        <v>123</v>
      </c>
      <c r="C16">
        <v>21.3206666666667</v>
      </c>
      <c r="D16">
        <v>0.376949386666667</v>
      </c>
      <c r="E16" s="1" t="s">
        <v>54</v>
      </c>
      <c r="F16" s="1">
        <f>'Calibration Data'!$B$28*'Count-&gt;Actual Activity'!C16+'Calibration Data'!$B$27</f>
        <v>4.6592515110771684</v>
      </c>
      <c r="G16" s="23">
        <f>'Calibration Data'!$L$20/'Calibration Data'!$L$31*SQRT(1/'Calibration Data'!$L$21+1+('Count-&gt;Actual Activity'!F16-AVERAGE('Calibration Data'!$F$3:$F$8))^2/('Calibration Data'!$L$31^2*'Calibration Data'!$J$9))</f>
        <v>0.23298015053008769</v>
      </c>
    </row>
    <row r="17" spans="1:7" x14ac:dyDescent="0.25">
      <c r="A17" t="s">
        <v>140</v>
      </c>
      <c r="B17" s="21" t="s">
        <v>123</v>
      </c>
      <c r="C17">
        <v>40.059033333333304</v>
      </c>
      <c r="D17">
        <v>0.51676153000000002</v>
      </c>
      <c r="E17" s="1" t="s">
        <v>54</v>
      </c>
      <c r="F17" s="1">
        <f>'Calibration Data'!$B$28*'Count-&gt;Actual Activity'!C17+'Calibration Data'!$B$27</f>
        <v>8.7616834982224123</v>
      </c>
      <c r="G17" s="23">
        <f>'Calibration Data'!$L$20/'Calibration Data'!$L$31*SQRT(1/'Calibration Data'!$L$21+1+('Count-&gt;Actual Activity'!F17-AVERAGE('Calibration Data'!$F$3:$F$8))^2/('Calibration Data'!$L$31^2*'Calibration Data'!$J$9))</f>
        <v>0.23298412912925806</v>
      </c>
    </row>
    <row r="18" spans="1:7" x14ac:dyDescent="0.25">
      <c r="A18" t="s">
        <v>141</v>
      </c>
      <c r="B18" s="21" t="s">
        <v>123</v>
      </c>
      <c r="C18">
        <v>39.622333333333302</v>
      </c>
      <c r="D18">
        <v>0.51429788666666698</v>
      </c>
      <c r="E18" s="1" t="s">
        <v>54</v>
      </c>
      <c r="F18" s="1">
        <f>'Calibration Data'!$B$28*'Count-&gt;Actual Activity'!C18+'Calibration Data'!$B$27</f>
        <v>8.6660758030238085</v>
      </c>
      <c r="G18" s="23">
        <f>'Calibration Data'!$L$20/'Calibration Data'!$L$31*SQRT(1/'Calibration Data'!$L$21+1+('Count-&gt;Actual Activity'!F18-AVERAGE('Calibration Data'!$F$3:$F$8))^2/('Calibration Data'!$L$31^2*'Calibration Data'!$J$9))</f>
        <v>0.23298400833619753</v>
      </c>
    </row>
    <row r="19" spans="1:7" x14ac:dyDescent="0.25">
      <c r="A19" t="s">
        <v>142</v>
      </c>
      <c r="B19" s="21" t="s">
        <v>123</v>
      </c>
      <c r="C19">
        <v>43.994</v>
      </c>
      <c r="D19">
        <v>0.5411262</v>
      </c>
      <c r="E19" s="1" t="s">
        <v>54</v>
      </c>
      <c r="F19" s="1">
        <f>'Calibration Data'!$B$28*'Count-&gt;Actual Activity'!C19+'Calibration Data'!$B$27</f>
        <v>9.6231744386468065</v>
      </c>
      <c r="G19" s="23">
        <f>'Calibration Data'!$L$20/'Calibration Data'!$L$31*SQRT(1/'Calibration Data'!$L$21+1+('Count-&gt;Actual Activity'!F19-AVERAGE('Calibration Data'!$F$3:$F$8))^2/('Calibration Data'!$L$31^2*'Calibration Data'!$J$9))</f>
        <v>0.23298527797560797</v>
      </c>
    </row>
    <row r="20" spans="1:7" x14ac:dyDescent="0.25">
      <c r="A20" s="21" t="s">
        <v>101</v>
      </c>
      <c r="B20" s="22" t="s">
        <v>124</v>
      </c>
    </row>
    <row r="21" spans="1:7" x14ac:dyDescent="0.25">
      <c r="A21" s="21" t="s">
        <v>102</v>
      </c>
      <c r="B21" s="22" t="s">
        <v>124</v>
      </c>
    </row>
    <row r="22" spans="1:7" x14ac:dyDescent="0.25">
      <c r="A22" s="21" t="s">
        <v>103</v>
      </c>
      <c r="B22" s="22" t="s">
        <v>124</v>
      </c>
    </row>
    <row r="23" spans="1:7" x14ac:dyDescent="0.25">
      <c r="A23" s="21" t="s">
        <v>104</v>
      </c>
      <c r="B23" s="22" t="s">
        <v>124</v>
      </c>
    </row>
    <row r="24" spans="1:7" x14ac:dyDescent="0.25">
      <c r="A24" s="21" t="s">
        <v>105</v>
      </c>
      <c r="B24" s="22" t="s">
        <v>124</v>
      </c>
    </row>
    <row r="25" spans="1:7" x14ac:dyDescent="0.25">
      <c r="A25" s="21" t="s">
        <v>106</v>
      </c>
      <c r="B25" s="22" t="s">
        <v>124</v>
      </c>
    </row>
    <row r="26" spans="1:7" x14ac:dyDescent="0.25">
      <c r="A26" s="21" t="s">
        <v>107</v>
      </c>
      <c r="B26" s="22" t="s">
        <v>124</v>
      </c>
    </row>
    <row r="27" spans="1:7" x14ac:dyDescent="0.25">
      <c r="A27" s="21" t="s">
        <v>108</v>
      </c>
      <c r="B27" s="22" t="s">
        <v>124</v>
      </c>
    </row>
    <row r="28" spans="1:7" x14ac:dyDescent="0.25">
      <c r="A28" s="21" t="s">
        <v>109</v>
      </c>
      <c r="B28" s="22" t="s">
        <v>124</v>
      </c>
    </row>
    <row r="29" spans="1:7" x14ac:dyDescent="0.25">
      <c r="A29" s="21" t="s">
        <v>110</v>
      </c>
      <c r="B29" s="22" t="s">
        <v>124</v>
      </c>
    </row>
    <row r="30" spans="1:7" x14ac:dyDescent="0.25">
      <c r="A30" s="21" t="s">
        <v>111</v>
      </c>
      <c r="B30" s="22" t="s">
        <v>124</v>
      </c>
    </row>
    <row r="31" spans="1:7" x14ac:dyDescent="0.25">
      <c r="A31" s="21" t="s">
        <v>112</v>
      </c>
      <c r="B31" s="22" t="s">
        <v>124</v>
      </c>
    </row>
    <row r="32" spans="1:7" x14ac:dyDescent="0.25">
      <c r="A32" s="21" t="s">
        <v>113</v>
      </c>
      <c r="B32" s="22" t="s">
        <v>124</v>
      </c>
    </row>
    <row r="33" spans="1:2" x14ac:dyDescent="0.25">
      <c r="A33" s="21" t="s">
        <v>114</v>
      </c>
      <c r="B33" s="22" t="s">
        <v>124</v>
      </c>
    </row>
    <row r="34" spans="1:2" x14ac:dyDescent="0.25">
      <c r="A34" s="21" t="s">
        <v>115</v>
      </c>
      <c r="B34" s="22" t="s">
        <v>124</v>
      </c>
    </row>
    <row r="35" spans="1:2" x14ac:dyDescent="0.25">
      <c r="A35" s="21" t="s">
        <v>116</v>
      </c>
      <c r="B35" s="22" t="s">
        <v>124</v>
      </c>
    </row>
    <row r="36" spans="1:2" x14ac:dyDescent="0.25">
      <c r="A36" s="21" t="s">
        <v>117</v>
      </c>
      <c r="B36" s="22" t="s">
        <v>124</v>
      </c>
    </row>
    <row r="37" spans="1:2" x14ac:dyDescent="0.25">
      <c r="A37" s="21" t="s">
        <v>118</v>
      </c>
      <c r="B37" s="22" t="s">
        <v>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S2" sqref="S2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95</v>
      </c>
      <c r="H1" t="s">
        <v>96</v>
      </c>
      <c r="I1" t="s">
        <v>91</v>
      </c>
      <c r="J1" t="s">
        <v>92</v>
      </c>
      <c r="K1" t="s">
        <v>97</v>
      </c>
      <c r="L1" t="s">
        <v>98</v>
      </c>
      <c r="M1" t="s">
        <v>93</v>
      </c>
      <c r="N1" t="s">
        <v>94</v>
      </c>
      <c r="O1" t="s">
        <v>99</v>
      </c>
      <c r="P1" t="s">
        <v>100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  <c r="W1" t="s">
        <v>146</v>
      </c>
    </row>
    <row r="2" spans="1:23" x14ac:dyDescent="0.25">
      <c r="A2" t="s">
        <v>125</v>
      </c>
      <c r="B2">
        <v>0</v>
      </c>
      <c r="C2">
        <v>0</v>
      </c>
      <c r="D2" s="1">
        <v>9.01</v>
      </c>
      <c r="E2" s="1">
        <v>3.0099999999999998E-2</v>
      </c>
      <c r="F2" s="1">
        <v>1E-4</v>
      </c>
      <c r="G2" s="1">
        <v>100</v>
      </c>
      <c r="H2" s="1">
        <v>5</v>
      </c>
      <c r="I2" s="1">
        <f>'Count-&gt;Actual Activity'!F2</f>
        <v>0.27126624514202974</v>
      </c>
      <c r="J2" s="1">
        <f>'Count-&gt;Actual Activity'!G2</f>
        <v>0.2329786250826516</v>
      </c>
      <c r="K2" s="1">
        <v>10</v>
      </c>
      <c r="L2" s="1">
        <v>0.02</v>
      </c>
      <c r="M2" s="1"/>
      <c r="N2" s="1"/>
      <c r="O2" s="1"/>
      <c r="P2" s="1"/>
      <c r="Q2">
        <f>I2/K2</f>
        <v>2.7126624514202974E-2</v>
      </c>
      <c r="R2">
        <f>SQRT((L2/K2)^2+(J2/I2)^2)*Q2</f>
        <v>2.3297925677387196E-2</v>
      </c>
      <c r="S2">
        <f>B2*Parameters!$B$6</f>
        <v>0</v>
      </c>
      <c r="T2" t="e">
        <f>SQRT((C2/B2)^2+(Parameters!$C$6/Parameters!$B$6)^2)*'Bottle Results'!S2</f>
        <v>#DIV/0!</v>
      </c>
      <c r="U2">
        <f t="shared" ref="U2" si="0">(S2-Q2*G2)/E2</f>
        <v>-90.121676126920192</v>
      </c>
      <c r="W2" t="e">
        <f t="shared" ref="W2" si="1">(S2-Q2*G2)/S2</f>
        <v>#DIV/0!</v>
      </c>
    </row>
    <row r="3" spans="1:23" x14ac:dyDescent="0.25">
      <c r="A3" t="s">
        <v>126</v>
      </c>
      <c r="B3">
        <v>0</v>
      </c>
      <c r="C3">
        <v>0</v>
      </c>
      <c r="D3" s="1">
        <v>9.02</v>
      </c>
      <c r="E3" s="1">
        <v>2.98E-2</v>
      </c>
      <c r="F3" s="1">
        <v>1E-4</v>
      </c>
      <c r="G3" s="1">
        <v>100</v>
      </c>
      <c r="H3" s="1">
        <v>5</v>
      </c>
      <c r="I3" s="1">
        <f>'Count-&gt;Actual Activity'!F3</f>
        <v>0.26236300201995466</v>
      </c>
      <c r="J3" s="1">
        <f>'Count-&gt;Actual Activity'!G3</f>
        <v>0.23297862485620152</v>
      </c>
      <c r="K3" s="1">
        <v>10</v>
      </c>
      <c r="L3" s="1">
        <v>0.02</v>
      </c>
      <c r="M3" s="1"/>
      <c r="N3" s="1"/>
      <c r="O3" s="1"/>
      <c r="P3" s="1"/>
      <c r="Q3">
        <f t="shared" ref="Q3:Q19" si="2">I3/K3</f>
        <v>2.6236300201995466E-2</v>
      </c>
      <c r="R3">
        <f t="shared" ref="R3:R19" si="3">SQRT((L3/K3)^2+(J3/I3)^2)*Q3</f>
        <v>2.3297921576240659E-2</v>
      </c>
      <c r="S3">
        <f>B3*Parameters!$B$6</f>
        <v>0</v>
      </c>
      <c r="T3" t="e">
        <f>SQRT((C3/B3)^2+(Parameters!$C$6/Parameters!$B$6)^2)*'Bottle Results'!S3</f>
        <v>#DIV/0!</v>
      </c>
      <c r="U3">
        <f t="shared" ref="U3:U19" si="4">(S3-Q3*G3)/E3</f>
        <v>-88.041275845622366</v>
      </c>
      <c r="W3" t="e">
        <f t="shared" ref="W3:W19" si="5">(S3-Q3*G3)/S3</f>
        <v>#DIV/0!</v>
      </c>
    </row>
    <row r="4" spans="1:23" x14ac:dyDescent="0.25">
      <c r="A4" t="s">
        <v>127</v>
      </c>
      <c r="B4">
        <v>0</v>
      </c>
      <c r="C4">
        <v>0</v>
      </c>
      <c r="D4" s="1">
        <v>9.02</v>
      </c>
      <c r="E4" s="1">
        <v>2.9700000000000001E-2</v>
      </c>
      <c r="F4" s="1">
        <v>1E-4</v>
      </c>
      <c r="G4" s="1">
        <v>100</v>
      </c>
      <c r="H4" s="1">
        <v>5</v>
      </c>
      <c r="I4" s="1">
        <f>'Count-&gt;Actual Activity'!F4</f>
        <v>0.26353064046219538</v>
      </c>
      <c r="J4" s="1">
        <f>'Count-&gt;Actual Activity'!G4</f>
        <v>0.23297862488523796</v>
      </c>
      <c r="K4" s="1">
        <v>10</v>
      </c>
      <c r="L4" s="1">
        <v>0.02</v>
      </c>
      <c r="M4" s="1"/>
      <c r="N4" s="1"/>
      <c r="O4" s="1"/>
      <c r="P4" s="1"/>
      <c r="Q4">
        <f t="shared" si="2"/>
        <v>2.6353064046219538E-2</v>
      </c>
      <c r="R4">
        <f t="shared" si="3"/>
        <v>2.3297922106275973E-2</v>
      </c>
      <c r="S4">
        <f>B4*Parameters!$B$6</f>
        <v>0</v>
      </c>
      <c r="T4" t="e">
        <f>SQRT((C4/B4)^2+(Parameters!$C$6/Parameters!$B$6)^2)*'Bottle Results'!S4</f>
        <v>#DIV/0!</v>
      </c>
      <c r="U4">
        <f t="shared" si="4"/>
        <v>-88.730855374476548</v>
      </c>
      <c r="W4" t="e">
        <f t="shared" si="5"/>
        <v>#DIV/0!</v>
      </c>
    </row>
    <row r="5" spans="1:23" x14ac:dyDescent="0.25">
      <c r="A5" t="s">
        <v>128</v>
      </c>
      <c r="B5" s="23">
        <v>6.9499999999999996E-3</v>
      </c>
      <c r="C5" s="23">
        <v>1.0000000000000001E-5</v>
      </c>
      <c r="D5" s="1">
        <v>9</v>
      </c>
      <c r="E5" s="1">
        <v>3.09E-2</v>
      </c>
      <c r="F5" s="1">
        <v>1E-4</v>
      </c>
      <c r="G5" s="1">
        <v>100</v>
      </c>
      <c r="H5" s="1">
        <v>5</v>
      </c>
      <c r="I5" s="1">
        <f>'Count-&gt;Actual Activity'!F5</f>
        <v>0.28068033008258375</v>
      </c>
      <c r="J5" s="1">
        <f>'Count-&gt;Actual Activity'!G5</f>
        <v>0.23297862533473138</v>
      </c>
      <c r="K5" s="1">
        <v>10</v>
      </c>
      <c r="L5" s="1">
        <v>0.02</v>
      </c>
      <c r="M5" s="1"/>
      <c r="N5" s="1"/>
      <c r="O5" s="1"/>
      <c r="P5" s="1"/>
      <c r="Q5">
        <f t="shared" si="2"/>
        <v>2.8068033008258376E-2</v>
      </c>
      <c r="R5">
        <f t="shared" si="3"/>
        <v>2.3297930163139371E-2</v>
      </c>
      <c r="S5">
        <f>B5*Parameters!$B$6</f>
        <v>9.996456049999999</v>
      </c>
      <c r="T5">
        <f>SQRT((C5/B5)^2+(Parameters!$C$6/Parameters!$B$6)^2)*'Bottle Results'!S5</f>
        <v>5.2066145506385428E-2</v>
      </c>
      <c r="U5">
        <f t="shared" si="4"/>
        <v>232.67484625159099</v>
      </c>
      <c r="W5">
        <f t="shared" si="5"/>
        <v>0.71922016294706381</v>
      </c>
    </row>
    <row r="6" spans="1:23" x14ac:dyDescent="0.25">
      <c r="A6" t="s">
        <v>129</v>
      </c>
      <c r="B6" s="23">
        <v>6.9499999999999996E-3</v>
      </c>
      <c r="C6" s="23">
        <v>1.0000000000000001E-5</v>
      </c>
      <c r="D6" s="1">
        <v>9</v>
      </c>
      <c r="E6" s="1">
        <v>2.9899999999999999E-2</v>
      </c>
      <c r="F6" s="1">
        <v>1E-4</v>
      </c>
      <c r="G6" s="1">
        <v>100</v>
      </c>
      <c r="H6" s="1">
        <v>5</v>
      </c>
      <c r="I6" s="1">
        <f>'Count-&gt;Actual Activity'!F6</f>
        <v>0.29118907606273708</v>
      </c>
      <c r="J6" s="1">
        <f>'Count-&gt;Actual Activity'!G6</f>
        <v>0.23297862563146515</v>
      </c>
      <c r="K6" s="1">
        <v>10</v>
      </c>
      <c r="L6" s="1">
        <v>0.02</v>
      </c>
      <c r="M6" s="1"/>
      <c r="N6" s="1"/>
      <c r="O6" s="1"/>
      <c r="P6" s="1"/>
      <c r="Q6">
        <f t="shared" si="2"/>
        <v>2.9118907606273708E-2</v>
      </c>
      <c r="R6">
        <f t="shared" si="3"/>
        <v>2.3297935351751335E-2</v>
      </c>
      <c r="S6">
        <f>B6*Parameters!$B$6</f>
        <v>9.996456049999999</v>
      </c>
      <c r="T6">
        <f>SQRT((C6/B6)^2+(Parameters!$C$6/Parameters!$B$6)^2)*'Bottle Results'!S6</f>
        <v>5.2066145506385428E-2</v>
      </c>
      <c r="U6">
        <f t="shared" si="4"/>
        <v>236.94198292216149</v>
      </c>
      <c r="W6">
        <f t="shared" si="5"/>
        <v>0.70870769139955647</v>
      </c>
    </row>
    <row r="7" spans="1:23" x14ac:dyDescent="0.25">
      <c r="A7" t="s">
        <v>130</v>
      </c>
      <c r="B7" s="23">
        <v>6.9499999999999996E-3</v>
      </c>
      <c r="C7" s="23">
        <v>1.0000000000000001E-5</v>
      </c>
      <c r="D7" s="1">
        <v>9</v>
      </c>
      <c r="E7" s="1">
        <v>3.04E-2</v>
      </c>
      <c r="F7" s="1">
        <v>1E-4</v>
      </c>
      <c r="G7" s="1">
        <v>100</v>
      </c>
      <c r="H7" s="1">
        <v>5</v>
      </c>
      <c r="I7" s="1">
        <f>'Count-&gt;Actual Activity'!F7</f>
        <v>0.28673745450170063</v>
      </c>
      <c r="J7" s="1">
        <f>'Count-&gt;Actual Activity'!G7</f>
        <v>0.2329786255037895</v>
      </c>
      <c r="K7" s="1">
        <v>10</v>
      </c>
      <c r="L7" s="1">
        <v>0.02</v>
      </c>
      <c r="M7" s="1"/>
      <c r="N7" s="1"/>
      <c r="O7" s="1"/>
      <c r="P7" s="1"/>
      <c r="Q7">
        <f t="shared" si="2"/>
        <v>2.8673745450170061E-2</v>
      </c>
      <c r="R7">
        <f t="shared" si="3"/>
        <v>2.3297933130453061E-2</v>
      </c>
      <c r="S7">
        <f>B7*Parameters!$B$6</f>
        <v>9.996456049999999</v>
      </c>
      <c r="T7">
        <f>SQRT((C7/B7)^2+(Parameters!$C$6/Parameters!$B$6)^2)*'Bottle Results'!S7</f>
        <v>5.2066145506385428E-2</v>
      </c>
      <c r="U7">
        <f t="shared" si="4"/>
        <v>234.50926003233531</v>
      </c>
      <c r="W7">
        <f t="shared" si="5"/>
        <v>0.71316089115231929</v>
      </c>
    </row>
    <row r="8" spans="1:23" ht="15.75" customHeight="1" x14ac:dyDescent="0.25">
      <c r="A8" t="s">
        <v>131</v>
      </c>
      <c r="B8" s="23">
        <v>3.4799999999999998E-2</v>
      </c>
      <c r="C8" s="23">
        <v>1E-4</v>
      </c>
      <c r="D8" s="1">
        <v>8.98</v>
      </c>
      <c r="E8" s="1">
        <v>3.0700000000000002E-2</v>
      </c>
      <c r="F8" s="1">
        <v>1E-4</v>
      </c>
      <c r="G8" s="1">
        <v>100</v>
      </c>
      <c r="H8" s="1">
        <v>5</v>
      </c>
      <c r="I8" s="1">
        <f>'Count-&gt;Actual Activity'!F8</f>
        <v>0.46677270681446542</v>
      </c>
      <c r="J8" s="1">
        <f>'Count-&gt;Actual Activity'!G8</f>
        <v>0.23297863298383267</v>
      </c>
      <c r="K8" s="1">
        <v>10</v>
      </c>
      <c r="L8" s="1">
        <v>0.02</v>
      </c>
      <c r="M8" s="1"/>
      <c r="N8" s="1"/>
      <c r="O8" s="1"/>
      <c r="P8" s="1"/>
      <c r="Q8">
        <f t="shared" si="2"/>
        <v>4.6677270681446545E-2</v>
      </c>
      <c r="R8">
        <f t="shared" si="3"/>
        <v>2.3298050333462394E-2</v>
      </c>
      <c r="S8">
        <f>B8*Parameters!$B$6</f>
        <v>50.054197199999997</v>
      </c>
      <c r="T8">
        <f>SQRT((C8/B8)^2+(Parameters!$C$6/Parameters!$B$6)^2)*'Bottle Results'!S8</f>
        <v>0.28890916286821017</v>
      </c>
      <c r="U8">
        <f t="shared" si="4"/>
        <v>1478.3866492461023</v>
      </c>
      <c r="W8">
        <f t="shared" si="5"/>
        <v>0.90674654016537382</v>
      </c>
    </row>
    <row r="9" spans="1:23" x14ac:dyDescent="0.25">
      <c r="A9" t="s">
        <v>132</v>
      </c>
      <c r="B9" s="23">
        <v>3.4799999999999998E-2</v>
      </c>
      <c r="C9" s="23">
        <v>1E-4</v>
      </c>
      <c r="D9" s="1">
        <v>8.98</v>
      </c>
      <c r="E9" s="1">
        <v>2.9499999999999998E-2</v>
      </c>
      <c r="F9" s="1">
        <v>1E-4</v>
      </c>
      <c r="G9" s="1">
        <v>100</v>
      </c>
      <c r="H9" s="1">
        <v>5</v>
      </c>
      <c r="I9" s="1">
        <f>'Count-&gt;Actual Activity'!F9</f>
        <v>0.57061955077111881</v>
      </c>
      <c r="J9" s="1">
        <f>'Count-&gt;Actual Activity'!G9</f>
        <v>0.23297863945876901</v>
      </c>
      <c r="K9" s="1">
        <v>10</v>
      </c>
      <c r="L9" s="1">
        <v>0.02</v>
      </c>
      <c r="M9" s="1"/>
      <c r="N9" s="1"/>
      <c r="O9" s="1"/>
      <c r="P9" s="1"/>
      <c r="Q9">
        <f t="shared" si="2"/>
        <v>5.7061955077111884E-2</v>
      </c>
      <c r="R9">
        <f t="shared" si="3"/>
        <v>2.3298143460530493E-2</v>
      </c>
      <c r="S9">
        <f>B9*Parameters!$B$6</f>
        <v>50.054197199999997</v>
      </c>
      <c r="T9">
        <f>SQRT((C9/B9)^2+(Parameters!$C$6/Parameters!$B$6)^2)*'Bottle Results'!S9</f>
        <v>0.28890916286821017</v>
      </c>
      <c r="U9">
        <f t="shared" si="4"/>
        <v>1503.3220912640277</v>
      </c>
      <c r="W9">
        <f t="shared" si="5"/>
        <v>0.885999659830501</v>
      </c>
    </row>
    <row r="10" spans="1:23" x14ac:dyDescent="0.25">
      <c r="A10" t="s">
        <v>133</v>
      </c>
      <c r="B10" s="23">
        <v>3.4799999999999998E-2</v>
      </c>
      <c r="C10" s="23">
        <v>1E-4</v>
      </c>
      <c r="D10" s="1">
        <v>9.01</v>
      </c>
      <c r="E10" s="1">
        <v>2.9600000000000001E-2</v>
      </c>
      <c r="F10" s="1">
        <v>1E-4</v>
      </c>
      <c r="G10" s="1">
        <v>100</v>
      </c>
      <c r="H10" s="1">
        <v>5</v>
      </c>
      <c r="I10" s="1">
        <f>'Count-&gt;Actual Activity'!F10</f>
        <v>0.49428518760972873</v>
      </c>
      <c r="J10" s="1">
        <f>'Count-&gt;Actual Activity'!G10</f>
        <v>0.23297863454535761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4.9428518760972873E-2</v>
      </c>
      <c r="R10">
        <f t="shared" si="3"/>
        <v>2.3298073187713625E-2</v>
      </c>
      <c r="S10">
        <f>B10*Parameters!$B$6</f>
        <v>50.054197199999997</v>
      </c>
      <c r="T10">
        <f>SQRT((C10/B10)^2+(Parameters!$C$6/Parameters!$B$6)^2)*'Bottle Results'!S10</f>
        <v>0.28890916286821017</v>
      </c>
      <c r="U10">
        <f t="shared" si="4"/>
        <v>1524.0319366183348</v>
      </c>
      <c r="W10">
        <f t="shared" si="5"/>
        <v>0.90125000194594496</v>
      </c>
    </row>
    <row r="11" spans="1:23" x14ac:dyDescent="0.25">
      <c r="A11" t="s">
        <v>134</v>
      </c>
      <c r="B11" s="23">
        <v>6.9500000000000006E-2</v>
      </c>
      <c r="C11" s="23">
        <v>1E-4</v>
      </c>
      <c r="D11" s="1">
        <v>9</v>
      </c>
      <c r="E11" s="1">
        <v>3.0300000000000001E-2</v>
      </c>
      <c r="F11" s="1">
        <v>1E-4</v>
      </c>
      <c r="G11" s="1">
        <v>100</v>
      </c>
      <c r="H11" s="1">
        <v>5</v>
      </c>
      <c r="I11" s="1">
        <f>'Count-&gt;Actual Activity'!F11</f>
        <v>1.3807416974772453</v>
      </c>
      <c r="J11" s="1">
        <f>'Count-&gt;Actual Activity'!G11</f>
        <v>0.23297874422973219</v>
      </c>
      <c r="K11" s="1">
        <v>10</v>
      </c>
      <c r="L11" s="1">
        <v>0.02</v>
      </c>
      <c r="M11" s="1"/>
      <c r="N11" s="1"/>
      <c r="O11" s="1"/>
      <c r="P11" s="1"/>
      <c r="Q11">
        <f t="shared" si="2"/>
        <v>0.13807416974772452</v>
      </c>
      <c r="R11">
        <f t="shared" si="3"/>
        <v>2.3299510950533613E-2</v>
      </c>
      <c r="S11">
        <f>B11*Parameters!$B$6</f>
        <v>99.964560500000005</v>
      </c>
      <c r="T11">
        <f>SQRT((C11/B11)^2+(Parameters!$C$6/Parameters!$B$6)^2)*'Bottle Results'!S11</f>
        <v>0.52066145506385442</v>
      </c>
      <c r="U11">
        <f t="shared" si="4"/>
        <v>2843.4700833408433</v>
      </c>
      <c r="W11">
        <f t="shared" si="5"/>
        <v>0.86187688010920183</v>
      </c>
    </row>
    <row r="12" spans="1:23" x14ac:dyDescent="0.25">
      <c r="A12" t="s">
        <v>135</v>
      </c>
      <c r="B12" s="23">
        <v>6.9500000000000006E-2</v>
      </c>
      <c r="C12" s="23">
        <v>1E-4</v>
      </c>
      <c r="D12" s="1">
        <v>9</v>
      </c>
      <c r="E12" s="1">
        <v>3.0499999999999999E-2</v>
      </c>
      <c r="F12" s="1">
        <v>1E-4</v>
      </c>
      <c r="G12" s="1">
        <v>100</v>
      </c>
      <c r="H12" s="1">
        <v>5</v>
      </c>
      <c r="I12" s="1">
        <f>'Count-&gt;Actual Activity'!F12</f>
        <v>1.0850372619801527</v>
      </c>
      <c r="J12" s="1">
        <f>'Count-&gt;Actual Activity'!G12</f>
        <v>0.23297869483988012</v>
      </c>
      <c r="K12" s="1">
        <v>10</v>
      </c>
      <c r="L12" s="1">
        <v>0.02</v>
      </c>
      <c r="M12" s="1"/>
      <c r="N12" s="1"/>
      <c r="O12" s="1"/>
      <c r="P12" s="1"/>
      <c r="Q12">
        <f t="shared" si="2"/>
        <v>0.10850372619801527</v>
      </c>
      <c r="R12">
        <f t="shared" si="3"/>
        <v>2.3298880117450606E-2</v>
      </c>
      <c r="S12">
        <f>B12*Parameters!$B$6</f>
        <v>99.964560500000005</v>
      </c>
      <c r="T12">
        <f>SQRT((C12/B12)^2+(Parameters!$C$6/Parameters!$B$6)^2)*'Bottle Results'!S12</f>
        <v>0.52066145506385442</v>
      </c>
      <c r="U12">
        <f t="shared" si="4"/>
        <v>2921.776651809786</v>
      </c>
      <c r="W12">
        <f t="shared" si="5"/>
        <v>0.89145780699149346</v>
      </c>
    </row>
    <row r="13" spans="1:23" x14ac:dyDescent="0.25">
      <c r="A13" t="s">
        <v>136</v>
      </c>
      <c r="B13" s="23">
        <v>6.9500000000000006E-2</v>
      </c>
      <c r="C13" s="23">
        <v>1E-4</v>
      </c>
      <c r="D13" s="1">
        <v>9</v>
      </c>
      <c r="E13" s="1">
        <v>2.9899999999999999E-2</v>
      </c>
      <c r="F13" s="1">
        <v>1E-4</v>
      </c>
      <c r="G13" s="1">
        <v>100</v>
      </c>
      <c r="H13" s="1">
        <v>5</v>
      </c>
      <c r="I13" s="1">
        <f>'Count-&gt;Actual Activity'!F13</f>
        <v>1.0498621539076942</v>
      </c>
      <c r="J13" s="1">
        <f>'Count-&gt;Actual Activity'!G13</f>
        <v>0.2329786898176758</v>
      </c>
      <c r="K13" s="1">
        <v>10</v>
      </c>
      <c r="L13" s="1">
        <v>0.02</v>
      </c>
      <c r="M13" s="1"/>
      <c r="N13" s="1"/>
      <c r="O13" s="1"/>
      <c r="P13" s="1"/>
      <c r="Q13">
        <f t="shared" si="2"/>
        <v>0.10498621539076942</v>
      </c>
      <c r="R13">
        <f t="shared" si="3"/>
        <v>2.3298815152562938E-2</v>
      </c>
      <c r="S13">
        <f>B13*Parameters!$B$6</f>
        <v>99.964560500000005</v>
      </c>
      <c r="T13">
        <f>SQRT((C13/B13)^2+(Parameters!$C$6/Parameters!$B$6)^2)*'Bottle Results'!S13</f>
        <v>0.52066145506385442</v>
      </c>
      <c r="U13">
        <f t="shared" si="4"/>
        <v>2992.1718716027781</v>
      </c>
      <c r="W13">
        <f t="shared" si="5"/>
        <v>0.89497656482892318</v>
      </c>
    </row>
    <row r="14" spans="1:23" x14ac:dyDescent="0.25">
      <c r="A14" t="s">
        <v>137</v>
      </c>
      <c r="B14">
        <v>0.17399999999999999</v>
      </c>
      <c r="C14" s="23">
        <v>1E-3</v>
      </c>
      <c r="D14" s="1">
        <v>9.02</v>
      </c>
      <c r="E14" s="1">
        <v>3.0300000000000001E-2</v>
      </c>
      <c r="F14" s="1">
        <v>1E-4</v>
      </c>
      <c r="G14" s="1">
        <v>100</v>
      </c>
      <c r="H14" s="1">
        <v>5</v>
      </c>
      <c r="I14" s="1">
        <f>'Count-&gt;Actual Activity'!F14</f>
        <v>3.6930307001241673</v>
      </c>
      <c r="J14" s="1">
        <f>'Count-&gt;Actual Activity'!G14</f>
        <v>0.23297957235301142</v>
      </c>
      <c r="K14" s="1">
        <v>10</v>
      </c>
      <c r="L14" s="1">
        <v>0.02</v>
      </c>
      <c r="M14" s="1"/>
      <c r="N14" s="1"/>
      <c r="O14" s="1"/>
      <c r="P14" s="1"/>
      <c r="Q14">
        <f t="shared" si="2"/>
        <v>0.36930307001241675</v>
      </c>
      <c r="R14">
        <f t="shared" si="3"/>
        <v>2.3309662167607732E-2</v>
      </c>
      <c r="S14">
        <f>B14*Parameters!$B$6</f>
        <v>250.27098599999997</v>
      </c>
      <c r="T14">
        <f>SQRT((C14/B14)^2+(Parameters!$C$6/Parameters!$B$6)^2)*'Bottle Results'!S14</f>
        <v>1.907439886056963</v>
      </c>
      <c r="U14">
        <f t="shared" si="4"/>
        <v>7040.9465016091835</v>
      </c>
      <c r="W14">
        <f t="shared" si="5"/>
        <v>0.85243872015894928</v>
      </c>
    </row>
    <row r="15" spans="1:23" x14ac:dyDescent="0.25">
      <c r="A15" t="s">
        <v>138</v>
      </c>
      <c r="B15">
        <v>0.17399999999999999</v>
      </c>
      <c r="C15" s="23">
        <v>1E-3</v>
      </c>
      <c r="D15" s="1">
        <v>9</v>
      </c>
      <c r="E15" s="1">
        <v>2.9700000000000001E-2</v>
      </c>
      <c r="F15" s="1">
        <v>1E-4</v>
      </c>
      <c r="G15" s="1">
        <v>100</v>
      </c>
      <c r="H15" s="1">
        <v>5</v>
      </c>
      <c r="I15" s="1">
        <f>'Count-&gt;Actual Activity'!F15</f>
        <v>5.0280063266168469</v>
      </c>
      <c r="J15" s="1">
        <f>'Count-&gt;Actual Activity'!G15</f>
        <v>0.23298040726339078</v>
      </c>
      <c r="K15" s="1">
        <v>10</v>
      </c>
      <c r="L15" s="1">
        <v>0.02</v>
      </c>
      <c r="M15" s="1"/>
      <c r="N15" s="1"/>
      <c r="O15" s="1"/>
      <c r="P15" s="1"/>
      <c r="Q15">
        <f t="shared" si="2"/>
        <v>0.50280063266168473</v>
      </c>
      <c r="R15">
        <f t="shared" si="3"/>
        <v>2.3319732751276852E-2</v>
      </c>
      <c r="S15">
        <f>B15*Parameters!$B$6</f>
        <v>250.27098599999997</v>
      </c>
      <c r="T15">
        <f>SQRT((C15/B15)^2+(Parameters!$C$6/Parameters!$B$6)^2)*'Bottle Results'!S15</f>
        <v>1.907439886056963</v>
      </c>
      <c r="U15">
        <f t="shared" si="4"/>
        <v>6733.7011021492081</v>
      </c>
      <c r="W15">
        <f t="shared" si="5"/>
        <v>0.79909751397963291</v>
      </c>
    </row>
    <row r="16" spans="1:23" x14ac:dyDescent="0.25">
      <c r="A16" t="s">
        <v>139</v>
      </c>
      <c r="B16">
        <v>0.17399999999999999</v>
      </c>
      <c r="C16" s="23">
        <v>1E-3</v>
      </c>
      <c r="D16" s="1">
        <v>9</v>
      </c>
      <c r="E16" s="1">
        <v>3.0300000000000001E-2</v>
      </c>
      <c r="F16" s="1">
        <v>1E-4</v>
      </c>
      <c r="G16" s="1">
        <v>100</v>
      </c>
      <c r="H16" s="1">
        <v>5</v>
      </c>
      <c r="I16" s="1">
        <f>'Count-&gt;Actual Activity'!F16</f>
        <v>4.6592515110771684</v>
      </c>
      <c r="J16" s="1">
        <f>'Count-&gt;Actual Activity'!G16</f>
        <v>0.23298015053008769</v>
      </c>
      <c r="K16" s="1">
        <v>10</v>
      </c>
      <c r="L16" s="1">
        <v>0.02</v>
      </c>
      <c r="M16" s="1"/>
      <c r="N16" s="1"/>
      <c r="O16" s="1"/>
      <c r="P16" s="1"/>
      <c r="Q16">
        <f t="shared" si="2"/>
        <v>0.46592515110771682</v>
      </c>
      <c r="R16">
        <f t="shared" si="3"/>
        <v>2.3316643206001204E-2</v>
      </c>
      <c r="S16">
        <f>B16*Parameters!$B$6</f>
        <v>250.27098599999997</v>
      </c>
      <c r="T16">
        <f>SQRT((C16/B16)^2+(Parameters!$C$6/Parameters!$B$6)^2)*'Bottle Results'!S16</f>
        <v>1.907439886056963</v>
      </c>
      <c r="U16">
        <f t="shared" si="4"/>
        <v>6722.0617455190859</v>
      </c>
      <c r="W16">
        <f t="shared" si="5"/>
        <v>0.81383173553017574</v>
      </c>
    </row>
    <row r="17" spans="1:23" x14ac:dyDescent="0.25">
      <c r="A17" t="s">
        <v>140</v>
      </c>
      <c r="B17">
        <v>0.34799999999999998</v>
      </c>
      <c r="C17" s="23">
        <v>1E-3</v>
      </c>
      <c r="D17" s="1">
        <v>9</v>
      </c>
      <c r="E17" s="1">
        <v>3.04E-2</v>
      </c>
      <c r="F17" s="1">
        <v>1E-4</v>
      </c>
      <c r="G17" s="1">
        <v>100</v>
      </c>
      <c r="H17" s="1">
        <v>5</v>
      </c>
      <c r="I17" s="1">
        <f>'Count-&gt;Actual Activity'!F17</f>
        <v>8.7616834982224123</v>
      </c>
      <c r="J17" s="1">
        <f>'Count-&gt;Actual Activity'!G17</f>
        <v>0.23298412912925806</v>
      </c>
      <c r="K17" s="1">
        <v>10</v>
      </c>
      <c r="L17" s="1">
        <v>0.02</v>
      </c>
      <c r="Q17">
        <f t="shared" si="2"/>
        <v>0.87616834982224123</v>
      </c>
      <c r="R17">
        <f t="shared" si="3"/>
        <v>2.3364218971968841E-2</v>
      </c>
      <c r="S17">
        <f>B17*Parameters!$B$6</f>
        <v>500.54197199999993</v>
      </c>
      <c r="T17">
        <f>SQRT((C17/B17)^2+(Parameters!$C$6/Parameters!$B$6)^2)*'Bottle Results'!S17</f>
        <v>2.8890916286821016</v>
      </c>
      <c r="U17">
        <f t="shared" si="4"/>
        <v>13583.063717689993</v>
      </c>
      <c r="W17">
        <f t="shared" si="5"/>
        <v>0.8249560678555361</v>
      </c>
    </row>
    <row r="18" spans="1:23" x14ac:dyDescent="0.25">
      <c r="A18" t="s">
        <v>141</v>
      </c>
      <c r="B18">
        <v>0.34799999999999998</v>
      </c>
      <c r="C18" s="23">
        <v>1E-3</v>
      </c>
      <c r="D18" s="1">
        <v>9</v>
      </c>
      <c r="E18" s="1">
        <v>2.9899999999999999E-2</v>
      </c>
      <c r="F18" s="1">
        <v>1E-4</v>
      </c>
      <c r="G18" s="1">
        <v>100</v>
      </c>
      <c r="H18" s="1">
        <v>5</v>
      </c>
      <c r="I18" s="1">
        <f>'Count-&gt;Actual Activity'!F18</f>
        <v>8.6660758030238085</v>
      </c>
      <c r="J18" s="1">
        <f>'Count-&gt;Actual Activity'!G18</f>
        <v>0.23298400833619753</v>
      </c>
      <c r="K18" s="1">
        <v>10</v>
      </c>
      <c r="L18" s="1">
        <v>0.02</v>
      </c>
      <c r="Q18">
        <f t="shared" si="2"/>
        <v>0.86660758030238083</v>
      </c>
      <c r="R18">
        <f t="shared" si="3"/>
        <v>2.3362780575029243E-2</v>
      </c>
      <c r="S18">
        <f>B18*Parameters!$B$6</f>
        <v>500.54197199999993</v>
      </c>
      <c r="T18">
        <f>SQRT((C18/B18)^2+(Parameters!$C$6/Parameters!$B$6)^2)*'Bottle Results'!S18</f>
        <v>2.8890916286821016</v>
      </c>
      <c r="U18">
        <f t="shared" si="4"/>
        <v>13842.181069222805</v>
      </c>
      <c r="W18">
        <f t="shared" si="5"/>
        <v>0.82686615133598007</v>
      </c>
    </row>
    <row r="19" spans="1:23" x14ac:dyDescent="0.25">
      <c r="A19" t="s">
        <v>142</v>
      </c>
      <c r="B19">
        <v>0.34799999999999998</v>
      </c>
      <c r="C19" s="23">
        <v>1E-3</v>
      </c>
      <c r="D19" s="1">
        <v>9.01</v>
      </c>
      <c r="E19" s="1">
        <v>2.98E-2</v>
      </c>
      <c r="F19" s="1">
        <v>1E-4</v>
      </c>
      <c r="G19" s="1">
        <v>100</v>
      </c>
      <c r="H19" s="1">
        <v>5</v>
      </c>
      <c r="I19" s="1">
        <f>'Count-&gt;Actual Activity'!F19</f>
        <v>9.6231744386468065</v>
      </c>
      <c r="J19" s="1">
        <f>'Count-&gt;Actual Activity'!G19</f>
        <v>0.23298527797560797</v>
      </c>
      <c r="K19" s="1">
        <v>10</v>
      </c>
      <c r="L19" s="1">
        <v>0.02</v>
      </c>
      <c r="Q19">
        <f t="shared" si="2"/>
        <v>0.96231744386468065</v>
      </c>
      <c r="R19">
        <f t="shared" si="3"/>
        <v>2.3377887350759009E-2</v>
      </c>
      <c r="S19">
        <f>B19*Parameters!$B$6</f>
        <v>500.54197199999993</v>
      </c>
      <c r="T19">
        <f>SQRT((C19/B19)^2+(Parameters!$C$6/Parameters!$B$6)^2)*'Bottle Results'!S19</f>
        <v>2.8890916286821016</v>
      </c>
      <c r="U19">
        <f t="shared" si="4"/>
        <v>13567.457302467512</v>
      </c>
      <c r="W19">
        <f t="shared" si="5"/>
        <v>0.80774490498377616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D4" sqref="D4"/>
    </sheetView>
  </sheetViews>
  <sheetFormatPr defaultRowHeight="15" x14ac:dyDescent="0.25"/>
  <sheetData>
    <row r="1" spans="1:10" x14ac:dyDescent="0.25">
      <c r="A1" t="s">
        <v>15</v>
      </c>
      <c r="B1" t="s">
        <v>29</v>
      </c>
      <c r="C1" t="s">
        <v>143</v>
      </c>
      <c r="D1" t="s">
        <v>31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</row>
    <row r="2" spans="1:10" x14ac:dyDescent="0.25">
      <c r="A2">
        <v>0</v>
      </c>
      <c r="B2">
        <f>AVERAGE('Bottle Results'!Q2:Q4)</f>
        <v>2.6571996254139325E-2</v>
      </c>
      <c r="C2">
        <f>_xlfn.STDEV.S('Bottle Results'!Q2:Q4)</f>
        <v>4.8385724028417512E-4</v>
      </c>
      <c r="D2">
        <f>AVERAGE('Bottle Results'!U2:U4)</f>
        <v>-88.964602449006364</v>
      </c>
      <c r="E2">
        <f>_xlfn.STDEV.S('Bottle Results'!U2:U4)</f>
        <v>1.0597143972526071</v>
      </c>
      <c r="F2">
        <f>AVERAGE('Bottle Results'!S2:S4)</f>
        <v>0</v>
      </c>
      <c r="G2" t="e">
        <f>AVERAGE('Bottle Results'!W2:W4)</f>
        <v>#DIV/0!</v>
      </c>
      <c r="I2">
        <f>AVERAGE('Bottle Results'!D2:D4)</f>
        <v>9.0166666666666675</v>
      </c>
      <c r="J2">
        <f>_xlfn.STDEV.S('Bottle Results'!D2:D4)</f>
        <v>5.7735026918961348E-3</v>
      </c>
    </row>
    <row r="3" spans="1:10" x14ac:dyDescent="0.25">
      <c r="A3">
        <v>10</v>
      </c>
      <c r="B3">
        <f>AVERAGE('Bottle Results'!Q5:Q7)</f>
        <v>2.8620228688234051E-2</v>
      </c>
      <c r="C3">
        <f>_xlfn.STDEV.S('Bottle Results'!Q5:Q7)</f>
        <v>5.2747738154783309E-4</v>
      </c>
      <c r="D3">
        <f>AVERAGE('Bottle Results'!U5:U7)</f>
        <v>234.70869640202923</v>
      </c>
      <c r="E3">
        <f>_xlfn.STDEV.S('Bottle Results'!U5:U7)</f>
        <v>2.1405478248568492</v>
      </c>
      <c r="F3">
        <f>AVERAGE('Bottle Results'!S5:S7)</f>
        <v>9.996456049999999</v>
      </c>
      <c r="G3">
        <f>AVERAGE('Bottle Results'!W5:W7)</f>
        <v>0.71369624849964663</v>
      </c>
      <c r="H3">
        <f>_xlfn.STDEV.S('Bottle Results'!W5:W7)</f>
        <v>5.2766438316690263E-3</v>
      </c>
      <c r="I3">
        <f>AVERAGE('Bottle Results'!D5:D7)</f>
        <v>9</v>
      </c>
      <c r="J3">
        <f>_xlfn.STDEV.S('Bottle Results'!D5:D7)</f>
        <v>0</v>
      </c>
    </row>
    <row r="4" spans="1:10" x14ac:dyDescent="0.25">
      <c r="A4">
        <v>50</v>
      </c>
      <c r="B4">
        <f>AVERAGE('Bottle Results'!Q8:Q10)</f>
        <v>5.1055914839843765E-2</v>
      </c>
      <c r="C4">
        <f>_xlfn.STDEV.S('Bottle Results'!Q8:Q10)</f>
        <v>5.3802166310974011E-3</v>
      </c>
      <c r="D4">
        <f>AVERAGE('Bottle Results'!U8:U10)</f>
        <v>1501.9135590428216</v>
      </c>
      <c r="E4">
        <f>_xlfn.STDEV.S('Bottle Results'!U8:U10)</f>
        <v>22.855219033889298</v>
      </c>
      <c r="F4">
        <f>AVERAGE('Bottle Results'!S8:S10)</f>
        <v>50.054197199999997</v>
      </c>
      <c r="G4">
        <f>AVERAGE('Bottle Results'!W8:W10)</f>
        <v>0.89799873398060648</v>
      </c>
      <c r="H4">
        <f>_xlfn.STDEV.S('Bottle Results'!W8:W10)</f>
        <v>1.0748782184238815E-2</v>
      </c>
      <c r="I4">
        <f>AVERAGE('Bottle Results'!D8:D10)</f>
        <v>8.99</v>
      </c>
      <c r="J4">
        <f>_xlfn.STDEV.S('Bottle Results'!D8:D10)</f>
        <v>1.7320508075688405E-2</v>
      </c>
    </row>
    <row r="5" spans="1:10" x14ac:dyDescent="0.25">
      <c r="A5">
        <v>100</v>
      </c>
      <c r="B5">
        <f>AVERAGE('Bottle Results'!Q11:Q13)</f>
        <v>0.11718803711216974</v>
      </c>
      <c r="C5">
        <f>_xlfn.STDEV.S('Bottle Results'!Q11:Q13)</f>
        <v>1.8173225440803343E-2</v>
      </c>
      <c r="D5">
        <f>AVERAGE('Bottle Results'!U11:U13)</f>
        <v>2919.1395355844688</v>
      </c>
      <c r="E5">
        <f>_xlfn.STDEV.S('Bottle Results'!U11:U13)</f>
        <v>74.385961340589617</v>
      </c>
      <c r="F5">
        <f>AVERAGE('Bottle Results'!S11:S13)</f>
        <v>99.964560500000005</v>
      </c>
      <c r="G5">
        <f>AVERAGE('Bottle Results'!W11:W13)</f>
        <v>0.88277041730987271</v>
      </c>
      <c r="H5">
        <f>_xlfn.STDEV.S('Bottle Results'!W11:W13)</f>
        <v>1.8179668224323715E-2</v>
      </c>
      <c r="I5">
        <f>AVERAGE('Bottle Results'!D11:D13)</f>
        <v>9</v>
      </c>
      <c r="J5">
        <f>_xlfn.STDEV.S('Bottle Results'!D3:D11)</f>
        <v>1.4529663145135268E-2</v>
      </c>
    </row>
    <row r="6" spans="1:10" x14ac:dyDescent="0.25">
      <c r="A6">
        <v>250</v>
      </c>
      <c r="B6">
        <f>AVERAGE('Bottle Results'!Q14:Q16)</f>
        <v>0.44600961792727273</v>
      </c>
      <c r="C6">
        <f>_xlfn.STDEV.S('Bottle Results'!Q14:Q16)</f>
        <v>6.8941070159375215E-2</v>
      </c>
      <c r="D6">
        <f>AVERAGE('Bottle Results'!U14:U16)</f>
        <v>6832.2364497591598</v>
      </c>
      <c r="E6">
        <f>_xlfn.STDEV.S('Bottle Results'!U14:U16)</f>
        <v>180.84187281467942</v>
      </c>
      <c r="F6">
        <f>AVERAGE('Bottle Results'!S14:S16)</f>
        <v>250.27098599999997</v>
      </c>
      <c r="G6">
        <f>AVERAGE('Bottle Results'!W14:W16)</f>
        <v>0.82178932322291931</v>
      </c>
      <c r="H6">
        <f>_xlfn.STDEV.S('Bottle Results'!W14:W16)</f>
        <v>2.7546569125425815E-2</v>
      </c>
      <c r="I6">
        <f>AVERAGE('Bottle Results'!D14:D16)</f>
        <v>9.0066666666666659</v>
      </c>
      <c r="J6">
        <f>_xlfn.STDEV.S('Bottle Results'!D14:D16)</f>
        <v>1.154700538379227E-2</v>
      </c>
    </row>
    <row r="7" spans="1:10" x14ac:dyDescent="0.25">
      <c r="A7">
        <v>500</v>
      </c>
      <c r="B7">
        <f>AVERAGE('Bottle Results'!Q17:Q19)</f>
        <v>0.90169779132976757</v>
      </c>
      <c r="C7">
        <f>_xlfn.STDEV.S('Bottle Results'!Q17:Q19)</f>
        <v>5.2715356240313586E-2</v>
      </c>
      <c r="D7">
        <f>AVERAGE('Bottle Results'!U17:U19)</f>
        <v>13664.234029793437</v>
      </c>
      <c r="E7">
        <f>_xlfn.STDEV.S('Bottle Results'!U17:U19)</f>
        <v>154.30408834597338</v>
      </c>
      <c r="F7">
        <f>AVERAGE('Bottle Results'!S17:S19)</f>
        <v>500.54197199999993</v>
      </c>
      <c r="G7">
        <f>AVERAGE('Bottle Results'!W17:W19)</f>
        <v>0.81985570805843067</v>
      </c>
      <c r="H7">
        <f>_xlfn.STDEV.S('Bottle Results'!W17:W19)</f>
        <v>1.0531655523248189E-2</v>
      </c>
      <c r="I7">
        <f>AVERAGE('Bottle Results'!D17:D19)</f>
        <v>9.0033333333333321</v>
      </c>
      <c r="J7">
        <f>_xlfn.STDEV.S('Bottle Results'!D17:D19)</f>
        <v>5.7735026918961348E-3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2016-04-14T20:59:42Z</dcterms:modified>
</cp:coreProperties>
</file>