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RaMont_pH3\"/>
    </mc:Choice>
  </mc:AlternateContent>
  <bookViews>
    <workbookView xWindow="0" yWindow="0" windowWidth="7470" windowHeight="12285" firstSheet="3" activeTab="4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definedNames>
    <definedName name="_xlnm._FilterDatabase" localSheetId="2" hidden="1">'Scintillation Counter Results'!$A$1:$F$37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8" l="1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G12" i="2" s="1"/>
  <c r="J12" i="5" s="1"/>
  <c r="F13" i="2"/>
  <c r="F14" i="2"/>
  <c r="F15" i="2"/>
  <c r="F16" i="2"/>
  <c r="F17" i="2"/>
  <c r="G17" i="2" s="1"/>
  <c r="J17" i="5" s="1"/>
  <c r="F18" i="2"/>
  <c r="F19" i="2"/>
  <c r="U10" i="5" l="1"/>
  <c r="W10" i="5"/>
  <c r="F4" i="8"/>
  <c r="F6" i="8"/>
  <c r="F3" i="8"/>
  <c r="F2" i="8"/>
  <c r="F5" i="8"/>
  <c r="F7" i="8"/>
  <c r="G18" i="2"/>
  <c r="J18" i="5" s="1"/>
  <c r="I18" i="5"/>
  <c r="Q18" i="5" s="1"/>
  <c r="U18" i="5" s="1"/>
  <c r="G10" i="2"/>
  <c r="J10" i="5" s="1"/>
  <c r="R10" i="5" s="1"/>
  <c r="G19" i="2"/>
  <c r="J19" i="5" s="1"/>
  <c r="I19" i="5"/>
  <c r="Q19" i="5" s="1"/>
  <c r="U19" i="5" s="1"/>
  <c r="G3" i="2"/>
  <c r="J3" i="5" s="1"/>
  <c r="I3" i="5"/>
  <c r="Q3" i="5" s="1"/>
  <c r="U3" i="5" s="1"/>
  <c r="G9" i="2"/>
  <c r="J9" i="5" s="1"/>
  <c r="I9" i="5"/>
  <c r="Q9" i="5" s="1"/>
  <c r="U9" i="5" s="1"/>
  <c r="I16" i="5"/>
  <c r="Q16" i="5" s="1"/>
  <c r="G16" i="2"/>
  <c r="J16" i="5" s="1"/>
  <c r="I8" i="5"/>
  <c r="Q8" i="5" s="1"/>
  <c r="U8" i="5" s="1"/>
  <c r="G8" i="2"/>
  <c r="J8" i="5" s="1"/>
  <c r="G15" i="2"/>
  <c r="J15" i="5" s="1"/>
  <c r="I15" i="5"/>
  <c r="Q15" i="5" s="1"/>
  <c r="U15" i="5" s="1"/>
  <c r="G7" i="2"/>
  <c r="J7" i="5" s="1"/>
  <c r="I7" i="5"/>
  <c r="Q7" i="5" s="1"/>
  <c r="I14" i="5"/>
  <c r="Q14" i="5" s="1"/>
  <c r="U14" i="5" s="1"/>
  <c r="G14" i="2"/>
  <c r="J14" i="5" s="1"/>
  <c r="G6" i="2"/>
  <c r="J6" i="5" s="1"/>
  <c r="I6" i="5"/>
  <c r="Q6" i="5" s="1"/>
  <c r="U6" i="5" s="1"/>
  <c r="G13" i="2"/>
  <c r="J13" i="5" s="1"/>
  <c r="I13" i="5"/>
  <c r="Q13" i="5" s="1"/>
  <c r="G5" i="2"/>
  <c r="J5" i="5" s="1"/>
  <c r="I5" i="5"/>
  <c r="Q5" i="5" s="1"/>
  <c r="I4" i="5"/>
  <c r="Q4" i="5" s="1"/>
  <c r="U4" i="5" s="1"/>
  <c r="G4" i="2"/>
  <c r="J4" i="5" s="1"/>
  <c r="R4" i="5" s="1"/>
  <c r="I17" i="5"/>
  <c r="Q17" i="5" s="1"/>
  <c r="U17" i="5" s="1"/>
  <c r="I12" i="5"/>
  <c r="Q12" i="5" s="1"/>
  <c r="U12" i="5" s="1"/>
  <c r="I11" i="5"/>
  <c r="Q11" i="5" s="1"/>
  <c r="F2" i="2"/>
  <c r="G2" i="2" s="1"/>
  <c r="J2" i="5" s="1"/>
  <c r="R14" i="5" l="1"/>
  <c r="R8" i="5"/>
  <c r="R16" i="5"/>
  <c r="W5" i="5"/>
  <c r="U5" i="5"/>
  <c r="W13" i="5"/>
  <c r="U13" i="5"/>
  <c r="W11" i="5"/>
  <c r="U11" i="5"/>
  <c r="W16" i="5"/>
  <c r="U16" i="5"/>
  <c r="W7" i="5"/>
  <c r="U7" i="5"/>
  <c r="R18" i="5"/>
  <c r="R17" i="5"/>
  <c r="R13" i="5"/>
  <c r="R12" i="5"/>
  <c r="R15" i="5"/>
  <c r="R6" i="5"/>
  <c r="R19" i="5"/>
  <c r="R5" i="5"/>
  <c r="R7" i="5"/>
  <c r="R9" i="5"/>
  <c r="R11" i="5"/>
  <c r="R3" i="5"/>
  <c r="W4" i="5"/>
  <c r="W15" i="5"/>
  <c r="B7" i="8"/>
  <c r="C7" i="8"/>
  <c r="B4" i="8"/>
  <c r="C4" i="8"/>
  <c r="W12" i="5"/>
  <c r="G5" i="8" s="1"/>
  <c r="W3" i="5"/>
  <c r="W6" i="5"/>
  <c r="B6" i="8"/>
  <c r="C6" i="8"/>
  <c r="W8" i="5"/>
  <c r="C3" i="8"/>
  <c r="B3" i="8"/>
  <c r="W9" i="5"/>
  <c r="W19" i="5"/>
  <c r="W18" i="5"/>
  <c r="W17" i="5"/>
  <c r="W14" i="5"/>
  <c r="C5" i="8"/>
  <c r="B5" i="8"/>
  <c r="I2" i="5"/>
  <c r="Q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H3" i="8" l="1"/>
  <c r="G3" i="8"/>
  <c r="R2" i="5"/>
  <c r="U2" i="5"/>
  <c r="H5" i="8"/>
  <c r="D3" i="8"/>
  <c r="G6" i="8"/>
  <c r="H6" i="8"/>
  <c r="G4" i="8"/>
  <c r="H4" i="8"/>
  <c r="G7" i="8"/>
  <c r="H7" i="8"/>
  <c r="E3" i="8"/>
  <c r="E7" i="8"/>
  <c r="D7" i="8"/>
  <c r="C2" i="8"/>
  <c r="B2" i="8"/>
  <c r="W2" i="5"/>
  <c r="G2" i="8" s="1"/>
  <c r="E6" i="8"/>
  <c r="D6" i="8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E2" i="8" l="1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<sst xmlns="http://schemas.openxmlformats.org/spreadsheetml/2006/main" count="361" uniqueCount="154">
  <si>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</si>
  <si>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</si>
  <si>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</si>
  <si>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</si>
  <si>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</si>
  <si>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</si>
  <si>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</si>
  <si>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</si>
  <si>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</si>
  <si>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</si>
  <si>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</si>
  <si>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</si>
  <si>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</si>
  <si>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</si>
  <si>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</si>
  <si>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</si>
  <si>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</si>
  <si>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</si>
  <si>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</si>
  <si>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</si>
  <si>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</si>
  <si>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</si>
  <si>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</si>
  <si>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</si>
  <si>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</si>
  <si>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</si>
  <si>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</si>
  <si>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</si>
  <si>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</si>
  <si>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</si>
  <si>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</si>
  <si>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</si>
  <si>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</si>
  <si>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</si>
  <si>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</si>
  <si>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</si>
  <si>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</si>
  <si>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</si>
  <si>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</si>
  <si>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</si>
  <si>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</si>
  <si>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</si>
  <si>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</si>
  <si>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</si>
  <si>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</si>
  <si>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</si>
  <si>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</si>
  <si>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</si>
  <si>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</si>
  <si>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</si>
  <si>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</si>
  <si>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</si>
  <si>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</si>
  <si>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</si>
  <si>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</si>
  <si>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</si>
  <si>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</si>
  <si>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</si>
  <si>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</si>
  <si>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</si>
  <si>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</si>
  <si>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</si>
  <si>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</si>
  <si>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</si>
  <si>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</si>
  <si>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</si>
  <si>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</si>
  <si>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</si>
  <si>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</si>
  <si>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</si>
  <si>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</si>
  <si>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</si>
  <si>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</si>
  <si>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</si>
  <si>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</si>
  <si>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</si>
  <si>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</si>
  <si>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</si>
  <si>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</si>
  <si>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</si>
  <si>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</si>
  <si>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</si>
  <si>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</si>
  <si>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</si>
  <si>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</si>
  <si>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</si>
  <si>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</si>
  <si>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</si>
  <si>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</si>
  <si>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</si>
  <si>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</si>
  <si>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</si>
  <si>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</si>
  <si>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</si>
  <si>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</si>
  <si>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</si>
  <si>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</si>
  <si>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</si>
  <si>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</si>
  <si>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</si>
  <si>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</si>
  <si>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</si>
  <si>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</si>
  <si>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</si>
  <si>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</si>
  <si>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</si>
  <si>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</si>
  <si>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</si>
  <si>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</si>
  <si>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</si>
  <si>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</si>
  <si>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</si>
  <si>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</si>
  <si>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</si>
  <si>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</si>
  <si>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</si>
  <si>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</si>
  <si>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</si>
  <si>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</si>
  <si>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</si>
  <si>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</si>
  <si>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</si>
  <si>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</si>
  <si>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</si>
  <si>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</si>
  <si>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</si>
  <si>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</si>
  <si>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</si>
  <si>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</si>
  <si>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</si>
  <si>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</si>
  <si>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</si>
  <si>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</si>
  <si>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</si>
  <si>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</si>
  <si>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</si>
  <si>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</si>
  <si>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</si>
  <si>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</si>
  <si>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</si>
  <si>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</si>
  <si>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</si>
  <si>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</si>
  <si>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</si>
  <si>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</si>
  <si>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</si>
  <si>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</si>
  <si>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</si>
  <si>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</si>
  <si>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</si>
  <si>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</si>
  <si>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</si>
  <si>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Comments</t>
  </si>
  <si>
    <t>Negative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</si>
</sst>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144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631.52245819489701</v>
      </c>
      <c r="C6">
        <v>0.53167165791808602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3" x14ac:dyDescent="0.25">
      <c r="A2" s="3" t="s">
        <v>54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37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38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39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40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41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42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55</v>
      </c>
      <c r="I10" s="5"/>
    </row>
    <row r="11" spans="1:23" x14ac:dyDescent="0.25">
      <c r="A11" t="s">
        <v>56</v>
      </c>
      <c r="B11" t="s">
        <v>57</v>
      </c>
      <c r="C11" s="2" t="s">
        <v>58</v>
      </c>
      <c r="K11" s="7" t="s">
        <v>55</v>
      </c>
    </row>
    <row r="12" spans="1:23" ht="15.75" thickBot="1" x14ac:dyDescent="0.3">
      <c r="K12" t="s">
        <v>59</v>
      </c>
      <c r="M12" t="s">
        <v>58</v>
      </c>
      <c r="V12" t="s">
        <v>56</v>
      </c>
    </row>
    <row r="13" spans="1:23" ht="15.75" thickBot="1" x14ac:dyDescent="0.3">
      <c r="A13" s="8" t="s">
        <v>60</v>
      </c>
      <c r="B13" s="8"/>
    </row>
    <row r="14" spans="1:23" x14ac:dyDescent="0.25">
      <c r="A14" s="9" t="s">
        <v>61</v>
      </c>
      <c r="B14" s="9">
        <v>0.99999857522978297</v>
      </c>
      <c r="K14" t="s">
        <v>56</v>
      </c>
      <c r="V14" s="10" t="s">
        <v>60</v>
      </c>
      <c r="W14" s="10"/>
    </row>
    <row r="15" spans="1:23" ht="15.75" thickBot="1" x14ac:dyDescent="0.3">
      <c r="A15" s="9" t="s">
        <v>62</v>
      </c>
      <c r="B15" s="9">
        <v>0.99999715046159587</v>
      </c>
      <c r="V15" s="11" t="s">
        <v>61</v>
      </c>
      <c r="W15" s="11">
        <v>0.99999829960800468</v>
      </c>
    </row>
    <row r="16" spans="1:23" x14ac:dyDescent="0.25">
      <c r="A16" s="9" t="s">
        <v>63</v>
      </c>
      <c r="B16" s="9">
        <v>0.99999643807699479</v>
      </c>
      <c r="K16" s="10" t="s">
        <v>60</v>
      </c>
      <c r="L16" s="10"/>
      <c r="M16" s="12"/>
      <c r="V16" s="11" t="s">
        <v>62</v>
      </c>
      <c r="W16" s="11">
        <v>0.99999659921890061</v>
      </c>
    </row>
    <row r="17" spans="1:30" x14ac:dyDescent="0.25">
      <c r="A17" s="9" t="s">
        <v>64</v>
      </c>
      <c r="B17" s="9">
        <v>0.2156959844518157</v>
      </c>
      <c r="K17" s="11" t="s">
        <v>61</v>
      </c>
      <c r="L17" s="11">
        <v>0.99999857522978297</v>
      </c>
      <c r="M17" s="11"/>
      <c r="V17" s="11" t="s">
        <v>63</v>
      </c>
      <c r="W17" s="11">
        <v>0.9999959190626807</v>
      </c>
    </row>
    <row r="18" spans="1:30" ht="15.75" customHeight="1" thickBot="1" x14ac:dyDescent="0.3">
      <c r="A18" s="13" t="s">
        <v>65</v>
      </c>
      <c r="B18" s="13">
        <v>6</v>
      </c>
      <c r="K18" s="11" t="s">
        <v>62</v>
      </c>
      <c r="L18" s="11">
        <v>0.99999715046159587</v>
      </c>
      <c r="M18" s="11"/>
      <c r="V18" s="11" t="s">
        <v>64</v>
      </c>
      <c r="W18" s="11">
        <v>0.21657792198407996</v>
      </c>
    </row>
    <row r="19" spans="1:30" ht="15.75" thickBot="1" x14ac:dyDescent="0.3">
      <c r="K19" s="11" t="s">
        <v>63</v>
      </c>
      <c r="L19" s="11">
        <v>0.99999643807699479</v>
      </c>
      <c r="M19" s="11"/>
      <c r="V19" s="14" t="s">
        <v>65</v>
      </c>
      <c r="W19" s="14">
        <v>7</v>
      </c>
    </row>
    <row r="20" spans="1:30" ht="15.75" customHeight="1" thickBot="1" x14ac:dyDescent="0.3">
      <c r="A20" t="s">
        <v>66</v>
      </c>
      <c r="K20" s="11" t="s">
        <v>64</v>
      </c>
      <c r="L20" s="11">
        <v>0.98521674441591967</v>
      </c>
      <c r="M20" t="s">
        <v>67</v>
      </c>
    </row>
    <row r="21" spans="1:30" ht="15.75" thickBot="1" x14ac:dyDescent="0.3">
      <c r="A21" s="15"/>
      <c r="B21" s="15" t="s">
        <v>68</v>
      </c>
      <c r="C21" s="15" t="s">
        <v>69</v>
      </c>
      <c r="D21" s="15" t="s">
        <v>70</v>
      </c>
      <c r="E21" s="15" t="s">
        <v>71</v>
      </c>
      <c r="F21" s="15" t="s">
        <v>72</v>
      </c>
      <c r="K21" s="14" t="s">
        <v>65</v>
      </c>
      <c r="L21" s="14">
        <v>6</v>
      </c>
      <c r="M21" s="11"/>
      <c r="V21" t="s">
        <v>66</v>
      </c>
    </row>
    <row r="22" spans="1:30" x14ac:dyDescent="0.25">
      <c r="A22" s="9" t="s">
        <v>73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68</v>
      </c>
      <c r="X22" s="16" t="s">
        <v>69</v>
      </c>
      <c r="Y22" s="16" t="s">
        <v>70</v>
      </c>
      <c r="Z22" s="16" t="s">
        <v>71</v>
      </c>
      <c r="AA22" s="16" t="s">
        <v>72</v>
      </c>
    </row>
    <row r="23" spans="1:30" ht="15.75" thickBot="1" x14ac:dyDescent="0.3">
      <c r="A23" s="9" t="s">
        <v>74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66</v>
      </c>
      <c r="V23" s="11" t="s">
        <v>73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75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68</v>
      </c>
      <c r="M24" s="16"/>
      <c r="N24" s="16" t="s">
        <v>69</v>
      </c>
      <c r="O24" s="16" t="s">
        <v>70</v>
      </c>
      <c r="P24" s="16" t="s">
        <v>71</v>
      </c>
      <c r="Q24" s="16" t="s">
        <v>72</v>
      </c>
      <c r="V24" s="11" t="s">
        <v>74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73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75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76</v>
      </c>
      <c r="C26" s="15" t="s">
        <v>64</v>
      </c>
      <c r="D26" s="15" t="s">
        <v>77</v>
      </c>
      <c r="E26" s="15" t="s">
        <v>78</v>
      </c>
      <c r="F26" s="15" t="s">
        <v>79</v>
      </c>
      <c r="G26" s="15" t="s">
        <v>80</v>
      </c>
      <c r="H26" s="15" t="s">
        <v>81</v>
      </c>
      <c r="I26" s="15" t="s">
        <v>82</v>
      </c>
      <c r="J26" s="17"/>
      <c r="K26" s="11" t="s">
        <v>74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83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75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76</v>
      </c>
      <c r="X27" s="16" t="s">
        <v>64</v>
      </c>
      <c r="Y27" s="16" t="s">
        <v>77</v>
      </c>
      <c r="Z27" s="16" t="s">
        <v>78</v>
      </c>
      <c r="AA27" s="16" t="s">
        <v>79</v>
      </c>
      <c r="AB27" s="16" t="s">
        <v>80</v>
      </c>
      <c r="AC27" s="16" t="s">
        <v>81</v>
      </c>
      <c r="AD27" s="16" t="s">
        <v>82</v>
      </c>
    </row>
    <row r="28" spans="1:30" ht="15.75" customHeight="1" thickBot="1" x14ac:dyDescent="0.3">
      <c r="A28" s="13" t="s">
        <v>84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83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76</v>
      </c>
      <c r="M29" s="16"/>
      <c r="N29" s="16" t="s">
        <v>64</v>
      </c>
      <c r="O29" s="16" t="s">
        <v>77</v>
      </c>
      <c r="P29" s="16" t="s">
        <v>78</v>
      </c>
      <c r="Q29" s="16" t="s">
        <v>79</v>
      </c>
      <c r="R29" s="16" t="s">
        <v>80</v>
      </c>
      <c r="S29" s="16" t="s">
        <v>81</v>
      </c>
      <c r="T29" s="16" t="s">
        <v>82</v>
      </c>
      <c r="V29" s="14" t="s">
        <v>84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83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84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85</v>
      </c>
    </row>
    <row r="33" spans="1:24" ht="15.75" thickBot="1" x14ac:dyDescent="0.3">
      <c r="V33" t="s">
        <v>85</v>
      </c>
    </row>
    <row r="34" spans="1:24" ht="15.75" thickBot="1" x14ac:dyDescent="0.3">
      <c r="A34" s="15" t="s">
        <v>86</v>
      </c>
      <c r="B34" s="15" t="s">
        <v>87</v>
      </c>
      <c r="C34" s="15" t="s">
        <v>88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85</v>
      </c>
      <c r="V35" s="16" t="s">
        <v>86</v>
      </c>
      <c r="W35" s="16" t="s">
        <v>87</v>
      </c>
      <c r="X35" s="16" t="s">
        <v>88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86</v>
      </c>
      <c r="L37" s="16" t="s">
        <v>87</v>
      </c>
      <c r="M37" s="16"/>
      <c r="N37" s="16" t="s">
        <v>88</v>
      </c>
      <c r="O37" s="19" t="s">
        <v>89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90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56</v>
      </c>
      <c r="B44" t="s">
        <v>91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60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61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62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63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64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65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66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68</v>
      </c>
      <c r="C54" s="16" t="s">
        <v>69</v>
      </c>
      <c r="D54" s="16" t="s">
        <v>70</v>
      </c>
      <c r="E54" s="16" t="s">
        <v>71</v>
      </c>
      <c r="F54" s="16" t="s">
        <v>72</v>
      </c>
      <c r="G54"/>
      <c r="H54"/>
      <c r="I54"/>
    </row>
    <row r="55" spans="1:10" x14ac:dyDescent="0.25">
      <c r="A55" s="11" t="s">
        <v>73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74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75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76</v>
      </c>
      <c r="C59" s="16" t="s">
        <v>64</v>
      </c>
      <c r="D59" s="16" t="s">
        <v>77</v>
      </c>
      <c r="E59" s="16" t="s">
        <v>78</v>
      </c>
      <c r="F59" s="16" t="s">
        <v>79</v>
      </c>
      <c r="G59" s="16" t="s">
        <v>80</v>
      </c>
      <c r="H59" s="16" t="s">
        <v>81</v>
      </c>
      <c r="I59" s="16" t="s">
        <v>82</v>
      </c>
      <c r="J59" s="17"/>
    </row>
    <row r="60" spans="1:10" x14ac:dyDescent="0.25">
      <c r="A60" s="11" t="s">
        <v>83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84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85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86</v>
      </c>
      <c r="B67" s="16" t="s">
        <v>87</v>
      </c>
      <c r="C67" s="16" t="s">
        <v>88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C14" sqref="C14:C17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42459.724305555559</v>
      </c>
      <c r="B2" t="s">
        <v>126</v>
      </c>
      <c r="C2">
        <v>75.400000000000006</v>
      </c>
      <c r="D2">
        <v>7.28</v>
      </c>
      <c r="E2">
        <v>0.11</v>
      </c>
      <c r="F2">
        <v>181.09</v>
      </c>
    </row>
    <row r="3" spans="1:6" x14ac:dyDescent="0.25">
      <c r="A3" s="24">
        <v>42460.505555555559</v>
      </c>
      <c r="B3" t="s">
        <v>126</v>
      </c>
      <c r="C3">
        <v>76</v>
      </c>
      <c r="D3">
        <v>7.25</v>
      </c>
      <c r="E3">
        <v>0.11</v>
      </c>
      <c r="F3">
        <v>181.09</v>
      </c>
    </row>
    <row r="4" spans="1:6" x14ac:dyDescent="0.25">
      <c r="A4" s="24">
        <v>42459.724305555559</v>
      </c>
      <c r="B4" t="s">
        <v>127</v>
      </c>
      <c r="C4">
        <v>91.1</v>
      </c>
      <c r="D4">
        <v>6.63</v>
      </c>
      <c r="E4">
        <v>25.26</v>
      </c>
      <c r="F4">
        <v>191.98</v>
      </c>
    </row>
    <row r="5" spans="1:6" x14ac:dyDescent="0.25">
      <c r="A5" s="24">
        <v>42460.505555555559</v>
      </c>
      <c r="B5" t="s">
        <v>127</v>
      </c>
      <c r="C5">
        <v>90.9</v>
      </c>
      <c r="D5">
        <v>6.63</v>
      </c>
      <c r="E5">
        <v>17.29</v>
      </c>
      <c r="F5">
        <v>191.93</v>
      </c>
    </row>
    <row r="6" spans="1:6" x14ac:dyDescent="0.25">
      <c r="A6" s="24">
        <v>42459.724305555559</v>
      </c>
      <c r="B6" t="s">
        <v>128</v>
      </c>
      <c r="C6">
        <v>64.599999999999994</v>
      </c>
      <c r="D6">
        <v>7.87</v>
      </c>
      <c r="E6">
        <v>0.14000000000000001</v>
      </c>
      <c r="F6">
        <v>202.6</v>
      </c>
    </row>
    <row r="7" spans="1:6" x14ac:dyDescent="0.25">
      <c r="A7" s="24">
        <v>42460.505555555559</v>
      </c>
      <c r="B7" t="s">
        <v>128</v>
      </c>
      <c r="C7">
        <v>67.099999999999994</v>
      </c>
      <c r="D7">
        <v>7.72</v>
      </c>
      <c r="E7">
        <v>0.13</v>
      </c>
      <c r="F7">
        <v>202.55</v>
      </c>
    </row>
    <row r="8" spans="1:6" x14ac:dyDescent="0.25">
      <c r="A8" s="24">
        <v>42459.724305555559</v>
      </c>
      <c r="B8" t="s">
        <v>135</v>
      </c>
      <c r="C8">
        <v>492.7</v>
      </c>
      <c r="D8">
        <v>2.85</v>
      </c>
      <c r="E8">
        <v>0.02</v>
      </c>
      <c r="F8">
        <v>277.13</v>
      </c>
    </row>
    <row r="9" spans="1:6" x14ac:dyDescent="0.25">
      <c r="A9" s="24">
        <v>42460.505555555559</v>
      </c>
      <c r="B9" t="s">
        <v>135</v>
      </c>
      <c r="C9">
        <v>484.9</v>
      </c>
      <c r="D9">
        <v>2.87</v>
      </c>
      <c r="E9">
        <v>0.02</v>
      </c>
      <c r="F9">
        <v>277.08</v>
      </c>
    </row>
    <row r="10" spans="1:6" x14ac:dyDescent="0.25">
      <c r="A10" s="24">
        <v>42459.724305555559</v>
      </c>
      <c r="B10" t="s">
        <v>136</v>
      </c>
      <c r="C10">
        <v>507.9</v>
      </c>
      <c r="D10">
        <v>2.81</v>
      </c>
      <c r="E10">
        <v>0.01</v>
      </c>
      <c r="F10">
        <v>287.76</v>
      </c>
    </row>
    <row r="11" spans="1:6" x14ac:dyDescent="0.25">
      <c r="A11" s="24">
        <v>42460.505555555559</v>
      </c>
      <c r="B11" t="s">
        <v>136</v>
      </c>
      <c r="C11">
        <v>513.4</v>
      </c>
      <c r="D11">
        <v>2.79</v>
      </c>
      <c r="E11">
        <v>0.02</v>
      </c>
      <c r="F11">
        <v>287.70999999999998</v>
      </c>
    </row>
    <row r="12" spans="1:6" x14ac:dyDescent="0.25">
      <c r="A12" s="24">
        <v>42459.724305555559</v>
      </c>
      <c r="B12" t="s">
        <v>137</v>
      </c>
      <c r="C12">
        <v>469.8</v>
      </c>
      <c r="D12">
        <v>2.92</v>
      </c>
      <c r="E12">
        <v>0.01</v>
      </c>
      <c r="F12">
        <v>298.39</v>
      </c>
    </row>
    <row r="13" spans="1:6" x14ac:dyDescent="0.25">
      <c r="A13" s="24">
        <v>42460.505555555559</v>
      </c>
      <c r="B13" t="s">
        <v>137</v>
      </c>
      <c r="C13">
        <v>454.5</v>
      </c>
      <c r="D13">
        <v>2.97</v>
      </c>
      <c r="E13">
        <v>0.02</v>
      </c>
      <c r="F13">
        <v>298.33999999999997</v>
      </c>
    </row>
    <row r="14" spans="1:6" x14ac:dyDescent="0.25">
      <c r="A14" s="24">
        <v>42459.724305555559</v>
      </c>
      <c r="B14" t="s">
        <v>129</v>
      </c>
      <c r="C14">
        <v>104.4</v>
      </c>
      <c r="D14">
        <v>6.19</v>
      </c>
      <c r="E14">
        <v>0.1</v>
      </c>
      <c r="F14">
        <v>213.24</v>
      </c>
    </row>
    <row r="15" spans="1:6" x14ac:dyDescent="0.25">
      <c r="A15" s="24">
        <v>42460.505555555559</v>
      </c>
      <c r="B15" t="s">
        <v>129</v>
      </c>
      <c r="C15">
        <v>100.6</v>
      </c>
      <c r="D15">
        <v>6.31</v>
      </c>
      <c r="E15">
        <v>0.09</v>
      </c>
      <c r="F15">
        <v>213.19</v>
      </c>
    </row>
    <row r="16" spans="1:6" x14ac:dyDescent="0.25">
      <c r="A16" s="24">
        <v>42459.724305555559</v>
      </c>
      <c r="B16" t="s">
        <v>130</v>
      </c>
      <c r="C16">
        <v>103.9</v>
      </c>
      <c r="D16">
        <v>6.2</v>
      </c>
      <c r="E16">
        <v>0.09</v>
      </c>
      <c r="F16">
        <v>223.87</v>
      </c>
    </row>
    <row r="17" spans="1:6" x14ac:dyDescent="0.25">
      <c r="A17" s="24">
        <v>42460.505555555559</v>
      </c>
      <c r="B17" t="s">
        <v>130</v>
      </c>
      <c r="C17">
        <v>102.5</v>
      </c>
      <c r="D17">
        <v>6.25</v>
      </c>
      <c r="E17">
        <v>0.1</v>
      </c>
      <c r="F17">
        <v>223.81</v>
      </c>
    </row>
    <row r="18" spans="1:6" x14ac:dyDescent="0.25">
      <c r="A18" s="24">
        <v>42459.724305555559</v>
      </c>
      <c r="B18" t="s">
        <v>131</v>
      </c>
      <c r="C18">
        <v>109.7</v>
      </c>
      <c r="D18">
        <v>6.04</v>
      </c>
      <c r="E18">
        <v>7.0000000000000007E-2</v>
      </c>
      <c r="F18">
        <v>234.51</v>
      </c>
    </row>
    <row r="19" spans="1:6" x14ac:dyDescent="0.25">
      <c r="A19" s="24">
        <v>42460.505555555559</v>
      </c>
      <c r="B19" t="s">
        <v>131</v>
      </c>
      <c r="C19">
        <v>102.7</v>
      </c>
      <c r="D19">
        <v>6.24</v>
      </c>
      <c r="E19">
        <v>0.09</v>
      </c>
      <c r="F19">
        <v>234.44</v>
      </c>
    </row>
    <row r="20" spans="1:6" x14ac:dyDescent="0.25">
      <c r="A20" s="24">
        <v>42459.724305555559</v>
      </c>
      <c r="B20" t="s">
        <v>138</v>
      </c>
      <c r="C20">
        <v>1112.8</v>
      </c>
      <c r="D20">
        <v>1.9</v>
      </c>
      <c r="E20">
        <v>0.01</v>
      </c>
      <c r="F20">
        <v>309.02</v>
      </c>
    </row>
    <row r="21" spans="1:6" x14ac:dyDescent="0.25">
      <c r="A21" s="24">
        <v>42460.505555555559</v>
      </c>
      <c r="B21" t="s">
        <v>138</v>
      </c>
      <c r="C21">
        <v>1124.3</v>
      </c>
      <c r="D21">
        <v>1.89</v>
      </c>
      <c r="E21">
        <v>0.01</v>
      </c>
      <c r="F21">
        <v>308.95999999999998</v>
      </c>
    </row>
    <row r="22" spans="1:6" x14ac:dyDescent="0.25">
      <c r="A22" s="24">
        <v>42459.724305555559</v>
      </c>
      <c r="B22" t="s">
        <v>139</v>
      </c>
      <c r="C22">
        <v>1090.9000000000001</v>
      </c>
      <c r="D22">
        <v>1.91</v>
      </c>
      <c r="E22">
        <v>0.01</v>
      </c>
      <c r="F22">
        <v>319.66000000000003</v>
      </c>
    </row>
    <row r="23" spans="1:6" x14ac:dyDescent="0.25">
      <c r="A23" s="24">
        <v>42460.505555555559</v>
      </c>
      <c r="B23" t="s">
        <v>139</v>
      </c>
      <c r="C23">
        <v>1063.9000000000001</v>
      </c>
      <c r="D23">
        <v>1.94</v>
      </c>
      <c r="E23">
        <v>0.01</v>
      </c>
      <c r="F23">
        <v>319.61</v>
      </c>
    </row>
    <row r="24" spans="1:6" x14ac:dyDescent="0.25">
      <c r="A24" s="24">
        <v>42459.724305555559</v>
      </c>
      <c r="B24" t="s">
        <v>140</v>
      </c>
      <c r="C24">
        <v>1203.8</v>
      </c>
      <c r="D24">
        <v>1.82</v>
      </c>
      <c r="E24">
        <v>0.01</v>
      </c>
      <c r="F24">
        <v>330.29</v>
      </c>
    </row>
    <row r="25" spans="1:6" x14ac:dyDescent="0.25">
      <c r="A25" s="24">
        <v>42460.505555555559</v>
      </c>
      <c r="B25" t="s">
        <v>140</v>
      </c>
      <c r="C25">
        <v>1192</v>
      </c>
      <c r="D25">
        <v>1.83</v>
      </c>
      <c r="E25">
        <v>0.01</v>
      </c>
      <c r="F25">
        <v>330.22</v>
      </c>
    </row>
    <row r="26" spans="1:6" x14ac:dyDescent="0.25">
      <c r="A26" s="24">
        <v>42459.724305555559</v>
      </c>
      <c r="B26" t="s">
        <v>141</v>
      </c>
      <c r="C26">
        <v>2420.1</v>
      </c>
      <c r="D26">
        <v>1.29</v>
      </c>
      <c r="E26">
        <v>0</v>
      </c>
      <c r="F26">
        <v>340.93</v>
      </c>
    </row>
    <row r="27" spans="1:6" x14ac:dyDescent="0.25">
      <c r="A27" s="24">
        <v>42460.505555555559</v>
      </c>
      <c r="B27" t="s">
        <v>141</v>
      </c>
      <c r="C27">
        <v>2368.9</v>
      </c>
      <c r="D27">
        <v>1.3</v>
      </c>
      <c r="E27">
        <v>0</v>
      </c>
      <c r="F27">
        <v>340.86</v>
      </c>
    </row>
    <row r="28" spans="1:6" x14ac:dyDescent="0.25">
      <c r="A28" s="24">
        <v>42459.724305555559</v>
      </c>
      <c r="B28" t="s">
        <v>142</v>
      </c>
      <c r="C28">
        <v>2166.8000000000002</v>
      </c>
      <c r="D28">
        <v>1.36</v>
      </c>
      <c r="E28">
        <v>0</v>
      </c>
      <c r="F28">
        <v>351.55</v>
      </c>
    </row>
    <row r="29" spans="1:6" x14ac:dyDescent="0.25">
      <c r="A29" s="24">
        <v>42460.505555555559</v>
      </c>
      <c r="B29" t="s">
        <v>142</v>
      </c>
      <c r="C29">
        <v>2170</v>
      </c>
      <c r="D29">
        <v>1.36</v>
      </c>
      <c r="E29">
        <v>0</v>
      </c>
      <c r="F29">
        <v>351.5</v>
      </c>
    </row>
    <row r="30" spans="1:6" x14ac:dyDescent="0.25">
      <c r="A30" s="24">
        <v>42459.724305555559</v>
      </c>
      <c r="B30" t="s">
        <v>143</v>
      </c>
      <c r="C30">
        <v>2342.6</v>
      </c>
      <c r="D30">
        <v>1.31</v>
      </c>
      <c r="E30">
        <v>0</v>
      </c>
      <c r="F30">
        <v>362.2</v>
      </c>
    </row>
    <row r="31" spans="1:6" x14ac:dyDescent="0.25">
      <c r="A31" s="24">
        <v>42460.505555555559</v>
      </c>
      <c r="B31" t="s">
        <v>143</v>
      </c>
      <c r="C31">
        <v>2336.8000000000002</v>
      </c>
      <c r="D31">
        <v>1.31</v>
      </c>
      <c r="E31">
        <v>0</v>
      </c>
      <c r="F31">
        <v>362.15</v>
      </c>
    </row>
    <row r="32" spans="1:6" x14ac:dyDescent="0.25">
      <c r="A32" s="24">
        <v>42459.724305555559</v>
      </c>
      <c r="B32" t="s">
        <v>132</v>
      </c>
      <c r="C32">
        <v>265.8</v>
      </c>
      <c r="D32">
        <v>3.88</v>
      </c>
      <c r="E32">
        <v>0.04</v>
      </c>
      <c r="F32">
        <v>245.14</v>
      </c>
    </row>
    <row r="33" spans="1:6" x14ac:dyDescent="0.25">
      <c r="A33" s="24">
        <v>42460.505555555559</v>
      </c>
      <c r="B33" t="s">
        <v>132</v>
      </c>
      <c r="C33">
        <v>265</v>
      </c>
      <c r="D33">
        <v>3.89</v>
      </c>
      <c r="E33">
        <v>0.04</v>
      </c>
      <c r="F33">
        <v>245.08</v>
      </c>
    </row>
    <row r="34" spans="1:6" x14ac:dyDescent="0.25">
      <c r="A34" s="24">
        <v>42459.724305555559</v>
      </c>
      <c r="B34" t="s">
        <v>133</v>
      </c>
      <c r="C34">
        <v>230.2</v>
      </c>
      <c r="D34">
        <v>4.17</v>
      </c>
      <c r="E34">
        <v>0.04</v>
      </c>
      <c r="F34">
        <v>255.77</v>
      </c>
    </row>
    <row r="35" spans="1:6" x14ac:dyDescent="0.25">
      <c r="A35" s="24">
        <v>42460.505555555559</v>
      </c>
      <c r="B35" t="s">
        <v>133</v>
      </c>
      <c r="C35">
        <v>241.3</v>
      </c>
      <c r="D35">
        <v>4.07</v>
      </c>
      <c r="E35">
        <v>0.03</v>
      </c>
      <c r="F35">
        <v>255.7</v>
      </c>
    </row>
    <row r="36" spans="1:6" x14ac:dyDescent="0.25">
      <c r="A36" s="24">
        <v>42459.724305555559</v>
      </c>
      <c r="B36" t="s">
        <v>134</v>
      </c>
      <c r="C36">
        <v>273.5</v>
      </c>
      <c r="D36">
        <v>3.82</v>
      </c>
      <c r="E36">
        <v>0.02</v>
      </c>
      <c r="F36">
        <v>266.5</v>
      </c>
    </row>
    <row r="37" spans="1:6" x14ac:dyDescent="0.25">
      <c r="A37" s="24">
        <v>42460.505555555559</v>
      </c>
      <c r="B37" t="s">
        <v>134</v>
      </c>
      <c r="C37">
        <v>274.5</v>
      </c>
      <c r="D37">
        <v>3.82</v>
      </c>
      <c r="E37">
        <v>0.03</v>
      </c>
      <c r="F37">
        <v>266.44</v>
      </c>
    </row>
  </sheetData>
  <autoFilter ref="A1:F37">
    <sortState ref="A2:F37">
      <sortCondition ref="B1:B3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9" sqref="C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123</v>
      </c>
      <c r="C1" t="s">
        <v>24</v>
      </c>
      <c r="D1" t="s">
        <v>21</v>
      </c>
      <c r="E1" t="s">
        <v>120</v>
      </c>
      <c r="F1" t="s">
        <v>121</v>
      </c>
      <c r="G1" t="s">
        <v>122</v>
      </c>
    </row>
    <row r="2" spans="1:7" x14ac:dyDescent="0.25">
      <c r="A2" t="s">
        <v>126</v>
      </c>
      <c r="B2" s="21" t="s">
        <v>124</v>
      </c>
      <c r="C2">
        <v>1.26166666666667</v>
      </c>
      <c r="D2">
        <v>9.1660083333333295E-2</v>
      </c>
      <c r="E2" s="1" t="s">
        <v>55</v>
      </c>
      <c r="F2" s="1">
        <f>'Calibration Data'!$B$28*'Count-&gt;Actual Activity'!C2+'Calibration Data'!$B$27</f>
        <v>0.26769035241267275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0.23297862499030431</v>
      </c>
    </row>
    <row r="3" spans="1:7" x14ac:dyDescent="0.25">
      <c r="A3" t="s">
        <v>127</v>
      </c>
      <c r="B3" s="21" t="s">
        <v>124</v>
      </c>
      <c r="C3">
        <v>1.5166666666666699</v>
      </c>
      <c r="D3">
        <v>0.10055500000000001</v>
      </c>
      <c r="E3" s="1" t="s">
        <v>55</v>
      </c>
      <c r="F3" s="1">
        <f>'Calibration Data'!$B$28*'Count-&gt;Actual Activity'!C3+'Calibration Data'!$B$27</f>
        <v>0.32351806543223727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0.23297862664582061</v>
      </c>
    </row>
    <row r="4" spans="1:7" x14ac:dyDescent="0.25">
      <c r="A4" t="s">
        <v>128</v>
      </c>
      <c r="B4" s="21" t="s">
        <v>124</v>
      </c>
      <c r="C4">
        <v>1.0974999999999999</v>
      </c>
      <c r="D4">
        <v>8.5550125000000005E-2</v>
      </c>
      <c r="E4" s="1" t="s">
        <v>55</v>
      </c>
      <c r="F4" s="1">
        <f>'Calibration Data'!$B$28*'Count-&gt;Actual Activity'!C4+'Calibration Data'!$B$27</f>
        <v>0.23174898161249483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0.23297862416620135</v>
      </c>
    </row>
    <row r="5" spans="1:7" x14ac:dyDescent="0.25">
      <c r="A5" t="s">
        <v>129</v>
      </c>
      <c r="B5" s="21" t="s">
        <v>124</v>
      </c>
      <c r="C5">
        <v>1.7083333333333299</v>
      </c>
      <c r="D5">
        <v>0.106770833333333</v>
      </c>
      <c r="E5" s="1" t="s">
        <v>55</v>
      </c>
      <c r="F5" s="1">
        <f>'Calibration Data'!$B$28*'Count-&gt;Actual Activity'!C5+'Calibration Data'!$B$27</f>
        <v>0.3654800719502091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0.23297862819086804</v>
      </c>
    </row>
    <row r="6" spans="1:7" x14ac:dyDescent="0.25">
      <c r="A6" t="s">
        <v>130</v>
      </c>
      <c r="B6" s="21" t="s">
        <v>124</v>
      </c>
      <c r="C6">
        <v>1.72</v>
      </c>
      <c r="D6">
        <v>0.10707</v>
      </c>
      <c r="E6" s="1" t="s">
        <v>55</v>
      </c>
      <c r="F6" s="1">
        <f>'Calibration Data'!$B$28*'Count-&gt;Actual Activity'!C6+'Calibration Data'!$B$27</f>
        <v>0.36803428104260821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0.23297862829324678</v>
      </c>
    </row>
    <row r="7" spans="1:7" x14ac:dyDescent="0.25">
      <c r="A7" t="s">
        <v>131</v>
      </c>
      <c r="B7" s="21" t="s">
        <v>124</v>
      </c>
      <c r="C7">
        <v>1.77</v>
      </c>
      <c r="D7">
        <v>0.108678</v>
      </c>
      <c r="E7" s="1" t="s">
        <v>55</v>
      </c>
      <c r="F7" s="1">
        <f>'Calibration Data'!$B$28*'Count-&gt;Actual Activity'!C7+'Calibration Data'!$B$27</f>
        <v>0.37898089143860131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0.23297862874284264</v>
      </c>
    </row>
    <row r="8" spans="1:7" ht="15.75" customHeight="1" x14ac:dyDescent="0.25">
      <c r="A8" t="s">
        <v>132</v>
      </c>
      <c r="B8" s="21" t="s">
        <v>124</v>
      </c>
      <c r="C8">
        <v>4.4233333333333302</v>
      </c>
      <c r="D8">
        <v>0.17184650000000001</v>
      </c>
      <c r="E8" s="1" t="s">
        <v>55</v>
      </c>
      <c r="F8" s="1">
        <f>'Calibration Data'!$B$28*'Count-&gt;Actual Activity'!C8+'Calibration Data'!$B$27</f>
        <v>0.95988101645263146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0.2329786777956869</v>
      </c>
    </row>
    <row r="9" spans="1:7" x14ac:dyDescent="0.25">
      <c r="A9" t="s">
        <v>133</v>
      </c>
      <c r="B9" s="21" t="s">
        <v>124</v>
      </c>
      <c r="C9">
        <v>3.9291666666666698</v>
      </c>
      <c r="D9">
        <v>0.16188166666666701</v>
      </c>
      <c r="E9" s="1" t="s">
        <v>55</v>
      </c>
      <c r="F9" s="1">
        <f>'Calibration Data'!$B$28*'Count-&gt;Actual Activity'!C9+'Calibration Data'!$B$27</f>
        <v>0.85169201703890152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0.23297866491215605</v>
      </c>
    </row>
    <row r="10" spans="1:7" x14ac:dyDescent="0.25">
      <c r="A10" t="s">
        <v>134</v>
      </c>
      <c r="B10" s="21" t="s">
        <v>124</v>
      </c>
      <c r="C10">
        <v>4.56666666666667</v>
      </c>
      <c r="D10">
        <v>0.174446666666667</v>
      </c>
      <c r="E10" s="1" t="s">
        <v>55</v>
      </c>
      <c r="F10" s="1">
        <f>'Calibration Data'!$B$28*'Count-&gt;Actual Activity'!C10+'Calibration Data'!$B$27</f>
        <v>0.99126129958781295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0.23297868185351306</v>
      </c>
    </row>
    <row r="11" spans="1:7" x14ac:dyDescent="0.25">
      <c r="A11" t="s">
        <v>135</v>
      </c>
      <c r="B11" s="21" t="s">
        <v>124</v>
      </c>
      <c r="C11">
        <v>8.1466666666666701</v>
      </c>
      <c r="D11">
        <v>0.23299466666666699</v>
      </c>
      <c r="E11" s="1" t="s">
        <v>55</v>
      </c>
      <c r="F11" s="1">
        <f>'Calibration Data'!$B$28*'Count-&gt;Actual Activity'!C11+'Calibration Data'!$B$27</f>
        <v>1.7750386039409149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0.23297883002412664</v>
      </c>
    </row>
    <row r="12" spans="1:7" x14ac:dyDescent="0.25">
      <c r="A12" t="s">
        <v>136</v>
      </c>
      <c r="B12" s="21" t="s">
        <v>124</v>
      </c>
      <c r="C12">
        <v>8.5108333333333306</v>
      </c>
      <c r="D12">
        <v>0.23830333333333301</v>
      </c>
      <c r="E12" s="1" t="s">
        <v>55</v>
      </c>
      <c r="F12" s="1">
        <f>'Calibration Data'!$B$28*'Count-&gt;Actual Activity'!C12+'Calibration Data'!$B$27</f>
        <v>1.8547664163250628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0.23297885014146549</v>
      </c>
    </row>
    <row r="13" spans="1:7" x14ac:dyDescent="0.25">
      <c r="A13" t="s">
        <v>137</v>
      </c>
      <c r="B13" s="21" t="s">
        <v>124</v>
      </c>
      <c r="C13">
        <v>7.7024999999999997</v>
      </c>
      <c r="D13">
        <v>0.22683862499999999</v>
      </c>
      <c r="E13" s="1" t="s">
        <v>55</v>
      </c>
      <c r="F13" s="1">
        <f>'Calibration Data'!$B$28*'Count-&gt;Actual Activity'!C13+'Calibration Data'!$B$27</f>
        <v>1.6777962149231758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0.23297880674850818</v>
      </c>
    </row>
    <row r="14" spans="1:7" x14ac:dyDescent="0.25">
      <c r="A14" t="s">
        <v>138</v>
      </c>
      <c r="B14" s="21" t="s">
        <v>124</v>
      </c>
      <c r="C14">
        <v>18.642499999999998</v>
      </c>
      <c r="D14">
        <v>0.353275375</v>
      </c>
      <c r="E14" s="1" t="s">
        <v>55</v>
      </c>
      <c r="F14" s="1">
        <f>'Calibration Data'!$B$28*'Count-&gt;Actual Activity'!C14+'Calibration Data'!$B$27</f>
        <v>4.0729145695664535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0.23297978334944427</v>
      </c>
    </row>
    <row r="15" spans="1:7" x14ac:dyDescent="0.25">
      <c r="A15" t="s">
        <v>139</v>
      </c>
      <c r="B15" s="21" t="s">
        <v>124</v>
      </c>
      <c r="C15">
        <v>17.956666666666699</v>
      </c>
      <c r="D15">
        <v>0.34566583333333301</v>
      </c>
      <c r="E15" s="1" t="s">
        <v>55</v>
      </c>
      <c r="F15" s="1">
        <f>'Calibration Data'!$B$28*'Count-&gt;Actual Activity'!C15+'Calibration Data'!$B$27</f>
        <v>3.9227635636347564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0.23297969742427896</v>
      </c>
    </row>
    <row r="16" spans="1:7" x14ac:dyDescent="0.25">
      <c r="A16" t="s">
        <v>140</v>
      </c>
      <c r="B16" s="21" t="s">
        <v>124</v>
      </c>
      <c r="C16">
        <v>19.965</v>
      </c>
      <c r="D16">
        <v>0.36436125000000003</v>
      </c>
      <c r="E16" s="1" t="s">
        <v>55</v>
      </c>
      <c r="F16" s="1">
        <f>'Calibration Data'!$B$28*'Count-&gt;Actual Activity'!C16+'Calibration Data'!$B$27</f>
        <v>4.3624524145404697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0.23297995836890215</v>
      </c>
    </row>
    <row r="17" spans="1:7" x14ac:dyDescent="0.25">
      <c r="A17" t="s">
        <v>141</v>
      </c>
      <c r="B17" s="21" t="s">
        <v>124</v>
      </c>
      <c r="C17">
        <v>39.908333333333303</v>
      </c>
      <c r="D17">
        <v>0.51681291666666695</v>
      </c>
      <c r="E17" s="1" t="s">
        <v>55</v>
      </c>
      <c r="F17" s="1">
        <f>'Calibration Data'!$B$28*'Count-&gt;Actual Activity'!C17+'Calibration Data'!$B$27</f>
        <v>8.7286904144888879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0.23298408729362602</v>
      </c>
    </row>
    <row r="18" spans="1:7" x14ac:dyDescent="0.25">
      <c r="A18" t="s">
        <v>142</v>
      </c>
      <c r="B18" s="21" t="s">
        <v>124</v>
      </c>
      <c r="C18">
        <v>36.14</v>
      </c>
      <c r="D18">
        <v>0.491504</v>
      </c>
      <c r="E18" s="1" t="s">
        <v>55</v>
      </c>
      <c r="F18" s="1">
        <f>'Calibration Data'!$B$28*'Count-&gt;Actual Activity'!C18+'Calibration Data'!$B$27</f>
        <v>7.90368087764422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0.23298309304077738</v>
      </c>
    </row>
    <row r="19" spans="1:7" x14ac:dyDescent="0.25">
      <c r="A19" t="s">
        <v>143</v>
      </c>
      <c r="B19" s="21" t="s">
        <v>124</v>
      </c>
      <c r="C19">
        <v>38.994999999999997</v>
      </c>
      <c r="D19">
        <v>0.51083449999999997</v>
      </c>
      <c r="E19" s="1" t="s">
        <v>55</v>
      </c>
      <c r="F19" s="1">
        <f>'Calibration Data'!$B$28*'Count-&gt;Actual Activity'!C19+'Calibration Data'!$B$27</f>
        <v>8.5287323312554211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0.23298383715756785</v>
      </c>
    </row>
    <row r="20" spans="1:7" x14ac:dyDescent="0.25">
      <c r="A20" s="21" t="s">
        <v>102</v>
      </c>
      <c r="B20" s="22" t="s">
        <v>125</v>
      </c>
    </row>
    <row r="21" spans="1:7" x14ac:dyDescent="0.25">
      <c r="A21" s="21" t="s">
        <v>103</v>
      </c>
      <c r="B21" s="22" t="s">
        <v>125</v>
      </c>
    </row>
    <row r="22" spans="1:7" x14ac:dyDescent="0.25">
      <c r="A22" s="21" t="s">
        <v>104</v>
      </c>
      <c r="B22" s="22" t="s">
        <v>125</v>
      </c>
    </row>
    <row r="23" spans="1:7" x14ac:dyDescent="0.25">
      <c r="A23" s="21" t="s">
        <v>105</v>
      </c>
      <c r="B23" s="22" t="s">
        <v>125</v>
      </c>
    </row>
    <row r="24" spans="1:7" x14ac:dyDescent="0.25">
      <c r="A24" s="21" t="s">
        <v>106</v>
      </c>
      <c r="B24" s="22" t="s">
        <v>125</v>
      </c>
    </row>
    <row r="25" spans="1:7" x14ac:dyDescent="0.25">
      <c r="A25" s="21" t="s">
        <v>107</v>
      </c>
      <c r="B25" s="22" t="s">
        <v>125</v>
      </c>
    </row>
    <row r="26" spans="1:7" x14ac:dyDescent="0.25">
      <c r="A26" s="21" t="s">
        <v>108</v>
      </c>
      <c r="B26" s="22" t="s">
        <v>125</v>
      </c>
    </row>
    <row r="27" spans="1:7" x14ac:dyDescent="0.25">
      <c r="A27" s="21" t="s">
        <v>109</v>
      </c>
      <c r="B27" s="22" t="s">
        <v>125</v>
      </c>
    </row>
    <row r="28" spans="1:7" x14ac:dyDescent="0.25">
      <c r="A28" s="21" t="s">
        <v>110</v>
      </c>
      <c r="B28" s="22" t="s">
        <v>125</v>
      </c>
    </row>
    <row r="29" spans="1:7" x14ac:dyDescent="0.25">
      <c r="A29" s="21" t="s">
        <v>111</v>
      </c>
      <c r="B29" s="22" t="s">
        <v>125</v>
      </c>
    </row>
    <row r="30" spans="1:7" x14ac:dyDescent="0.25">
      <c r="A30" s="21" t="s">
        <v>112</v>
      </c>
      <c r="B30" s="22" t="s">
        <v>125</v>
      </c>
    </row>
    <row r="31" spans="1:7" x14ac:dyDescent="0.25">
      <c r="A31" s="21" t="s">
        <v>113</v>
      </c>
      <c r="B31" s="22" t="s">
        <v>125</v>
      </c>
    </row>
    <row r="32" spans="1:7" x14ac:dyDescent="0.25">
      <c r="A32" s="21" t="s">
        <v>114</v>
      </c>
      <c r="B32" s="22" t="s">
        <v>125</v>
      </c>
    </row>
    <row r="33" spans="1:2" x14ac:dyDescent="0.25">
      <c r="A33" s="21" t="s">
        <v>115</v>
      </c>
      <c r="B33" s="22" t="s">
        <v>125</v>
      </c>
    </row>
    <row r="34" spans="1:2" x14ac:dyDescent="0.25">
      <c r="A34" s="21" t="s">
        <v>116</v>
      </c>
      <c r="B34" s="22" t="s">
        <v>125</v>
      </c>
    </row>
    <row r="35" spans="1:2" x14ac:dyDescent="0.25">
      <c r="A35" s="21" t="s">
        <v>117</v>
      </c>
      <c r="B35" s="22" t="s">
        <v>125</v>
      </c>
    </row>
    <row r="36" spans="1:2" x14ac:dyDescent="0.25">
      <c r="A36" s="21" t="s">
        <v>118</v>
      </c>
      <c r="B36" s="22" t="s">
        <v>125</v>
      </c>
    </row>
    <row r="37" spans="1:2" x14ac:dyDescent="0.25">
      <c r="A37" s="21" t="s">
        <v>119</v>
      </c>
      <c r="B37" s="22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4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96</v>
      </c>
      <c r="H1" t="s">
        <v>97</v>
      </c>
      <c r="I1" t="s">
        <v>92</v>
      </c>
      <c r="J1" t="s">
        <v>93</v>
      </c>
      <c r="K1" t="s">
        <v>98</v>
      </c>
      <c r="L1" t="s">
        <v>99</v>
      </c>
      <c r="M1" t="s">
        <v>94</v>
      </c>
      <c r="N1" t="s">
        <v>95</v>
      </c>
      <c r="O1" t="s">
        <v>100</v>
      </c>
      <c r="P1" t="s">
        <v>101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148</v>
      </c>
      <c r="X1" t="s">
        <v>152</v>
      </c>
    </row>
    <row r="2" spans="1:24" x14ac:dyDescent="0.25">
      <c r="A2" t="s">
        <v>126</v>
      </c>
      <c r="B2">
        <v>0</v>
      </c>
      <c r="C2">
        <v>0</v>
      </c>
      <c r="D2" s="1">
        <v>3</v>
      </c>
      <c r="E2" s="1">
        <v>0.03</v>
      </c>
      <c r="F2" s="1">
        <v>1E-3</v>
      </c>
      <c r="G2" s="1">
        <v>100</v>
      </c>
      <c r="H2" s="1">
        <v>5</v>
      </c>
      <c r="I2" s="1">
        <f>'Count-&gt;Actual Activity'!F2</f>
        <v>0.26769035241267275</v>
      </c>
      <c r="J2" s="1">
        <f>'Count-&gt;Actual Activity'!G2</f>
        <v>0.23297862499030431</v>
      </c>
      <c r="K2" s="1">
        <v>5</v>
      </c>
      <c r="L2" s="1">
        <v>0.01</v>
      </c>
      <c r="M2" s="1"/>
      <c r="N2" s="1"/>
      <c r="O2" s="1"/>
      <c r="P2" s="1"/>
      <c r="Q2">
        <f>I2/K2</f>
        <v>5.3538070482534547E-2</v>
      </c>
      <c r="R2">
        <f>SQRT((L2/K2)^2+(J2/I2)^2)*Q2</f>
        <v>4.6595848027424905E-2</v>
      </c>
      <c r="S2">
        <f>B2*Parameters!$B$6</f>
        <v>0</v>
      </c>
      <c r="T2" t="e">
        <f>SQRT((C2/B2)^2+(Parameters!$C$6/Parameters!$B$6)^2)*'Bottle Results'!S2</f>
        <v>#DIV/0!</v>
      </c>
      <c r="U2">
        <f>(S2-Q2*G2)/E2</f>
        <v>-178.46023494178181</v>
      </c>
      <c r="W2" t="e">
        <f t="shared" ref="W2:W19" si="0">(S2-Q2*G2)/S2</f>
        <v>#DIV/0!</v>
      </c>
    </row>
    <row r="3" spans="1:24" x14ac:dyDescent="0.25">
      <c r="A3" t="s">
        <v>127</v>
      </c>
      <c r="B3">
        <v>0</v>
      </c>
      <c r="C3">
        <v>0</v>
      </c>
      <c r="D3" s="1">
        <v>3</v>
      </c>
      <c r="E3" s="1">
        <v>3.09E-2</v>
      </c>
      <c r="F3" s="1">
        <v>1E-4</v>
      </c>
      <c r="G3" s="1">
        <v>100</v>
      </c>
      <c r="H3" s="1">
        <v>5</v>
      </c>
      <c r="I3" s="1">
        <f>'Count-&gt;Actual Activity'!F3</f>
        <v>0.32351806543223727</v>
      </c>
      <c r="J3" s="1">
        <f>'Count-&gt;Actual Activity'!G3</f>
        <v>0.23297862664582061</v>
      </c>
      <c r="K3" s="1">
        <v>5</v>
      </c>
      <c r="L3" s="1">
        <v>0.01</v>
      </c>
      <c r="M3" s="1"/>
      <c r="N3" s="1"/>
      <c r="O3" s="1"/>
      <c r="P3" s="1"/>
      <c r="Q3">
        <f t="shared" ref="Q3:Q19" si="1">I3/K3</f>
        <v>6.4703613086447453E-2</v>
      </c>
      <c r="R3">
        <f t="shared" ref="R3:R19" si="2">SQRT((L3/K3)^2+(J3/I3)^2)*Q3</f>
        <v>4.6595905025882838E-2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ref="U3:U19" si="3">(S3-Q3*G3)/E3</f>
        <v>-209.39680610500795</v>
      </c>
      <c r="W3" t="e">
        <f t="shared" si="0"/>
        <v>#DIV/0!</v>
      </c>
    </row>
    <row r="4" spans="1:24" x14ac:dyDescent="0.25">
      <c r="A4" t="s">
        <v>128</v>
      </c>
      <c r="B4">
        <v>0</v>
      </c>
      <c r="C4">
        <v>0</v>
      </c>
      <c r="D4" s="1">
        <v>3</v>
      </c>
      <c r="E4" s="1">
        <v>2.9700000000000001E-2</v>
      </c>
      <c r="F4" s="1">
        <v>1E-4</v>
      </c>
      <c r="G4" s="1">
        <v>100</v>
      </c>
      <c r="H4" s="1">
        <v>5</v>
      </c>
      <c r="I4" s="1">
        <f>'Count-&gt;Actual Activity'!F4</f>
        <v>0.23174898161249483</v>
      </c>
      <c r="J4" s="1">
        <f>'Count-&gt;Actual Activity'!G4</f>
        <v>0.23297862416620135</v>
      </c>
      <c r="K4" s="1">
        <v>5</v>
      </c>
      <c r="L4" s="1">
        <v>0.01</v>
      </c>
      <c r="M4" s="1"/>
      <c r="N4" s="1"/>
      <c r="O4" s="1"/>
      <c r="P4" s="1"/>
      <c r="Q4">
        <f t="shared" si="1"/>
        <v>4.6349796322498964E-2</v>
      </c>
      <c r="R4">
        <f t="shared" si="2"/>
        <v>4.659581704348064E-2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3"/>
        <v>-156.0599202777743</v>
      </c>
      <c r="W4" t="e">
        <f t="shared" si="0"/>
        <v>#DIV/0!</v>
      </c>
    </row>
    <row r="5" spans="1:24" x14ac:dyDescent="0.25">
      <c r="A5" t="s">
        <v>129</v>
      </c>
      <c r="B5">
        <v>1.5800000000000002E-2</v>
      </c>
      <c r="C5">
        <v>1E-4</v>
      </c>
      <c r="D5" s="1">
        <v>3</v>
      </c>
      <c r="E5" s="1">
        <v>3.0599999999999999E-2</v>
      </c>
      <c r="F5" s="1">
        <v>1E-4</v>
      </c>
      <c r="G5" s="1">
        <v>100</v>
      </c>
      <c r="H5" s="1">
        <v>5</v>
      </c>
      <c r="I5" s="1">
        <f>'Count-&gt;Actual Activity'!F5</f>
        <v>0.3654800719502091</v>
      </c>
      <c r="J5" s="1">
        <f>'Count-&gt;Actual Activity'!G5</f>
        <v>0.23297862819086804</v>
      </c>
      <c r="K5" s="1">
        <v>5</v>
      </c>
      <c r="L5" s="1">
        <v>0.01</v>
      </c>
      <c r="M5" s="1"/>
      <c r="N5" s="1"/>
      <c r="O5" s="1"/>
      <c r="P5" s="1"/>
      <c r="Q5">
        <f t="shared" si="1"/>
        <v>7.3096014390041819E-2</v>
      </c>
      <c r="R5">
        <f t="shared" si="2"/>
        <v>4.6595954973122168E-2</v>
      </c>
      <c r="S5">
        <f>B5*Parameters!$B$6</f>
        <v>9.9780548394793733</v>
      </c>
      <c r="T5">
        <f>SQRT((C5/B5)^2+(Parameters!$C$6/Parameters!$B$6)^2)*'Bottle Results'!S5</f>
        <v>6.3708500822833178E-2</v>
      </c>
      <c r="U5">
        <f t="shared" si="3"/>
        <v>87.20435949265331</v>
      </c>
      <c r="W5">
        <f t="shared" si="0"/>
        <v>0.26743222435670871</v>
      </c>
      <c r="X5" t="s">
        <v>153</v>
      </c>
    </row>
    <row r="6" spans="1:24" x14ac:dyDescent="0.25">
      <c r="A6" t="s">
        <v>130</v>
      </c>
      <c r="B6">
        <v>1.5800000000000002E-2</v>
      </c>
      <c r="C6">
        <v>1E-4</v>
      </c>
      <c r="D6" s="1">
        <v>3</v>
      </c>
      <c r="E6" s="1">
        <v>2.98E-2</v>
      </c>
      <c r="F6" s="1">
        <v>1E-4</v>
      </c>
      <c r="G6" s="1">
        <v>100</v>
      </c>
      <c r="H6" s="1">
        <v>5</v>
      </c>
      <c r="I6" s="1">
        <f>'Count-&gt;Actual Activity'!F6</f>
        <v>0.36803428104260821</v>
      </c>
      <c r="J6" s="1">
        <f>'Count-&gt;Actual Activity'!G6</f>
        <v>0.23297862829324678</v>
      </c>
      <c r="K6" s="1">
        <v>5</v>
      </c>
      <c r="L6" s="1">
        <v>0.01</v>
      </c>
      <c r="M6" s="1"/>
      <c r="N6" s="1"/>
      <c r="O6" s="1"/>
      <c r="P6" s="1"/>
      <c r="Q6">
        <f t="shared" si="1"/>
        <v>7.3606856208521643E-2</v>
      </c>
      <c r="R6">
        <f t="shared" si="2"/>
        <v>4.6595958210270107E-2</v>
      </c>
      <c r="S6">
        <f>B6*Parameters!$B$6</f>
        <v>9.9780548394793733</v>
      </c>
      <c r="T6">
        <f>SQRT((C6/B6)^2+(Parameters!$C$6/Parameters!$B$6)^2)*'Bottle Results'!S6</f>
        <v>6.3708500822833178E-2</v>
      </c>
      <c r="U6">
        <f t="shared" si="3"/>
        <v>87.831181833127815</v>
      </c>
      <c r="W6">
        <f t="shared" si="0"/>
        <v>0.26231257101046118</v>
      </c>
      <c r="X6" t="s">
        <v>153</v>
      </c>
    </row>
    <row r="7" spans="1:24" x14ac:dyDescent="0.25">
      <c r="A7" t="s">
        <v>131</v>
      </c>
      <c r="B7">
        <v>1.5800000000000002E-2</v>
      </c>
      <c r="C7">
        <v>1E-4</v>
      </c>
      <c r="D7" s="1">
        <v>3</v>
      </c>
      <c r="E7" s="1">
        <v>3.0599999999999999E-2</v>
      </c>
      <c r="F7" s="1">
        <v>1E-4</v>
      </c>
      <c r="G7" s="1">
        <v>100</v>
      </c>
      <c r="H7" s="1">
        <v>5</v>
      </c>
      <c r="I7" s="1">
        <f>'Count-&gt;Actual Activity'!F7</f>
        <v>0.37898089143860131</v>
      </c>
      <c r="J7" s="1">
        <f>'Count-&gt;Actual Activity'!G7</f>
        <v>0.23297862874284264</v>
      </c>
      <c r="K7" s="1">
        <v>5</v>
      </c>
      <c r="L7" s="1">
        <v>0.01</v>
      </c>
      <c r="M7" s="1"/>
      <c r="N7" s="1"/>
      <c r="O7" s="1"/>
      <c r="P7" s="1"/>
      <c r="Q7">
        <f t="shared" si="1"/>
        <v>7.5796178287720256E-2</v>
      </c>
      <c r="R7">
        <f t="shared" si="2"/>
        <v>4.6595972339660265E-2</v>
      </c>
      <c r="S7">
        <f>B7*Parameters!$B$6</f>
        <v>9.9780548394793733</v>
      </c>
      <c r="T7">
        <f>SQRT((C7/B7)^2+(Parameters!$C$6/Parameters!$B$6)^2)*'Bottle Results'!S7</f>
        <v>6.3708500822833178E-2</v>
      </c>
      <c r="U7">
        <f t="shared" si="3"/>
        <v>78.380294467560375</v>
      </c>
      <c r="W7">
        <f t="shared" si="0"/>
        <v>0.24037119952654931</v>
      </c>
      <c r="X7" t="s">
        <v>153</v>
      </c>
    </row>
    <row r="8" spans="1:24" ht="15.75" customHeight="1" x14ac:dyDescent="0.25">
      <c r="A8" t="s">
        <v>132</v>
      </c>
      <c r="B8">
        <v>7.9200000000000007E-2</v>
      </c>
      <c r="C8">
        <v>1E-4</v>
      </c>
      <c r="D8" s="1">
        <v>3.01</v>
      </c>
      <c r="E8" s="1">
        <v>2.98E-2</v>
      </c>
      <c r="F8" s="1">
        <v>1E-4</v>
      </c>
      <c r="G8" s="1">
        <v>100</v>
      </c>
      <c r="H8" s="1">
        <v>5</v>
      </c>
      <c r="I8" s="1">
        <f>'Count-&gt;Actual Activity'!F8</f>
        <v>0.95988101645263146</v>
      </c>
      <c r="J8" s="1">
        <f>'Count-&gt;Actual Activity'!G8</f>
        <v>0.2329786777956869</v>
      </c>
      <c r="K8" s="1">
        <v>5</v>
      </c>
      <c r="L8" s="1">
        <v>0.01</v>
      </c>
      <c r="M8" s="1"/>
      <c r="N8" s="1"/>
      <c r="O8" s="1"/>
      <c r="P8" s="1"/>
      <c r="Q8">
        <f t="shared" si="1"/>
        <v>0.19197620329052628</v>
      </c>
      <c r="R8">
        <f t="shared" si="2"/>
        <v>4.6597317430809027E-2</v>
      </c>
      <c r="S8">
        <f>B8*Parameters!$B$6</f>
        <v>50.016578689035846</v>
      </c>
      <c r="T8">
        <f>SQRT((C8/B8)^2+(Parameters!$C$6/Parameters!$B$6)^2)*'Bottle Results'!S8</f>
        <v>7.59033800787903E-2</v>
      </c>
      <c r="U8">
        <f t="shared" si="3"/>
        <v>1034.1932335564838</v>
      </c>
      <c r="W8">
        <f t="shared" si="0"/>
        <v>0.61617485977182707</v>
      </c>
    </row>
    <row r="9" spans="1:24" x14ac:dyDescent="0.25">
      <c r="A9" t="s">
        <v>133</v>
      </c>
      <c r="B9">
        <v>7.9200000000000007E-2</v>
      </c>
      <c r="C9">
        <v>1E-4</v>
      </c>
      <c r="D9" s="1">
        <v>3</v>
      </c>
      <c r="E9" s="1">
        <v>3.0099999999999998E-2</v>
      </c>
      <c r="F9" s="1">
        <v>1E-4</v>
      </c>
      <c r="G9" s="1">
        <v>100</v>
      </c>
      <c r="H9" s="1">
        <v>5</v>
      </c>
      <c r="I9" s="1">
        <f>'Count-&gt;Actual Activity'!F9</f>
        <v>0.85169201703890152</v>
      </c>
      <c r="J9" s="1">
        <f>'Count-&gt;Actual Activity'!G9</f>
        <v>0.23297866491215605</v>
      </c>
      <c r="K9" s="1">
        <v>5</v>
      </c>
      <c r="L9" s="1">
        <v>0.01</v>
      </c>
      <c r="M9" s="1"/>
      <c r="N9" s="1"/>
      <c r="O9" s="1"/>
      <c r="P9" s="1"/>
      <c r="Q9">
        <f t="shared" si="1"/>
        <v>0.17033840340778031</v>
      </c>
      <c r="R9">
        <f t="shared" si="2"/>
        <v>4.6596978366163729E-2</v>
      </c>
      <c r="S9">
        <f>B9*Parameters!$B$6</f>
        <v>50.016578689035846</v>
      </c>
      <c r="T9">
        <f>SQRT((C9/B9)^2+(Parameters!$C$6/Parameters!$B$6)^2)*'Bottle Results'!S9</f>
        <v>7.59033800787903E-2</v>
      </c>
      <c r="U9">
        <f t="shared" si="3"/>
        <v>1095.7720381481001</v>
      </c>
      <c r="W9">
        <f t="shared" si="0"/>
        <v>0.65943611523928503</v>
      </c>
    </row>
    <row r="10" spans="1:24" x14ac:dyDescent="0.25">
      <c r="A10" t="s">
        <v>134</v>
      </c>
      <c r="B10">
        <v>7.9200000000000007E-2</v>
      </c>
      <c r="C10">
        <v>1E-4</v>
      </c>
      <c r="D10" s="1">
        <v>3</v>
      </c>
      <c r="E10" s="1">
        <v>3.0099999999999998E-2</v>
      </c>
      <c r="F10" s="1">
        <v>1E-4</v>
      </c>
      <c r="G10" s="1">
        <v>100</v>
      </c>
      <c r="H10" s="1">
        <v>5</v>
      </c>
      <c r="I10" s="1">
        <f>'Count-&gt;Actual Activity'!F10</f>
        <v>0.99126129958781295</v>
      </c>
      <c r="J10" s="1">
        <f>'Count-&gt;Actual Activity'!G10</f>
        <v>0.23297868185351306</v>
      </c>
      <c r="K10" s="1">
        <v>5</v>
      </c>
      <c r="L10" s="1">
        <v>0.01</v>
      </c>
      <c r="M10" s="1"/>
      <c r="N10" s="1"/>
      <c r="O10" s="1"/>
      <c r="P10" s="1"/>
      <c r="Q10">
        <f t="shared" si="1"/>
        <v>0.1982522599175626</v>
      </c>
      <c r="R10">
        <f t="shared" si="2"/>
        <v>4.6597423359690908E-2</v>
      </c>
      <c r="S10">
        <f>B10*Parameters!$B$6</f>
        <v>50.016578689035846</v>
      </c>
      <c r="T10">
        <f>SQRT((C10/B10)^2+(Parameters!$C$6/Parameters!$B$6)^2)*'Bottle Results'!S10</f>
        <v>7.59033800787903E-2</v>
      </c>
      <c r="U10">
        <f t="shared" si="3"/>
        <v>1003.0349733315478</v>
      </c>
      <c r="W10">
        <f t="shared" si="0"/>
        <v>0.60362690708986544</v>
      </c>
    </row>
    <row r="11" spans="1:24" x14ac:dyDescent="0.25">
      <c r="A11" t="s">
        <v>135</v>
      </c>
      <c r="B11">
        <v>0.158</v>
      </c>
      <c r="C11">
        <v>1E-3</v>
      </c>
      <c r="D11" s="1">
        <v>3</v>
      </c>
      <c r="E11" s="1">
        <v>2.98E-2</v>
      </c>
      <c r="F11" s="1">
        <v>1E-4</v>
      </c>
      <c r="G11" s="1">
        <v>100</v>
      </c>
      <c r="H11" s="1">
        <v>5</v>
      </c>
      <c r="I11" s="1">
        <f>'Count-&gt;Actual Activity'!F11</f>
        <v>1.7750386039409149</v>
      </c>
      <c r="J11" s="1">
        <f>'Count-&gt;Actual Activity'!G11</f>
        <v>0.23297883002412664</v>
      </c>
      <c r="K11" s="1">
        <v>5</v>
      </c>
      <c r="L11" s="1">
        <v>0.01</v>
      </c>
      <c r="M11" s="1"/>
      <c r="N11" s="1"/>
      <c r="O11" s="1"/>
      <c r="P11" s="1"/>
      <c r="Q11">
        <f t="shared" si="1"/>
        <v>0.35500772078818299</v>
      </c>
      <c r="R11">
        <f t="shared" si="2"/>
        <v>4.6601175215907516E-2</v>
      </c>
      <c r="S11">
        <f>B11*Parameters!$B$6</f>
        <v>99.780548394793726</v>
      </c>
      <c r="T11">
        <f>SQRT((C11/B11)^2+(Parameters!$C$6/Parameters!$B$6)^2)*'Bottle Results'!S11</f>
        <v>0.63708500822833181</v>
      </c>
      <c r="U11">
        <f t="shared" si="3"/>
        <v>2157.0394736904504</v>
      </c>
      <c r="W11">
        <f t="shared" si="0"/>
        <v>0.64421149562783286</v>
      </c>
    </row>
    <row r="12" spans="1:24" x14ac:dyDescent="0.25">
      <c r="A12" t="s">
        <v>136</v>
      </c>
      <c r="B12">
        <v>0.158</v>
      </c>
      <c r="C12">
        <v>1E-3</v>
      </c>
      <c r="D12" s="1">
        <v>3</v>
      </c>
      <c r="E12" s="1">
        <v>0.03</v>
      </c>
      <c r="F12" s="1">
        <v>1E-3</v>
      </c>
      <c r="G12" s="1">
        <v>100</v>
      </c>
      <c r="H12" s="1">
        <v>5</v>
      </c>
      <c r="I12" s="1">
        <f>'Count-&gt;Actual Activity'!F12</f>
        <v>1.8547664163250628</v>
      </c>
      <c r="J12" s="1">
        <f>'Count-&gt;Actual Activity'!G12</f>
        <v>0.23297885014146549</v>
      </c>
      <c r="K12" s="1">
        <v>5</v>
      </c>
      <c r="L12" s="1">
        <v>0.01</v>
      </c>
      <c r="M12" s="1"/>
      <c r="N12" s="1"/>
      <c r="O12" s="1"/>
      <c r="P12" s="1"/>
      <c r="Q12">
        <f t="shared" si="1"/>
        <v>0.37095328326501253</v>
      </c>
      <c r="R12">
        <f t="shared" si="2"/>
        <v>4.6601676041565697E-2</v>
      </c>
      <c r="S12">
        <f>B12*Parameters!$B$6</f>
        <v>99.780548394793726</v>
      </c>
      <c r="T12">
        <f>SQRT((C12/B12)^2+(Parameters!$C$6/Parameters!$B$6)^2)*'Bottle Results'!S12</f>
        <v>0.63708500822833181</v>
      </c>
      <c r="U12">
        <f t="shared" si="3"/>
        <v>2089.5073356097491</v>
      </c>
      <c r="W12">
        <f t="shared" si="0"/>
        <v>0.62823086339705081</v>
      </c>
    </row>
    <row r="13" spans="1:24" x14ac:dyDescent="0.25">
      <c r="A13" t="s">
        <v>137</v>
      </c>
      <c r="B13">
        <v>0.158</v>
      </c>
      <c r="C13">
        <v>1E-3</v>
      </c>
      <c r="D13" s="1">
        <v>2.99</v>
      </c>
      <c r="E13" s="1">
        <v>2.9600000000000001E-2</v>
      </c>
      <c r="F13" s="1">
        <v>1E-4</v>
      </c>
      <c r="G13" s="1">
        <v>100</v>
      </c>
      <c r="H13" s="1">
        <v>5</v>
      </c>
      <c r="I13" s="1">
        <f>'Count-&gt;Actual Activity'!F13</f>
        <v>1.6777962149231758</v>
      </c>
      <c r="J13" s="1">
        <f>'Count-&gt;Actual Activity'!G13</f>
        <v>0.23297880674850818</v>
      </c>
      <c r="K13" s="1">
        <v>5</v>
      </c>
      <c r="L13" s="1">
        <v>0.01</v>
      </c>
      <c r="M13" s="1"/>
      <c r="N13" s="1"/>
      <c r="O13" s="1"/>
      <c r="P13" s="1"/>
      <c r="Q13">
        <f t="shared" si="1"/>
        <v>0.33555924298463513</v>
      </c>
      <c r="R13">
        <f t="shared" si="2"/>
        <v>4.6600594156947811E-2</v>
      </c>
      <c r="S13">
        <f>B13*Parameters!$B$6</f>
        <v>99.780548394793726</v>
      </c>
      <c r="T13">
        <f>SQRT((C13/B13)^2+(Parameters!$C$6/Parameters!$B$6)^2)*'Bottle Results'!S13</f>
        <v>0.63708500822833181</v>
      </c>
      <c r="U13">
        <f t="shared" si="3"/>
        <v>2237.3183816327773</v>
      </c>
      <c r="W13">
        <f t="shared" si="0"/>
        <v>0.66370274729604151</v>
      </c>
    </row>
    <row r="14" spans="1:24" x14ac:dyDescent="0.25">
      <c r="A14" t="s">
        <v>138</v>
      </c>
      <c r="B14">
        <v>0.39600000000000002</v>
      </c>
      <c r="C14">
        <v>1E-3</v>
      </c>
      <c r="D14" s="1">
        <v>2.99</v>
      </c>
      <c r="E14" s="1">
        <v>3.0300000000000001E-2</v>
      </c>
      <c r="F14" s="1">
        <v>1E-4</v>
      </c>
      <c r="G14" s="1">
        <v>100</v>
      </c>
      <c r="H14" s="1">
        <v>5</v>
      </c>
      <c r="I14" s="1">
        <f>'Count-&gt;Actual Activity'!F14</f>
        <v>4.0729145695664535</v>
      </c>
      <c r="J14" s="1">
        <f>'Count-&gt;Actual Activity'!G14</f>
        <v>0.23297978334944427</v>
      </c>
      <c r="K14" s="1">
        <v>5</v>
      </c>
      <c r="L14" s="1">
        <v>0.01</v>
      </c>
      <c r="M14" s="1"/>
      <c r="N14" s="1"/>
      <c r="O14" s="1"/>
      <c r="P14" s="1"/>
      <c r="Q14">
        <f t="shared" si="1"/>
        <v>0.81458291391329074</v>
      </c>
      <c r="R14">
        <f t="shared" si="2"/>
        <v>4.6624428782310226E-2</v>
      </c>
      <c r="S14">
        <f>B14*Parameters!$B$6</f>
        <v>250.08289344517922</v>
      </c>
      <c r="T14">
        <f>SQRT((C14/B14)^2+(Parameters!$C$6/Parameters!$B$6)^2)*'Bottle Results'!S14</f>
        <v>0.66569402813006118</v>
      </c>
      <c r="U14">
        <f t="shared" si="3"/>
        <v>5565.1683846155165</v>
      </c>
      <c r="W14">
        <f t="shared" si="0"/>
        <v>0.67427483635866681</v>
      </c>
    </row>
    <row r="15" spans="1:24" x14ac:dyDescent="0.25">
      <c r="A15" t="s">
        <v>139</v>
      </c>
      <c r="B15">
        <v>0.39600000000000002</v>
      </c>
      <c r="C15">
        <v>1E-3</v>
      </c>
      <c r="D15" s="1">
        <v>3</v>
      </c>
      <c r="E15" s="1">
        <v>3.1099999999999999E-2</v>
      </c>
      <c r="F15" s="1">
        <v>1E-4</v>
      </c>
      <c r="G15" s="1">
        <v>100</v>
      </c>
      <c r="H15" s="1">
        <v>5</v>
      </c>
      <c r="I15" s="1">
        <f>'Count-&gt;Actual Activity'!F15</f>
        <v>3.9227635636347564</v>
      </c>
      <c r="J15" s="1">
        <f>'Count-&gt;Actual Activity'!G15</f>
        <v>0.23297969742427896</v>
      </c>
      <c r="K15" s="1">
        <v>5</v>
      </c>
      <c r="L15" s="1">
        <v>0.01</v>
      </c>
      <c r="M15" s="1"/>
      <c r="N15" s="1"/>
      <c r="O15" s="1"/>
      <c r="P15" s="1"/>
      <c r="Q15">
        <f t="shared" si="1"/>
        <v>0.78455271272695126</v>
      </c>
      <c r="R15">
        <f t="shared" si="2"/>
        <v>4.6622351595694229E-2</v>
      </c>
      <c r="S15">
        <f>B15*Parameters!$B$6</f>
        <v>250.08289344517922</v>
      </c>
      <c r="T15">
        <f>SQRT((C15/B15)^2+(Parameters!$C$6/Parameters!$B$6)^2)*'Bottle Results'!S15</f>
        <v>0.66569402813006118</v>
      </c>
      <c r="U15">
        <f t="shared" si="3"/>
        <v>5518.5730602084923</v>
      </c>
      <c r="W15">
        <f t="shared" si="0"/>
        <v>0.68628293526244999</v>
      </c>
    </row>
    <row r="16" spans="1:24" x14ac:dyDescent="0.25">
      <c r="A16" t="s">
        <v>140</v>
      </c>
      <c r="B16">
        <v>0.39600000000000002</v>
      </c>
      <c r="C16">
        <v>1E-3</v>
      </c>
      <c r="D16" s="1">
        <v>3</v>
      </c>
      <c r="E16" s="1">
        <v>2.93E-2</v>
      </c>
      <c r="F16" s="1">
        <v>1E-4</v>
      </c>
      <c r="G16" s="1">
        <v>100</v>
      </c>
      <c r="H16" s="1">
        <v>5</v>
      </c>
      <c r="I16" s="1">
        <f>'Count-&gt;Actual Activity'!F16</f>
        <v>4.3624524145404697</v>
      </c>
      <c r="J16" s="1">
        <f>'Count-&gt;Actual Activity'!G16</f>
        <v>0.23297995836890215</v>
      </c>
      <c r="K16" s="1">
        <v>5</v>
      </c>
      <c r="L16" s="1">
        <v>0.01</v>
      </c>
      <c r="M16" s="1"/>
      <c r="N16" s="1"/>
      <c r="O16" s="1"/>
      <c r="P16" s="1"/>
      <c r="Q16">
        <f t="shared" si="1"/>
        <v>0.87249048290809395</v>
      </c>
      <c r="R16">
        <f t="shared" si="2"/>
        <v>4.6628654265741747E-2</v>
      </c>
      <c r="S16">
        <f>B16*Parameters!$B$6</f>
        <v>250.08289344517922</v>
      </c>
      <c r="T16">
        <f>SQRT((C16/B16)^2+(Parameters!$C$6/Parameters!$B$6)^2)*'Bottle Results'!S16</f>
        <v>0.66569402813006118</v>
      </c>
      <c r="U16">
        <f t="shared" si="3"/>
        <v>5557.4691178965813</v>
      </c>
      <c r="W16">
        <f t="shared" si="0"/>
        <v>0.65111948646765283</v>
      </c>
    </row>
    <row r="17" spans="1:23" x14ac:dyDescent="0.25">
      <c r="A17" t="s">
        <v>141</v>
      </c>
      <c r="B17">
        <v>0.79200000000000004</v>
      </c>
      <c r="C17">
        <v>1E-3</v>
      </c>
      <c r="D17" s="1">
        <v>3</v>
      </c>
      <c r="E17" s="1">
        <v>2.9700000000000001E-2</v>
      </c>
      <c r="F17" s="1">
        <v>1E-4</v>
      </c>
      <c r="G17" s="1">
        <v>100</v>
      </c>
      <c r="H17" s="1">
        <v>5</v>
      </c>
      <c r="I17" s="1">
        <f>'Count-&gt;Actual Activity'!F17</f>
        <v>8.7286904144888879</v>
      </c>
      <c r="J17" s="1">
        <f>'Count-&gt;Actual Activity'!G17</f>
        <v>0.23298408729362602</v>
      </c>
      <c r="K17" s="1">
        <v>5</v>
      </c>
      <c r="L17" s="1">
        <v>0.01</v>
      </c>
      <c r="Q17">
        <f t="shared" si="1"/>
        <v>1.7457380828977775</v>
      </c>
      <c r="R17">
        <f t="shared" si="2"/>
        <v>4.6727441649399938E-2</v>
      </c>
      <c r="S17">
        <f>B17*Parameters!$B$6</f>
        <v>500.16578689035845</v>
      </c>
      <c r="T17">
        <f>SQRT((C17/B17)^2+(Parameters!$C$6/Parameters!$B$6)^2)*'Bottle Results'!S17</f>
        <v>0.75903380078790295</v>
      </c>
      <c r="U17">
        <f t="shared" si="3"/>
        <v>10962.692882174433</v>
      </c>
      <c r="W17">
        <f t="shared" si="0"/>
        <v>0.6509681132427273</v>
      </c>
    </row>
    <row r="18" spans="1:23" x14ac:dyDescent="0.25">
      <c r="A18" t="s">
        <v>142</v>
      </c>
      <c r="B18">
        <v>0.79200000000000004</v>
      </c>
      <c r="C18">
        <v>1E-3</v>
      </c>
      <c r="D18" s="1">
        <v>2.99</v>
      </c>
      <c r="E18" s="1">
        <v>3.0300000000000001E-2</v>
      </c>
      <c r="F18" s="1">
        <v>1E-4</v>
      </c>
      <c r="G18" s="1">
        <v>100</v>
      </c>
      <c r="H18" s="1">
        <v>5</v>
      </c>
      <c r="I18" s="1">
        <f>'Count-&gt;Actual Activity'!F18</f>
        <v>7.90368087764422</v>
      </c>
      <c r="J18" s="1">
        <f>'Count-&gt;Actual Activity'!G18</f>
        <v>0.23298309304077738</v>
      </c>
      <c r="K18" s="1">
        <v>5</v>
      </c>
      <c r="L18" s="1">
        <v>0.01</v>
      </c>
      <c r="Q18">
        <f t="shared" si="1"/>
        <v>1.580736175528844</v>
      </c>
      <c r="R18">
        <f t="shared" si="2"/>
        <v>4.6703744744296505E-2</v>
      </c>
      <c r="S18">
        <f>B18*Parameters!$B$6</f>
        <v>500.16578689035845</v>
      </c>
      <c r="T18">
        <f>SQRT((C18/B18)^2+(Parameters!$C$6/Parameters!$B$6)^2)*'Bottle Results'!S18</f>
        <v>0.75903380078790295</v>
      </c>
      <c r="U18">
        <f t="shared" si="3"/>
        <v>11290.170605197163</v>
      </c>
      <c r="W18">
        <f t="shared" si="0"/>
        <v>0.6839575562821617</v>
      </c>
    </row>
    <row r="19" spans="1:23" x14ac:dyDescent="0.25">
      <c r="A19" t="s">
        <v>143</v>
      </c>
      <c r="B19">
        <v>0.79200000000000004</v>
      </c>
      <c r="C19">
        <v>1E-3</v>
      </c>
      <c r="D19" s="1">
        <v>2.99</v>
      </c>
      <c r="E19" s="1">
        <v>3.0099999999999998E-2</v>
      </c>
      <c r="F19" s="1">
        <v>1E-4</v>
      </c>
      <c r="G19" s="1">
        <v>100</v>
      </c>
      <c r="H19" s="1">
        <v>5</v>
      </c>
      <c r="I19" s="1">
        <f>'Count-&gt;Actual Activity'!F19</f>
        <v>8.5287323312554211</v>
      </c>
      <c r="J19" s="1">
        <f>'Count-&gt;Actual Activity'!G19</f>
        <v>0.23298383715756785</v>
      </c>
      <c r="K19" s="1">
        <v>5</v>
      </c>
      <c r="L19" s="1">
        <v>0.01</v>
      </c>
      <c r="Q19">
        <f t="shared" si="1"/>
        <v>1.7057464662510842</v>
      </c>
      <c r="R19">
        <f t="shared" si="2"/>
        <v>4.6721483485598736E-2</v>
      </c>
      <c r="S19">
        <f>B19*Parameters!$B$6</f>
        <v>500.16578689035845</v>
      </c>
      <c r="T19">
        <f>SQRT((C19/B19)^2+(Parameters!$C$6/Parameters!$B$6)^2)*'Bottle Results'!S19</f>
        <v>0.75903380078790295</v>
      </c>
      <c r="U19">
        <f t="shared" si="3"/>
        <v>10949.871769609636</v>
      </c>
      <c r="W19">
        <f t="shared" si="0"/>
        <v>0.65896378541681389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4" sqref="C4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145</v>
      </c>
      <c r="D1" t="s">
        <v>32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</row>
    <row r="2" spans="1:10" x14ac:dyDescent="0.25">
      <c r="A2">
        <v>0</v>
      </c>
      <c r="B2">
        <f>AVERAGE('Bottle Results'!Q2:Q4)</f>
        <v>5.4863826630493655E-2</v>
      </c>
      <c r="C2">
        <f>_xlfn.STDEV.S('Bottle Results'!Q2:Q4)</f>
        <v>9.2484522745180653E-3</v>
      </c>
      <c r="D2">
        <f>AVERAGE('Bottle Results'!U2:U4)</f>
        <v>-181.30565377485468</v>
      </c>
      <c r="E2">
        <f>_xlfn.STDEV.S('Bottle Results'!U2:U4)</f>
        <v>26.782049094282392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3</v>
      </c>
      <c r="J2">
        <f>_xlfn.STDEV.S('Bottle Results'!D2:D4)</f>
        <v>0</v>
      </c>
    </row>
    <row r="3" spans="1:10" x14ac:dyDescent="0.25">
      <c r="A3">
        <v>10</v>
      </c>
      <c r="B3">
        <f>AVERAGE('Bottle Results'!Q5:Q7)</f>
        <v>7.4166349628761244E-2</v>
      </c>
      <c r="C3">
        <f>_xlfn.STDEV.S('Bottle Results'!Q5:Q7)</f>
        <v>1.4343974114763502E-3</v>
      </c>
      <c r="D3">
        <f>AVERAGE('Bottle Results'!U5:U7)</f>
        <v>84.471945264447172</v>
      </c>
      <c r="E3">
        <f>_xlfn.STDEV.S('Bottle Results'!U5:U7)</f>
        <v>5.2848257904152431</v>
      </c>
      <c r="F3">
        <f>AVERAGE('Bottle Results'!S5:S7)</f>
        <v>9.9780548394793733</v>
      </c>
      <c r="G3">
        <f>AVERAGE('Bottle Results'!W5:W7)</f>
        <v>0.25670533163123971</v>
      </c>
      <c r="H3">
        <f>_xlfn.STDEV.S('Bottle Results'!W5:W7)</f>
        <v>1.4375521427292462E-2</v>
      </c>
      <c r="I3">
        <f>AVERAGE('Bottle Results'!D5:D7)</f>
        <v>3</v>
      </c>
      <c r="J3">
        <f>_xlfn.STDEV.S('Bottle Results'!D5:D7)</f>
        <v>0</v>
      </c>
    </row>
    <row r="4" spans="1:10" x14ac:dyDescent="0.25">
      <c r="A4">
        <v>50</v>
      </c>
      <c r="B4">
        <f>AVERAGE('Bottle Results'!Q8:Q10)</f>
        <v>0.18685562220528973</v>
      </c>
      <c r="C4">
        <f>_xlfn.STDEV.S('Bottle Results'!Q8:Q10)</f>
        <v>1.4644490749085149E-2</v>
      </c>
      <c r="D4">
        <f>AVERAGE('Bottle Results'!U8:U10)</f>
        <v>1044.3334150120438</v>
      </c>
      <c r="E4">
        <f>_xlfn.STDEV.S('Bottle Results'!U8:U10)</f>
        <v>47.192777600615123</v>
      </c>
      <c r="F4">
        <f>AVERAGE('Bottle Results'!S8:S10)</f>
        <v>50.016578689035846</v>
      </c>
      <c r="G4">
        <f>AVERAGE('Bottle Results'!W8:W10)</f>
        <v>0.62641262736699255</v>
      </c>
      <c r="H4">
        <f>_xlfn.STDEV.S('Bottle Results'!W8:W10)</f>
        <v>2.9279273258839181E-2</v>
      </c>
      <c r="I4">
        <f>AVERAGE('Bottle Results'!D8:D10)</f>
        <v>3.0033333333333334</v>
      </c>
      <c r="J4">
        <f>_xlfn.STDEV.S('Bottle Results'!D8:D10)</f>
        <v>5.7735026918961348E-3</v>
      </c>
    </row>
    <row r="5" spans="1:10" x14ac:dyDescent="0.25">
      <c r="A5">
        <v>100</v>
      </c>
      <c r="B5">
        <f>AVERAGE('Bottle Results'!Q11:Q13)</f>
        <v>0.35384008234594355</v>
      </c>
      <c r="C5">
        <f>_xlfn.STDEV.S('Bottle Results'!Q11:Q13)</f>
        <v>1.7725886620733277E-2</v>
      </c>
      <c r="D5">
        <f>AVERAGE('Bottle Results'!U11:U13)</f>
        <v>2161.288396977659</v>
      </c>
      <c r="E5">
        <f>_xlfn.STDEV.S('Bottle Results'!U11:U13)</f>
        <v>73.997069830033666</v>
      </c>
      <c r="F5">
        <f>AVERAGE('Bottle Results'!S11:S13)</f>
        <v>99.780548394793712</v>
      </c>
      <c r="G5">
        <f>AVERAGE('Bottle Results'!W11:W13)</f>
        <v>0.6453817021069751</v>
      </c>
      <c r="H5">
        <f>_xlfn.STDEV.S('Bottle Results'!W11:W13)</f>
        <v>1.7764871917318702E-2</v>
      </c>
      <c r="I5">
        <f>AVERAGE('Bottle Results'!D11:D13)</f>
        <v>2.9966666666666666</v>
      </c>
      <c r="J5">
        <f>_xlfn.STDEV.S('Bottle Results'!D3:D11)</f>
        <v>3.3333333333332624E-3</v>
      </c>
    </row>
    <row r="6" spans="1:10" x14ac:dyDescent="0.25">
      <c r="A6">
        <v>250</v>
      </c>
      <c r="B6">
        <f>AVERAGE('Bottle Results'!Q14:Q16)</f>
        <v>0.82387536984944532</v>
      </c>
      <c r="C6">
        <f>_xlfn.STDEV.S('Bottle Results'!Q14:Q16)</f>
        <v>4.4699274704427784E-2</v>
      </c>
      <c r="D6">
        <f>AVERAGE('Bottle Results'!U14:U16)</f>
        <v>5547.0701875735294</v>
      </c>
      <c r="E6">
        <f>_xlfn.STDEV.S('Bottle Results'!U14:U16)</f>
        <v>24.977677595139102</v>
      </c>
      <c r="F6">
        <f>AVERAGE('Bottle Results'!S14:S16)</f>
        <v>250.08289344517922</v>
      </c>
      <c r="G6">
        <f>AVERAGE('Bottle Results'!W14:W16)</f>
        <v>0.67055908602958991</v>
      </c>
      <c r="H6">
        <f>_xlfn.STDEV.S('Bottle Results'!W14:W16)</f>
        <v>1.7873783403832187E-2</v>
      </c>
      <c r="I6">
        <f>AVERAGE('Bottle Results'!D14:D16)</f>
        <v>2.9966666666666666</v>
      </c>
      <c r="J6">
        <f>_xlfn.STDEV.S('Bottle Results'!D14:D16)</f>
        <v>5.7735026918961348E-3</v>
      </c>
    </row>
    <row r="7" spans="1:10" x14ac:dyDescent="0.25">
      <c r="A7">
        <v>500</v>
      </c>
      <c r="B7">
        <f>AVERAGE('Bottle Results'!Q17:Q19)</f>
        <v>1.677406908225902</v>
      </c>
      <c r="C7">
        <f>_xlfn.STDEV.S('Bottle Results'!Q17:Q19)</f>
        <v>8.6074126604012272E-2</v>
      </c>
      <c r="D7">
        <f>AVERAGE('Bottle Results'!U17:U19)</f>
        <v>11067.578418993746</v>
      </c>
      <c r="E7">
        <f>_xlfn.STDEV.S('Bottle Results'!U17:U19)</f>
        <v>192.8770495703495</v>
      </c>
      <c r="F7">
        <f>AVERAGE('Bottle Results'!S17:S19)</f>
        <v>500.16578689035845</v>
      </c>
      <c r="G7">
        <f>AVERAGE('Bottle Results'!W17:W19)</f>
        <v>0.66462981831390089</v>
      </c>
      <c r="H7">
        <f>_xlfn.STDEV.S('Bottle Results'!W17:W19)</f>
        <v>1.7209119228077205E-2</v>
      </c>
      <c r="I7">
        <f>AVERAGE('Bottle Results'!D17:D19)</f>
        <v>2.9933333333333336</v>
      </c>
      <c r="J7">
        <f>_xlfn.STDEV.S('Bottle Results'!D17:D19)</f>
        <v>5.7735026918961348E-3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2016-04-21T15:37:01Z</dcterms:modified>
</cp:coreProperties>
</file>