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Michael\Dropbox (Personal)\work\MIT Graduate Work\Research\Radium Sorption\Sorption Experiments\"/>
    </mc:Choice>
  </mc:AlternateContent>
  <bookViews>
    <workbookView xWindow="240" yWindow="240" windowWidth="25365" windowHeight="15765" tabRatio="500"/>
  </bookViews>
  <sheets>
    <sheet name="Sheet1" sheetId="1" r:id="rId1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W53" i="1" l="1"/>
  <c r="W54" i="1"/>
  <c r="W55" i="1"/>
  <c r="W56" i="1"/>
  <c r="W57" i="1"/>
  <c r="W52" i="1" l="1"/>
  <c r="W47" i="1"/>
  <c r="W48" i="1"/>
  <c r="W49" i="1"/>
  <c r="W50" i="1"/>
  <c r="W51" i="1"/>
  <c r="P47" i="1"/>
  <c r="P48" i="1"/>
  <c r="P49" i="1"/>
  <c r="P50" i="1"/>
  <c r="P51" i="1"/>
  <c r="N16" i="1"/>
  <c r="W16" i="1" s="1"/>
  <c r="N17" i="1"/>
  <c r="W17" i="1" s="1"/>
  <c r="N18" i="1"/>
  <c r="W18" i="1" s="1"/>
  <c r="N19" i="1"/>
  <c r="W19" i="1"/>
  <c r="N20" i="1"/>
  <c r="W20" i="1" s="1"/>
  <c r="N21" i="1"/>
  <c r="W21" i="1" s="1"/>
  <c r="N22" i="1"/>
  <c r="W22" i="1" s="1"/>
  <c r="N23" i="1"/>
  <c r="W23" i="1"/>
  <c r="N24" i="1"/>
  <c r="W24" i="1" s="1"/>
  <c r="N25" i="1"/>
  <c r="W25" i="1" s="1"/>
  <c r="N26" i="1"/>
  <c r="W26" i="1" s="1"/>
  <c r="N27" i="1"/>
  <c r="W27" i="1"/>
  <c r="N28" i="1"/>
  <c r="W28" i="1" s="1"/>
  <c r="N29" i="1"/>
  <c r="W29" i="1" s="1"/>
  <c r="N30" i="1"/>
  <c r="W30" i="1" s="1"/>
  <c r="N31" i="1"/>
  <c r="W31" i="1"/>
  <c r="N32" i="1"/>
  <c r="W32" i="1" s="1"/>
  <c r="N33" i="1"/>
  <c r="W33" i="1" s="1"/>
  <c r="N34" i="1"/>
  <c r="W34" i="1" s="1"/>
  <c r="N35" i="1"/>
  <c r="W35" i="1"/>
  <c r="N36" i="1"/>
  <c r="W36" i="1" s="1"/>
  <c r="N37" i="1"/>
  <c r="W37" i="1" s="1"/>
  <c r="N38" i="1"/>
  <c r="W38" i="1" s="1"/>
  <c r="N39" i="1"/>
  <c r="W39" i="1"/>
  <c r="N40" i="1"/>
  <c r="W40" i="1" s="1"/>
  <c r="N41" i="1"/>
  <c r="W41" i="1" s="1"/>
  <c r="W42" i="1"/>
  <c r="W43" i="1"/>
  <c r="W44" i="1"/>
  <c r="W45" i="1"/>
  <c r="W46" i="1"/>
  <c r="N15" i="1"/>
  <c r="W15" i="1" s="1"/>
  <c r="P43" i="1"/>
  <c r="P44" i="1"/>
  <c r="P45" i="1"/>
  <c r="P46" i="1"/>
  <c r="P42" i="1"/>
  <c r="W9" i="1"/>
  <c r="W10" i="1"/>
  <c r="W11" i="1"/>
  <c r="W12" i="1"/>
  <c r="W13" i="1"/>
  <c r="W14" i="1"/>
  <c r="N10" i="1"/>
  <c r="N11" i="1"/>
  <c r="N12" i="1"/>
  <c r="N13" i="1"/>
  <c r="N14" i="1"/>
  <c r="N9" i="1"/>
  <c r="N8" i="1"/>
  <c r="N7" i="1"/>
  <c r="N6" i="1"/>
  <c r="N5" i="1"/>
  <c r="N4" i="1"/>
  <c r="N3" i="1"/>
  <c r="N2" i="1"/>
  <c r="P20" i="1"/>
  <c r="P21" i="1"/>
  <c r="P22" i="1"/>
  <c r="P23" i="1"/>
  <c r="P24" i="1"/>
  <c r="P25" i="1"/>
  <c r="P26" i="1"/>
  <c r="H4" i="1"/>
  <c r="H5" i="1"/>
  <c r="H6" i="1"/>
  <c r="H7" i="1"/>
  <c r="H8" i="1"/>
  <c r="H2" i="1"/>
  <c r="W3" i="1"/>
  <c r="W4" i="1"/>
  <c r="W5" i="1"/>
  <c r="W6" i="1"/>
  <c r="W7" i="1"/>
  <c r="W8" i="1"/>
  <c r="W2" i="1"/>
  <c r="P41" i="1"/>
  <c r="P40" i="1"/>
  <c r="P39" i="1"/>
  <c r="P38" i="1"/>
  <c r="P37" i="1"/>
  <c r="J41" i="1"/>
  <c r="J40" i="1"/>
  <c r="J39" i="1"/>
  <c r="J38" i="1"/>
  <c r="J37" i="1"/>
  <c r="J24" i="1"/>
  <c r="J26" i="1"/>
  <c r="J27" i="1"/>
  <c r="J28" i="1"/>
  <c r="J29" i="1"/>
  <c r="J30" i="1"/>
  <c r="J31" i="1"/>
  <c r="J33" i="1"/>
  <c r="J34" i="1"/>
  <c r="J35" i="1"/>
  <c r="J36" i="1"/>
  <c r="J23" i="1"/>
  <c r="J20" i="1"/>
  <c r="J21" i="1"/>
  <c r="J22" i="1"/>
  <c r="J19" i="1"/>
  <c r="J17" i="1"/>
  <c r="J16" i="1"/>
  <c r="J10" i="1"/>
  <c r="J12" i="1"/>
  <c r="J13" i="1"/>
  <c r="J14" i="1"/>
  <c r="J15" i="1"/>
  <c r="J9" i="1"/>
  <c r="J4" i="1"/>
  <c r="J5" i="1"/>
  <c r="J6" i="1"/>
  <c r="J7" i="1"/>
  <c r="J8" i="1"/>
  <c r="J2" i="1"/>
  <c r="P31" i="1"/>
  <c r="P32" i="1"/>
  <c r="P33" i="1"/>
  <c r="P34" i="1"/>
  <c r="P35" i="1"/>
  <c r="P36" i="1"/>
  <c r="P30" i="1"/>
  <c r="P2" i="1"/>
  <c r="P29" i="1"/>
  <c r="P27" i="1"/>
  <c r="P28" i="1"/>
  <c r="P17" i="1"/>
  <c r="P18" i="1"/>
  <c r="P19" i="1"/>
  <c r="P16" i="1"/>
  <c r="P10" i="1"/>
  <c r="P11" i="1"/>
  <c r="P12" i="1"/>
  <c r="P13" i="1"/>
  <c r="P14" i="1"/>
  <c r="P15" i="1"/>
  <c r="P9" i="1"/>
  <c r="P3" i="1"/>
  <c r="P4" i="1"/>
  <c r="P5" i="1"/>
  <c r="P6" i="1"/>
  <c r="P7" i="1"/>
  <c r="P8" i="1"/>
</calcChain>
</file>

<file path=xl/sharedStrings.xml><?xml version="1.0" encoding="utf-8"?>
<sst xmlns="http://schemas.openxmlformats.org/spreadsheetml/2006/main" count="248" uniqueCount="58">
  <si>
    <t>Date</t>
  </si>
  <si>
    <t>Mineral</t>
  </si>
  <si>
    <t>Mineral Uncertainty</t>
  </si>
  <si>
    <t>Solution Uncertainty</t>
  </si>
  <si>
    <t>Final pH</t>
  </si>
  <si>
    <t>sPH</t>
  </si>
  <si>
    <t>Notes</t>
  </si>
  <si>
    <t>Only A and B</t>
  </si>
  <si>
    <t>FHY_5.1</t>
  </si>
  <si>
    <t>FHY_5.2</t>
  </si>
  <si>
    <t>FHY_6</t>
  </si>
  <si>
    <t>FHY_7</t>
  </si>
  <si>
    <t>Cw (DPM/mL)</t>
  </si>
  <si>
    <t>sCw (DPM/mL)</t>
  </si>
  <si>
    <t>Cs (DPM/mg)</t>
  </si>
  <si>
    <t>sCs (DPM/mg)</t>
  </si>
  <si>
    <t>FHY_2</t>
  </si>
  <si>
    <t>FHY_1</t>
  </si>
  <si>
    <t>Cs/Total</t>
  </si>
  <si>
    <t>N/A</t>
  </si>
  <si>
    <t>Mineral Amount (mg)</t>
  </si>
  <si>
    <t>Radium Stock</t>
  </si>
  <si>
    <t>Stock Volume (mL)</t>
  </si>
  <si>
    <t>Mineral Stock Volume Added (L)</t>
  </si>
  <si>
    <t>Mineral Stock Uncertainty (L)</t>
  </si>
  <si>
    <t>Error (ppm Fe)</t>
  </si>
  <si>
    <t>Mineral Stock Conc. (ppm Fe)</t>
  </si>
  <si>
    <t>Mineral Code</t>
  </si>
  <si>
    <t>FHY</t>
  </si>
  <si>
    <t>PYR</t>
  </si>
  <si>
    <t>0.4 mL</t>
  </si>
  <si>
    <t>1 mL</t>
  </si>
  <si>
    <t>2 mL</t>
  </si>
  <si>
    <t>3 mL</t>
  </si>
  <si>
    <t>4 mL</t>
  </si>
  <si>
    <t>Ra_Stock_1</t>
  </si>
  <si>
    <t>Ra_Stock_2</t>
  </si>
  <si>
    <t>Only A</t>
  </si>
  <si>
    <t>Only B and C</t>
  </si>
  <si>
    <t>"Sample ID"</t>
  </si>
  <si>
    <t>pH 3</t>
  </si>
  <si>
    <t>pH 5</t>
  </si>
  <si>
    <t>pH 7</t>
  </si>
  <si>
    <t>pH 9</t>
  </si>
  <si>
    <t>pH 11</t>
  </si>
  <si>
    <t>Only in Duplicate</t>
  </si>
  <si>
    <t>Include</t>
  </si>
  <si>
    <t>pH3</t>
  </si>
  <si>
    <t>pH9</t>
  </si>
  <si>
    <t>pH7</t>
  </si>
  <si>
    <t>pH11</t>
  </si>
  <si>
    <t>pH5</t>
  </si>
  <si>
    <t>Ra_Stock_4</t>
  </si>
  <si>
    <t>Solution Volume (mL)</t>
  </si>
  <si>
    <r>
      <t>Total Activity (</t>
    </r>
    <r>
      <rPr>
        <sz val="12"/>
        <rFont val="Calibri"/>
        <family val="2"/>
        <scheme val="minor"/>
      </rPr>
      <t>Bq</t>
    </r>
    <r>
      <rPr>
        <sz val="12"/>
        <color theme="1"/>
        <rFont val="Calibri"/>
        <family val="2"/>
        <scheme val="minor"/>
      </rPr>
      <t>)</t>
    </r>
  </si>
  <si>
    <t>nvals</t>
  </si>
  <si>
    <t>High variation in mineral mass due to different targets</t>
  </si>
  <si>
    <t>Stock Concentration (DPM/mL)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</si>
</sst>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"/>
    <numFmt numFmtId="165" formatCode="0.0000"/>
  </numFmts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0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14" fontId="0" fillId="0" borderId="0" xfId="0" applyNumberFormat="1"/>
    <xf numFmtId="14" fontId="3" fillId="0" borderId="0" xfId="0" applyNumberFormat="1" applyFont="1"/>
    <xf numFmtId="0" fontId="3" fillId="0" borderId="0" xfId="0" applyFont="1"/>
    <xf numFmtId="20" fontId="3" fillId="0" borderId="0" xfId="0" applyNumberFormat="1" applyFont="1"/>
    <xf numFmtId="165" fontId="3" fillId="0" borderId="0" xfId="0" applyNumberFormat="1" applyFont="1"/>
    <xf numFmtId="164" fontId="3" fillId="0" borderId="0" xfId="0" applyNumberFormat="1" applyFont="1"/>
    <xf numFmtId="0" fontId="4" fillId="0" borderId="0" xfId="0" applyFont="1"/>
  </cellXfs>
  <cellStyles count="10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8"/>
  <sheetViews>
    <sheetView tabSelected="1" workbookViewId="0">
      <pane xSplit="2" ySplit="1" topLeftCell="L2" activePane="bottomRight" state="frozen"/>
      <selection pane="topRight" activeCell="C1" sqref="C1"/>
      <selection pane="bottomLeft" activeCell="A2" sqref="A2"/>
      <selection pane="bottomRight" activeCell="X2" sqref="X2"/>
    </sheetView>
  </sheetViews>
  <sheetFormatPr defaultColWidth="11" defaultRowHeight="15.75" x14ac:dyDescent="0.25"/>
  <cols>
    <col min="2" max="2" width="17.875" bestFit="1" customWidth="1"/>
    <col min="3" max="3" width="11.625" bestFit="1" customWidth="1"/>
    <col min="4" max="4" width="7.125" bestFit="1" customWidth="1"/>
    <col min="5" max="5" width="24.875" bestFit="1" customWidth="1"/>
    <col min="6" max="6" width="22.5" customWidth="1"/>
    <col min="7" max="7" width="27.25" bestFit="1" customWidth="1"/>
    <col min="8" max="8" width="22.125" bestFit="1" customWidth="1"/>
    <col min="9" max="9" width="18.375" bestFit="1" customWidth="1"/>
    <col min="10" max="10" width="17.625" bestFit="1" customWidth="1"/>
    <col min="11" max="11" width="17.625" customWidth="1"/>
    <col min="12" max="12" width="26.125" bestFit="1" customWidth="1"/>
    <col min="13" max="14" width="17.625" customWidth="1"/>
    <col min="15" max="15" width="14.625" bestFit="1" customWidth="1"/>
    <col min="16" max="16" width="18" bestFit="1" customWidth="1"/>
    <col min="17" max="17" width="12.5" bestFit="1" customWidth="1"/>
    <col min="18" max="18" width="13.375" bestFit="1" customWidth="1"/>
    <col min="19" max="19" width="12.125" bestFit="1" customWidth="1"/>
    <col min="20" max="20" width="12.875" bestFit="1" customWidth="1"/>
    <col min="27" max="27" width="11.625" bestFit="1" customWidth="1"/>
  </cols>
  <sheetData>
    <row r="1" spans="1:29" x14ac:dyDescent="0.25">
      <c r="A1" t="s">
        <v>0</v>
      </c>
      <c r="B1" t="s">
        <v>39</v>
      </c>
      <c r="C1" t="s">
        <v>27</v>
      </c>
      <c r="D1" t="s">
        <v>1</v>
      </c>
      <c r="E1" t="s">
        <v>26</v>
      </c>
      <c r="F1" t="s">
        <v>25</v>
      </c>
      <c r="G1" t="s">
        <v>23</v>
      </c>
      <c r="H1" t="s">
        <v>24</v>
      </c>
      <c r="I1" t="s">
        <v>20</v>
      </c>
      <c r="J1" t="s">
        <v>2</v>
      </c>
      <c r="K1" t="s">
        <v>21</v>
      </c>
      <c r="L1" t="s">
        <v>57</v>
      </c>
      <c r="M1" t="s">
        <v>22</v>
      </c>
      <c r="N1" t="s">
        <v>54</v>
      </c>
      <c r="O1" t="s">
        <v>53</v>
      </c>
      <c r="P1" t="s">
        <v>3</v>
      </c>
      <c r="Q1" t="s">
        <v>12</v>
      </c>
      <c r="R1" t="s">
        <v>13</v>
      </c>
      <c r="S1" t="s">
        <v>14</v>
      </c>
      <c r="T1" t="s">
        <v>15</v>
      </c>
      <c r="U1" t="s">
        <v>4</v>
      </c>
      <c r="V1" t="s">
        <v>5</v>
      </c>
      <c r="W1" t="s">
        <v>18</v>
      </c>
      <c r="X1" t="s">
        <v>55</v>
      </c>
      <c r="Y1" t="s">
        <v>6</v>
      </c>
      <c r="Z1" t="s">
        <v>46</v>
      </c>
    </row>
    <row r="2" spans="1:29" s="3" customFormat="1" x14ac:dyDescent="0.25">
      <c r="A2" s="2">
        <v>42172</v>
      </c>
      <c r="B2" s="3">
        <v>5000</v>
      </c>
      <c r="C2" s="3" t="s">
        <v>17</v>
      </c>
      <c r="D2" s="3" t="s">
        <v>28</v>
      </c>
      <c r="E2" s="3">
        <v>398.6</v>
      </c>
      <c r="F2" s="3">
        <v>13.8</v>
      </c>
      <c r="G2" s="3">
        <v>0.01</v>
      </c>
      <c r="H2" s="3">
        <f>0.00002</f>
        <v>2.0000000000000002E-5</v>
      </c>
      <c r="I2" s="3">
        <v>12.04</v>
      </c>
      <c r="J2" s="3">
        <f>SQRT((0.02/10)^2+(13.8/398.6)^2)</f>
        <v>3.4678894110282708E-2</v>
      </c>
      <c r="K2" s="2">
        <v>42170</v>
      </c>
      <c r="L2" s="3">
        <v>12669</v>
      </c>
      <c r="M2" s="3">
        <v>0.2</v>
      </c>
      <c r="N2" s="3">
        <f t="shared" ref="N2:N41" si="0">L2*M2</f>
        <v>2533.8000000000002</v>
      </c>
      <c r="O2" s="3">
        <v>100</v>
      </c>
      <c r="P2" s="3">
        <f t="shared" ref="P2:P8" si="1">0.5+0.02+0.01+0.008+0.5</f>
        <v>1.038</v>
      </c>
      <c r="Q2" s="3">
        <v>50.280898107733329</v>
      </c>
      <c r="R2" s="3">
        <v>2.2375009465880709</v>
      </c>
      <c r="S2" s="3">
        <v>-207.15771156666665</v>
      </c>
      <c r="T2" s="3">
        <v>18.583778831735415</v>
      </c>
      <c r="U2" s="3">
        <v>3.1</v>
      </c>
      <c r="V2" s="3">
        <v>0</v>
      </c>
      <c r="W2" s="3">
        <f t="shared" ref="W2:W14" si="2">S2/B2</f>
        <v>-4.1431542313333326E-2</v>
      </c>
      <c r="Z2" s="3" t="b">
        <v>0</v>
      </c>
    </row>
    <row r="3" spans="1:29" s="3" customFormat="1" x14ac:dyDescent="0.25">
      <c r="A3" s="2">
        <v>42172</v>
      </c>
      <c r="B3" s="3">
        <v>5000</v>
      </c>
      <c r="C3" s="3" t="s">
        <v>19</v>
      </c>
      <c r="D3" s="3" t="s">
        <v>28</v>
      </c>
      <c r="E3" s="3">
        <v>398.6</v>
      </c>
      <c r="F3" s="3">
        <v>13.8</v>
      </c>
      <c r="G3" s="3">
        <v>0</v>
      </c>
      <c r="H3" s="3">
        <v>0</v>
      </c>
      <c r="I3" s="3">
        <v>0</v>
      </c>
      <c r="J3" s="3">
        <v>0</v>
      </c>
      <c r="K3" s="2">
        <v>42170</v>
      </c>
      <c r="L3" s="3">
        <v>12669</v>
      </c>
      <c r="M3" s="3">
        <v>0.2</v>
      </c>
      <c r="N3" s="3">
        <f t="shared" si="0"/>
        <v>2533.8000000000002</v>
      </c>
      <c r="O3" s="3">
        <v>100</v>
      </c>
      <c r="P3" s="3">
        <f t="shared" si="1"/>
        <v>1.038</v>
      </c>
      <c r="Q3" s="3">
        <v>51.939469399500005</v>
      </c>
      <c r="R3" s="3">
        <v>1.5119630238074662</v>
      </c>
      <c r="S3" s="3">
        <v>-220.93313459366667</v>
      </c>
      <c r="T3" s="3">
        <v>12.557753988481114</v>
      </c>
      <c r="U3" s="3">
        <v>3.0833333333333335</v>
      </c>
      <c r="V3" s="3">
        <v>1.2472191289246563E-2</v>
      </c>
      <c r="W3" s="3">
        <f t="shared" si="2"/>
        <v>-4.4186626918733332E-2</v>
      </c>
      <c r="Z3" s="3" t="b">
        <v>0</v>
      </c>
    </row>
    <row r="4" spans="1:29" s="3" customFormat="1" x14ac:dyDescent="0.25">
      <c r="A4" s="2">
        <v>42172</v>
      </c>
      <c r="B4" s="3">
        <v>10000</v>
      </c>
      <c r="C4" s="3" t="s">
        <v>17</v>
      </c>
      <c r="D4" s="3" t="s">
        <v>28</v>
      </c>
      <c r="E4" s="3">
        <v>398.6</v>
      </c>
      <c r="F4" s="3">
        <v>13.8</v>
      </c>
      <c r="G4" s="3">
        <v>0.01</v>
      </c>
      <c r="H4" s="3">
        <f>0.00002</f>
        <v>2.0000000000000002E-5</v>
      </c>
      <c r="I4" s="3">
        <v>12.04</v>
      </c>
      <c r="J4" s="3">
        <f>SQRT((0.02/10)^2+(13.8/398.6)^2)</f>
        <v>3.4678894110282708E-2</v>
      </c>
      <c r="K4" s="2">
        <v>42170</v>
      </c>
      <c r="L4" s="3">
        <v>12669</v>
      </c>
      <c r="M4" s="3">
        <v>0.4</v>
      </c>
      <c r="N4" s="3">
        <f t="shared" si="0"/>
        <v>5067.6000000000004</v>
      </c>
      <c r="O4" s="3">
        <v>100</v>
      </c>
      <c r="P4" s="3">
        <f t="shared" si="1"/>
        <v>1.038</v>
      </c>
      <c r="Q4" s="3">
        <v>66.953904251099999</v>
      </c>
      <c r="R4" s="3">
        <v>5.1206239040793005</v>
      </c>
      <c r="S4" s="3">
        <v>-135.18185127390001</v>
      </c>
      <c r="T4" s="3">
        <v>42.529833231243735</v>
      </c>
      <c r="U4" s="3">
        <v>3.11</v>
      </c>
      <c r="V4" s="3">
        <v>8.1649658092772682E-3</v>
      </c>
      <c r="W4" s="3">
        <f t="shared" si="2"/>
        <v>-1.3518185127390002E-2</v>
      </c>
      <c r="Z4" s="3" t="b">
        <v>0</v>
      </c>
    </row>
    <row r="5" spans="1:29" s="3" customFormat="1" x14ac:dyDescent="0.25">
      <c r="A5" s="2">
        <v>42172</v>
      </c>
      <c r="B5" s="3">
        <v>25000</v>
      </c>
      <c r="C5" s="3" t="s">
        <v>17</v>
      </c>
      <c r="D5" s="3" t="s">
        <v>28</v>
      </c>
      <c r="E5" s="3">
        <v>398.6</v>
      </c>
      <c r="F5" s="3">
        <v>13.8</v>
      </c>
      <c r="G5" s="3">
        <v>0.01</v>
      </c>
      <c r="H5" s="3">
        <f>0.00002</f>
        <v>2.0000000000000002E-5</v>
      </c>
      <c r="I5" s="3">
        <v>12.04</v>
      </c>
      <c r="J5" s="3">
        <f>SQRT((0.02/10)^2+(13.8/398.6)^2)</f>
        <v>3.4678894110282708E-2</v>
      </c>
      <c r="K5" s="2">
        <v>42170</v>
      </c>
      <c r="L5" s="3">
        <v>12669</v>
      </c>
      <c r="M5" s="3">
        <v>1</v>
      </c>
      <c r="N5" s="3">
        <f t="shared" si="0"/>
        <v>12669</v>
      </c>
      <c r="O5" s="3">
        <v>100</v>
      </c>
      <c r="P5" s="3">
        <f t="shared" si="1"/>
        <v>1.038</v>
      </c>
      <c r="Q5" s="3">
        <v>121.16299752366666</v>
      </c>
      <c r="R5" s="3">
        <v>7.8578450819095629</v>
      </c>
      <c r="S5" s="3">
        <v>45.944660905966664</v>
      </c>
      <c r="T5" s="3">
        <v>65.264086397303302</v>
      </c>
      <c r="U5" s="3">
        <v>3.0833333333333335</v>
      </c>
      <c r="V5" s="3">
        <v>9.4280904158206419E-3</v>
      </c>
      <c r="W5" s="3">
        <f t="shared" si="2"/>
        <v>1.8377864362386666E-3</v>
      </c>
      <c r="Z5" s="3" t="b">
        <v>0</v>
      </c>
    </row>
    <row r="6" spans="1:29" s="3" customFormat="1" x14ac:dyDescent="0.25">
      <c r="A6" s="2">
        <v>42172</v>
      </c>
      <c r="B6" s="3">
        <v>50000</v>
      </c>
      <c r="C6" s="3" t="s">
        <v>17</v>
      </c>
      <c r="D6" s="3" t="s">
        <v>28</v>
      </c>
      <c r="E6" s="3">
        <v>398.6</v>
      </c>
      <c r="F6" s="3">
        <v>13.8</v>
      </c>
      <c r="G6" s="3">
        <v>0.01</v>
      </c>
      <c r="H6" s="3">
        <f>0.00002</f>
        <v>2.0000000000000002E-5</v>
      </c>
      <c r="I6" s="3">
        <v>12.04</v>
      </c>
      <c r="J6" s="3">
        <f>SQRT((0.02/10)^2+(13.8/398.6)^2)</f>
        <v>3.4678894110282708E-2</v>
      </c>
      <c r="K6" s="2">
        <v>42170</v>
      </c>
      <c r="L6" s="3">
        <v>12669</v>
      </c>
      <c r="M6" s="3">
        <v>2</v>
      </c>
      <c r="N6" s="3">
        <f t="shared" si="0"/>
        <v>25338</v>
      </c>
      <c r="O6" s="3">
        <v>100</v>
      </c>
      <c r="P6" s="3">
        <f t="shared" si="1"/>
        <v>1.038</v>
      </c>
      <c r="Q6" s="3">
        <v>229.58118406833333</v>
      </c>
      <c r="R6" s="3">
        <v>2.1167482337246932</v>
      </c>
      <c r="S6" s="3">
        <v>197.74257243933334</v>
      </c>
      <c r="T6" s="3">
        <v>17.580855583782824</v>
      </c>
      <c r="U6" s="3">
        <v>3.1033333333333335</v>
      </c>
      <c r="V6" s="3">
        <v>4.714045207910216E-3</v>
      </c>
      <c r="W6" s="3">
        <f t="shared" si="2"/>
        <v>3.9548514487866672E-3</v>
      </c>
      <c r="Z6" s="3" t="b">
        <v>0</v>
      </c>
    </row>
    <row r="7" spans="1:29" s="3" customFormat="1" x14ac:dyDescent="0.25">
      <c r="A7" s="2">
        <v>42172</v>
      </c>
      <c r="B7" s="3">
        <v>75000</v>
      </c>
      <c r="C7" s="3" t="s">
        <v>17</v>
      </c>
      <c r="D7" s="3" t="s">
        <v>28</v>
      </c>
      <c r="E7" s="3">
        <v>398.6</v>
      </c>
      <c r="F7" s="3">
        <v>13.8</v>
      </c>
      <c r="G7" s="3">
        <v>0.01</v>
      </c>
      <c r="H7" s="3">
        <f>0.00002</f>
        <v>2.0000000000000002E-5</v>
      </c>
      <c r="I7" s="3">
        <v>12.04</v>
      </c>
      <c r="J7" s="3">
        <f>SQRT((0.02/10)^2+(13.8/398.6)^2)</f>
        <v>3.4678894110282708E-2</v>
      </c>
      <c r="K7" s="2">
        <v>42170</v>
      </c>
      <c r="L7" s="3">
        <v>12669</v>
      </c>
      <c r="M7" s="3">
        <v>3</v>
      </c>
      <c r="N7" s="3">
        <f t="shared" si="0"/>
        <v>38007</v>
      </c>
      <c r="O7" s="3">
        <v>100</v>
      </c>
      <c r="P7" s="3">
        <f t="shared" si="1"/>
        <v>1.038</v>
      </c>
      <c r="Q7" s="3">
        <v>295.57486283499998</v>
      </c>
      <c r="R7" s="3">
        <v>10.298011122467676</v>
      </c>
      <c r="S7" s="3">
        <v>701.90130455366671</v>
      </c>
      <c r="T7" s="3">
        <v>85.531119617989248</v>
      </c>
      <c r="U7" s="3">
        <v>3.1799999999999997</v>
      </c>
      <c r="V7" s="3">
        <v>2.1602468994692817E-2</v>
      </c>
      <c r="W7" s="3">
        <f t="shared" si="2"/>
        <v>9.3586840607155566E-3</v>
      </c>
      <c r="Z7" s="3" t="b">
        <v>0</v>
      </c>
    </row>
    <row r="8" spans="1:29" s="3" customFormat="1" x14ac:dyDescent="0.25">
      <c r="A8" s="2">
        <v>42172</v>
      </c>
      <c r="B8" s="3">
        <v>100000</v>
      </c>
      <c r="C8" s="3" t="s">
        <v>17</v>
      </c>
      <c r="D8" s="3" t="s">
        <v>28</v>
      </c>
      <c r="E8" s="3">
        <v>398.6</v>
      </c>
      <c r="F8" s="3">
        <v>13.8</v>
      </c>
      <c r="G8" s="3">
        <v>0.01</v>
      </c>
      <c r="H8" s="3">
        <f>0.00002</f>
        <v>2.0000000000000002E-5</v>
      </c>
      <c r="I8" s="3">
        <v>12.04</v>
      </c>
      <c r="J8" s="3">
        <f>SQRT((0.02/10)^2+(13.8/398.6)^2)</f>
        <v>3.4678894110282708E-2</v>
      </c>
      <c r="K8" s="2">
        <v>42170</v>
      </c>
      <c r="L8" s="3">
        <v>12669</v>
      </c>
      <c r="M8" s="3">
        <v>4</v>
      </c>
      <c r="N8" s="3">
        <f t="shared" si="0"/>
        <v>50676</v>
      </c>
      <c r="O8" s="3">
        <v>100</v>
      </c>
      <c r="P8" s="3">
        <f t="shared" si="1"/>
        <v>1.038</v>
      </c>
      <c r="Q8" s="3">
        <v>428.34785940033333</v>
      </c>
      <c r="R8" s="3">
        <v>6.5330100948558778</v>
      </c>
      <c r="S8" s="3">
        <v>651.41800427166663</v>
      </c>
      <c r="T8" s="3">
        <v>54.260542278846629</v>
      </c>
      <c r="U8" s="3">
        <v>3.2433333333333336</v>
      </c>
      <c r="V8" s="3">
        <v>4.714045207910216E-3</v>
      </c>
      <c r="W8" s="3">
        <f t="shared" si="2"/>
        <v>6.5141800427166666E-3</v>
      </c>
      <c r="Z8" s="3" t="b">
        <v>0</v>
      </c>
    </row>
    <row r="9" spans="1:29" s="3" customFormat="1" x14ac:dyDescent="0.25">
      <c r="A9" s="2">
        <v>42181</v>
      </c>
      <c r="B9" s="3">
        <v>5000</v>
      </c>
      <c r="C9" s="3" t="s">
        <v>16</v>
      </c>
      <c r="D9" s="3" t="s">
        <v>28</v>
      </c>
      <c r="E9" s="3">
        <v>3650</v>
      </c>
      <c r="F9" s="3">
        <v>455</v>
      </c>
      <c r="G9" s="3">
        <v>1.1000000000000001E-3</v>
      </c>
      <c r="H9" s="3">
        <v>4.0000000000000003E-5</v>
      </c>
      <c r="I9" s="3">
        <v>12.127700000000001</v>
      </c>
      <c r="J9" s="3">
        <f>SQRT((0.004/1.1)^2+(455/3650)^2)</f>
        <v>0.12471056083961764</v>
      </c>
      <c r="K9" s="2">
        <v>42170</v>
      </c>
      <c r="L9" s="3">
        <v>12669</v>
      </c>
      <c r="M9" s="3">
        <v>0.2</v>
      </c>
      <c r="N9" s="3">
        <f t="shared" si="0"/>
        <v>2533.8000000000002</v>
      </c>
      <c r="O9" s="3">
        <v>100</v>
      </c>
      <c r="P9" s="3">
        <f t="shared" ref="P9:P15" si="3">0.13</f>
        <v>0.13</v>
      </c>
      <c r="Q9" s="3">
        <v>32.822252931433333</v>
      </c>
      <c r="R9" s="3">
        <v>1.7436808213102588</v>
      </c>
      <c r="S9" s="3">
        <v>-47.63396422693333</v>
      </c>
      <c r="T9" s="3">
        <v>14.377703923097799</v>
      </c>
      <c r="U9" s="3">
        <v>7.0933333333333337</v>
      </c>
      <c r="V9" s="3">
        <v>0.33620430296671328</v>
      </c>
      <c r="W9" s="3">
        <f t="shared" si="2"/>
        <v>-9.5267928453866661E-3</v>
      </c>
      <c r="Z9" s="3" t="b">
        <v>0</v>
      </c>
      <c r="AA9" s="4"/>
      <c r="AB9" s="4"/>
      <c r="AC9" s="4"/>
    </row>
    <row r="10" spans="1:29" s="3" customFormat="1" x14ac:dyDescent="0.25">
      <c r="A10" s="2">
        <v>42181</v>
      </c>
      <c r="B10" s="3">
        <v>10000</v>
      </c>
      <c r="C10" s="3" t="s">
        <v>16</v>
      </c>
      <c r="D10" s="3" t="s">
        <v>28</v>
      </c>
      <c r="E10" s="3">
        <v>3650</v>
      </c>
      <c r="F10" s="3">
        <v>455</v>
      </c>
      <c r="G10" s="3">
        <v>1.1000000000000001E-3</v>
      </c>
      <c r="H10" s="3">
        <v>4.0000000000000003E-5</v>
      </c>
      <c r="I10" s="3">
        <v>12.127700000000001</v>
      </c>
      <c r="J10" s="3">
        <f>SQRT((0.004/1.1)^2+(455/3650)^2)</f>
        <v>0.12471056083961764</v>
      </c>
      <c r="K10" s="2">
        <v>42170</v>
      </c>
      <c r="L10" s="3">
        <v>12669</v>
      </c>
      <c r="M10" s="3">
        <v>0.4</v>
      </c>
      <c r="N10" s="3">
        <f t="shared" si="0"/>
        <v>5067.6000000000004</v>
      </c>
      <c r="O10" s="3">
        <v>100</v>
      </c>
      <c r="P10" s="3">
        <f t="shared" si="3"/>
        <v>0.13</v>
      </c>
      <c r="Q10" s="3">
        <v>38.321726161966666</v>
      </c>
      <c r="R10" s="3">
        <v>8.0985346452157838</v>
      </c>
      <c r="S10" s="3">
        <v>130.02493024560002</v>
      </c>
      <c r="T10" s="3">
        <v>66.777320663363184</v>
      </c>
      <c r="U10" s="3">
        <v>6.3666666666666663</v>
      </c>
      <c r="V10" s="3">
        <v>0.17473789896108194</v>
      </c>
      <c r="W10" s="3">
        <f t="shared" si="2"/>
        <v>1.3002493024560002E-2</v>
      </c>
      <c r="Z10" s="3" t="b">
        <v>0</v>
      </c>
    </row>
    <row r="11" spans="1:29" s="3" customFormat="1" x14ac:dyDescent="0.25">
      <c r="A11" s="2">
        <v>42181</v>
      </c>
      <c r="B11" s="3">
        <v>10000</v>
      </c>
      <c r="C11" s="3" t="s">
        <v>16</v>
      </c>
      <c r="D11" s="3" t="s">
        <v>28</v>
      </c>
      <c r="E11" s="3">
        <v>3650</v>
      </c>
      <c r="F11" s="3">
        <v>455</v>
      </c>
      <c r="G11" s="3">
        <v>0</v>
      </c>
      <c r="H11" s="3">
        <v>0</v>
      </c>
      <c r="I11" s="3">
        <v>0</v>
      </c>
      <c r="J11" s="3">
        <v>0</v>
      </c>
      <c r="K11" s="2">
        <v>42170</v>
      </c>
      <c r="L11" s="3">
        <v>12669</v>
      </c>
      <c r="M11" s="3">
        <v>0.4</v>
      </c>
      <c r="N11" s="3">
        <f t="shared" si="0"/>
        <v>5067.6000000000004</v>
      </c>
      <c r="O11" s="3">
        <v>100</v>
      </c>
      <c r="P11" s="3">
        <f t="shared" si="3"/>
        <v>0.13</v>
      </c>
      <c r="Q11" s="3">
        <v>47.051048750099994</v>
      </c>
      <c r="R11" s="3">
        <v>4.400305967863412</v>
      </c>
      <c r="S11" s="3">
        <v>58.046381140533335</v>
      </c>
      <c r="T11" s="3">
        <v>36.283186465717996</v>
      </c>
      <c r="U11" s="3">
        <v>6.043333333333333</v>
      </c>
      <c r="V11" s="3">
        <v>0.10503967504392485</v>
      </c>
      <c r="W11" s="3">
        <f t="shared" si="2"/>
        <v>5.8046381140533336E-3</v>
      </c>
      <c r="Z11" s="3" t="b">
        <v>0</v>
      </c>
    </row>
    <row r="12" spans="1:29" s="3" customFormat="1" x14ac:dyDescent="0.25">
      <c r="A12" s="2">
        <v>42181</v>
      </c>
      <c r="B12" s="3">
        <v>25000</v>
      </c>
      <c r="C12" s="3" t="s">
        <v>16</v>
      </c>
      <c r="D12" s="3" t="s">
        <v>28</v>
      </c>
      <c r="E12" s="3">
        <v>3650</v>
      </c>
      <c r="F12" s="3">
        <v>455</v>
      </c>
      <c r="G12" s="3">
        <v>1.1000000000000001E-3</v>
      </c>
      <c r="H12" s="3">
        <v>4.0000000000000003E-5</v>
      </c>
      <c r="I12" s="3">
        <v>12.127700000000001</v>
      </c>
      <c r="J12" s="3">
        <f>SQRT((0.004/1.1)^2+(455/3650)^2)</f>
        <v>0.12471056083961764</v>
      </c>
      <c r="K12" s="2">
        <v>42170</v>
      </c>
      <c r="L12" s="3">
        <v>12669</v>
      </c>
      <c r="M12" s="3">
        <v>1</v>
      </c>
      <c r="N12" s="3">
        <f t="shared" si="0"/>
        <v>12669</v>
      </c>
      <c r="O12" s="3">
        <v>100</v>
      </c>
      <c r="P12" s="3">
        <f t="shared" si="3"/>
        <v>0.13</v>
      </c>
      <c r="Q12" s="3">
        <v>77.167211679233333</v>
      </c>
      <c r="R12" s="3">
        <v>2.6361976109130776</v>
      </c>
      <c r="S12" s="3">
        <v>478.73652795433333</v>
      </c>
      <c r="T12" s="3">
        <v>21.737045145363478</v>
      </c>
      <c r="U12" s="3">
        <v>6.1533333333333333</v>
      </c>
      <c r="V12" s="3">
        <v>5.8594652770822916E-2</v>
      </c>
      <c r="W12" s="3">
        <f t="shared" si="2"/>
        <v>1.9149461118173332E-2</v>
      </c>
      <c r="Z12" s="3" t="b">
        <v>0</v>
      </c>
    </row>
    <row r="13" spans="1:29" s="3" customFormat="1" x14ac:dyDescent="0.25">
      <c r="A13" s="2">
        <v>42181</v>
      </c>
      <c r="B13" s="3">
        <v>50000</v>
      </c>
      <c r="C13" s="3" t="s">
        <v>16</v>
      </c>
      <c r="D13" s="3" t="s">
        <v>28</v>
      </c>
      <c r="E13" s="3">
        <v>3650</v>
      </c>
      <c r="F13" s="3">
        <v>455</v>
      </c>
      <c r="G13" s="3">
        <v>1.1000000000000001E-3</v>
      </c>
      <c r="H13" s="3">
        <v>4.0000000000000003E-5</v>
      </c>
      <c r="I13" s="3">
        <v>12.127700000000001</v>
      </c>
      <c r="J13" s="3">
        <f>SQRT((0.004/1.1)^2+(455/3650)^2)</f>
        <v>0.12471056083961764</v>
      </c>
      <c r="K13" s="2">
        <v>42170</v>
      </c>
      <c r="L13" s="3">
        <v>12669</v>
      </c>
      <c r="M13" s="3">
        <v>2</v>
      </c>
      <c r="N13" s="3">
        <f t="shared" si="0"/>
        <v>25338</v>
      </c>
      <c r="O13" s="3">
        <v>100</v>
      </c>
      <c r="P13" s="3">
        <f t="shared" si="3"/>
        <v>0.13</v>
      </c>
      <c r="Q13" s="3">
        <v>126.051418173</v>
      </c>
      <c r="R13" s="3">
        <v>9.4470469737969118</v>
      </c>
      <c r="S13" s="3">
        <v>1190.6835550100002</v>
      </c>
      <c r="T13" s="3">
        <v>77.896621144150558</v>
      </c>
      <c r="U13" s="3">
        <v>5.9533333333333331</v>
      </c>
      <c r="V13" s="3">
        <v>5.6862407030773408E-2</v>
      </c>
      <c r="W13" s="3">
        <f t="shared" si="2"/>
        <v>2.3813671100200003E-2</v>
      </c>
      <c r="Z13" s="3" t="b">
        <v>0</v>
      </c>
    </row>
    <row r="14" spans="1:29" s="3" customFormat="1" x14ac:dyDescent="0.25">
      <c r="A14" s="2">
        <v>42181</v>
      </c>
      <c r="B14" s="3">
        <v>75000</v>
      </c>
      <c r="C14" s="3" t="s">
        <v>16</v>
      </c>
      <c r="D14" s="3" t="s">
        <v>28</v>
      </c>
      <c r="E14" s="3">
        <v>3650</v>
      </c>
      <c r="F14" s="3">
        <v>455</v>
      </c>
      <c r="G14" s="3">
        <v>1.1000000000000001E-3</v>
      </c>
      <c r="H14" s="3">
        <v>4.0000000000000003E-5</v>
      </c>
      <c r="I14" s="3">
        <v>12.127700000000001</v>
      </c>
      <c r="J14" s="3">
        <f>SQRT((0.004/1.1)^2+(455/3650)^2)</f>
        <v>0.12471056083961764</v>
      </c>
      <c r="K14" s="2">
        <v>42170</v>
      </c>
      <c r="L14" s="3">
        <v>12669</v>
      </c>
      <c r="M14" s="3">
        <v>3</v>
      </c>
      <c r="N14" s="3">
        <f t="shared" si="0"/>
        <v>38007</v>
      </c>
      <c r="O14" s="3">
        <v>100</v>
      </c>
      <c r="P14" s="3">
        <f t="shared" si="3"/>
        <v>0.13</v>
      </c>
      <c r="Q14" s="3">
        <v>182.61742854400003</v>
      </c>
      <c r="R14" s="3">
        <v>9.9249749056470211</v>
      </c>
      <c r="S14" s="3">
        <v>1839.2894588533334</v>
      </c>
      <c r="T14" s="3">
        <v>81.837426254052545</v>
      </c>
      <c r="U14" s="3">
        <v>5.8500000000000005</v>
      </c>
      <c r="V14" s="3">
        <v>2.6457513110645845E-2</v>
      </c>
      <c r="W14" s="3">
        <f t="shared" si="2"/>
        <v>2.4523859451377777E-2</v>
      </c>
      <c r="Z14" s="3" t="b">
        <v>0</v>
      </c>
    </row>
    <row r="15" spans="1:29" s="3" customFormat="1" x14ac:dyDescent="0.25">
      <c r="A15" s="2">
        <v>42181</v>
      </c>
      <c r="B15" s="3">
        <v>100000</v>
      </c>
      <c r="C15" s="3" t="s">
        <v>16</v>
      </c>
      <c r="D15" s="3" t="s">
        <v>28</v>
      </c>
      <c r="E15" s="3">
        <v>3650</v>
      </c>
      <c r="F15" s="3">
        <v>455</v>
      </c>
      <c r="G15" s="3">
        <v>1.1000000000000001E-3</v>
      </c>
      <c r="H15" s="3">
        <v>4.0000000000000003E-5</v>
      </c>
      <c r="I15" s="3">
        <v>12.127700000000001</v>
      </c>
      <c r="J15" s="3">
        <f>SQRT((0.004/1.1)^2+(455/3650)^2)</f>
        <v>0.12471056083961764</v>
      </c>
      <c r="K15" s="2">
        <v>42170</v>
      </c>
      <c r="L15" s="3">
        <v>12669</v>
      </c>
      <c r="M15" s="3">
        <v>4</v>
      </c>
      <c r="N15" s="3">
        <f t="shared" si="0"/>
        <v>50676</v>
      </c>
      <c r="O15" s="3">
        <v>100</v>
      </c>
      <c r="P15" s="3">
        <f t="shared" si="3"/>
        <v>0.13</v>
      </c>
      <c r="Q15" s="3">
        <v>260.48298603066661</v>
      </c>
      <c r="R15" s="3">
        <v>11.630327786080345</v>
      </c>
      <c r="S15" s="3">
        <v>2312.2677028800003</v>
      </c>
      <c r="T15" s="3">
        <v>95.899093106637068</v>
      </c>
      <c r="U15" s="3">
        <v>5.7466666666666661</v>
      </c>
      <c r="V15" s="3">
        <v>5.5075705472860871E-2</v>
      </c>
      <c r="W15" s="3">
        <f>S15*I15/N15</f>
        <v>0.55336824177555022</v>
      </c>
      <c r="Z15" s="3" t="b">
        <v>0</v>
      </c>
    </row>
    <row r="16" spans="1:29" s="3" customFormat="1" x14ac:dyDescent="0.25">
      <c r="A16" s="2">
        <v>42199</v>
      </c>
      <c r="B16" s="3">
        <v>9135</v>
      </c>
      <c r="C16" s="3" t="s">
        <v>8</v>
      </c>
      <c r="D16" s="3" t="s">
        <v>28</v>
      </c>
      <c r="E16" s="3">
        <v>1767</v>
      </c>
      <c r="F16" s="3">
        <v>18.2</v>
      </c>
      <c r="G16" s="3">
        <v>2.264E-2</v>
      </c>
      <c r="H16" s="3">
        <v>4.6000000000000001E-4</v>
      </c>
      <c r="I16" s="3">
        <v>120.83839999999999</v>
      </c>
      <c r="J16" s="3">
        <f>SQRT((0.046/22.64)^2+(18.2/1767)^2)</f>
        <v>1.0498431027579474E-2</v>
      </c>
      <c r="K16" s="2">
        <v>42192</v>
      </c>
      <c r="L16" s="3">
        <v>4484</v>
      </c>
      <c r="M16" s="3">
        <v>0.2</v>
      </c>
      <c r="N16" s="3">
        <f t="shared" si="0"/>
        <v>896.80000000000007</v>
      </c>
      <c r="O16" s="3">
        <v>100</v>
      </c>
      <c r="P16" s="3">
        <f t="shared" ref="P16:P22" si="4">0.05+0.008+0.03+0.07+0.01+0.04+0.008</f>
        <v>0.21600000000000003</v>
      </c>
      <c r="Q16" s="3">
        <v>40.294553066900001</v>
      </c>
      <c r="R16" s="3">
        <v>0.87850126110483873</v>
      </c>
      <c r="S16" s="3">
        <v>-25.923521093866668</v>
      </c>
      <c r="T16" s="3">
        <v>0.72700519148236387</v>
      </c>
      <c r="U16" s="5">
        <v>3.0166666666666671</v>
      </c>
      <c r="V16" s="5">
        <v>6.6583281184793869E-2</v>
      </c>
      <c r="W16" s="3">
        <f t="shared" ref="W16:W57" si="5">S16*I16/N16</f>
        <v>-3.4930383712634896</v>
      </c>
      <c r="Z16" s="3" t="b">
        <v>0</v>
      </c>
    </row>
    <row r="17" spans="1:26" s="3" customFormat="1" x14ac:dyDescent="0.25">
      <c r="A17" s="2">
        <v>42199</v>
      </c>
      <c r="B17" s="3">
        <v>18270</v>
      </c>
      <c r="C17" s="3" t="s">
        <v>8</v>
      </c>
      <c r="D17" s="3" t="s">
        <v>28</v>
      </c>
      <c r="E17" s="3">
        <v>1767</v>
      </c>
      <c r="F17" s="3">
        <v>18.2</v>
      </c>
      <c r="G17" s="3">
        <v>2.264E-2</v>
      </c>
      <c r="H17" s="3">
        <v>4.6000000000000001E-4</v>
      </c>
      <c r="I17" s="3">
        <v>120.83839999999999</v>
      </c>
      <c r="J17" s="3">
        <f>SQRT((0.046/22.64)^2+(18.2/1767)^2)</f>
        <v>1.0498431027579474E-2</v>
      </c>
      <c r="K17" s="2">
        <v>42192</v>
      </c>
      <c r="L17" s="3">
        <v>4484</v>
      </c>
      <c r="M17" s="3">
        <v>0.4</v>
      </c>
      <c r="N17" s="3">
        <f t="shared" si="0"/>
        <v>1793.6000000000001</v>
      </c>
      <c r="O17" s="3">
        <v>100</v>
      </c>
      <c r="P17" s="3">
        <f t="shared" si="4"/>
        <v>0.21600000000000003</v>
      </c>
      <c r="Q17" s="3">
        <v>47.335624666499996</v>
      </c>
      <c r="R17" s="3">
        <v>2.2891659448026109</v>
      </c>
      <c r="S17" s="3">
        <v>-24.3280678496</v>
      </c>
      <c r="T17" s="3">
        <v>1.8944031154203449</v>
      </c>
      <c r="U17" s="5">
        <v>3.0033333333333334</v>
      </c>
      <c r="V17" s="5">
        <v>1.5275252316519385E-2</v>
      </c>
      <c r="W17" s="3">
        <f t="shared" si="5"/>
        <v>-1.6390303267379038</v>
      </c>
      <c r="Z17" s="3" t="b">
        <v>0</v>
      </c>
    </row>
    <row r="18" spans="1:26" s="3" customFormat="1" x14ac:dyDescent="0.25">
      <c r="A18" s="2">
        <v>42199</v>
      </c>
      <c r="B18" s="3">
        <v>18270</v>
      </c>
      <c r="C18" s="3" t="s">
        <v>8</v>
      </c>
      <c r="D18" s="3" t="s">
        <v>28</v>
      </c>
      <c r="E18" s="3">
        <v>1767</v>
      </c>
      <c r="F18" s="3">
        <v>18.2</v>
      </c>
      <c r="G18" s="3">
        <v>2.264E-2</v>
      </c>
      <c r="H18" s="3">
        <v>4.6000000000000001E-4</v>
      </c>
      <c r="I18" s="3">
        <v>0</v>
      </c>
      <c r="J18" s="3">
        <v>0</v>
      </c>
      <c r="K18" s="2">
        <v>42192</v>
      </c>
      <c r="L18" s="3">
        <v>4484</v>
      </c>
      <c r="M18" s="3">
        <v>0.4</v>
      </c>
      <c r="N18" s="3">
        <f t="shared" si="0"/>
        <v>1793.6000000000001</v>
      </c>
      <c r="O18" s="3">
        <v>100</v>
      </c>
      <c r="P18" s="3">
        <f t="shared" si="4"/>
        <v>0.21600000000000003</v>
      </c>
      <c r="Q18" s="3">
        <v>53.238392600600001</v>
      </c>
      <c r="R18" s="3">
        <v>1.5204936453444791</v>
      </c>
      <c r="S18" s="3">
        <v>-29.212913349533334</v>
      </c>
      <c r="T18" s="3">
        <v>1.2582870653925342</v>
      </c>
      <c r="U18" s="5">
        <v>3.25</v>
      </c>
      <c r="V18" s="5">
        <v>4.3588989435406574E-2</v>
      </c>
      <c r="W18" s="3">
        <f t="shared" si="5"/>
        <v>0</v>
      </c>
      <c r="Z18" s="3" t="b">
        <v>0</v>
      </c>
    </row>
    <row r="19" spans="1:26" s="3" customFormat="1" x14ac:dyDescent="0.25">
      <c r="A19" s="2">
        <v>42199</v>
      </c>
      <c r="B19" s="3">
        <v>45675</v>
      </c>
      <c r="C19" s="3" t="s">
        <v>9</v>
      </c>
      <c r="D19" s="3" t="s">
        <v>28</v>
      </c>
      <c r="E19" s="3">
        <v>1787</v>
      </c>
      <c r="F19" s="3">
        <v>43.2</v>
      </c>
      <c r="G19" s="3">
        <v>2.2360000000000001E-2</v>
      </c>
      <c r="H19" s="3">
        <v>4.8000000000000001E-4</v>
      </c>
      <c r="I19" s="3">
        <v>120.6947</v>
      </c>
      <c r="J19" s="3">
        <f>SQRT((0.048/22.36)^2+(43.2/1789)^2)</f>
        <v>2.4242799825728297E-2</v>
      </c>
      <c r="K19" s="2">
        <v>42192</v>
      </c>
      <c r="L19" s="3">
        <v>4484</v>
      </c>
      <c r="M19" s="3">
        <v>1</v>
      </c>
      <c r="N19" s="3">
        <f t="shared" si="0"/>
        <v>4484</v>
      </c>
      <c r="O19" s="3">
        <v>100</v>
      </c>
      <c r="P19" s="3">
        <f t="shared" si="4"/>
        <v>0.21600000000000003</v>
      </c>
      <c r="Q19" s="3">
        <v>142.04877474809999</v>
      </c>
      <c r="R19" s="3">
        <v>56.972994432476959</v>
      </c>
      <c r="S19" s="3">
        <v>-80.68126057613334</v>
      </c>
      <c r="T19" s="3">
        <v>47.288811393889809</v>
      </c>
      <c r="U19" s="3">
        <v>3.0399999999999996</v>
      </c>
      <c r="V19" s="3">
        <v>3.605551275464005E-2</v>
      </c>
      <c r="W19" s="3">
        <f t="shared" si="5"/>
        <v>-2.1716771946606248</v>
      </c>
      <c r="Z19" s="3" t="b">
        <v>0</v>
      </c>
    </row>
    <row r="20" spans="1:26" s="3" customFormat="1" x14ac:dyDescent="0.25">
      <c r="A20" s="2">
        <v>42199</v>
      </c>
      <c r="B20" s="3">
        <v>91350</v>
      </c>
      <c r="C20" s="3" t="s">
        <v>9</v>
      </c>
      <c r="D20" s="3" t="s">
        <v>28</v>
      </c>
      <c r="E20" s="3">
        <v>1787</v>
      </c>
      <c r="F20" s="3">
        <v>43.2</v>
      </c>
      <c r="G20" s="3">
        <v>2.2360000000000001E-2</v>
      </c>
      <c r="H20" s="3">
        <v>4.8000000000000001E-4</v>
      </c>
      <c r="I20" s="3">
        <v>120.6947</v>
      </c>
      <c r="J20" s="3">
        <f>SQRT((0.048/22.36)^2+(43.2/1789)^2)</f>
        <v>2.4242799825728297E-2</v>
      </c>
      <c r="K20" s="2">
        <v>42192</v>
      </c>
      <c r="L20" s="3">
        <v>4484</v>
      </c>
      <c r="M20" s="3">
        <v>2</v>
      </c>
      <c r="N20" s="3">
        <f t="shared" si="0"/>
        <v>8968</v>
      </c>
      <c r="O20" s="3">
        <v>100</v>
      </c>
      <c r="P20" s="3">
        <f t="shared" si="4"/>
        <v>0.21600000000000003</v>
      </c>
      <c r="Q20" s="3">
        <v>186.161533515</v>
      </c>
      <c r="R20" s="3">
        <v>7.4073227347918005</v>
      </c>
      <c r="S20" s="3">
        <v>-80.073520380333335</v>
      </c>
      <c r="T20" s="3">
        <v>6.1482372700336212</v>
      </c>
      <c r="U20" s="5">
        <v>3.0533333333333332</v>
      </c>
      <c r="V20" s="5">
        <v>0.13316656236958799</v>
      </c>
      <c r="W20" s="3">
        <f t="shared" si="5"/>
        <v>-1.0776594023470358</v>
      </c>
      <c r="Z20" s="3" t="b">
        <v>0</v>
      </c>
    </row>
    <row r="21" spans="1:26" s="3" customFormat="1" x14ac:dyDescent="0.25">
      <c r="A21" s="2">
        <v>42199</v>
      </c>
      <c r="B21" s="3">
        <v>137025</v>
      </c>
      <c r="C21" s="3" t="s">
        <v>9</v>
      </c>
      <c r="D21" s="3" t="s">
        <v>28</v>
      </c>
      <c r="E21" s="3">
        <v>1787</v>
      </c>
      <c r="F21" s="3">
        <v>43.2</v>
      </c>
      <c r="G21" s="3">
        <v>2.2360000000000001E-2</v>
      </c>
      <c r="H21" s="3">
        <v>4.8000000000000001E-4</v>
      </c>
      <c r="I21" s="3">
        <v>120.6947</v>
      </c>
      <c r="J21" s="3">
        <f>SQRT((0.048/22.36)^2+(43.2/1789)^2)</f>
        <v>2.4242799825728297E-2</v>
      </c>
      <c r="K21" s="2">
        <v>42192</v>
      </c>
      <c r="L21" s="3">
        <v>4484</v>
      </c>
      <c r="M21" s="3">
        <v>3</v>
      </c>
      <c r="N21" s="3">
        <f t="shared" si="0"/>
        <v>13452</v>
      </c>
      <c r="O21" s="3">
        <v>100</v>
      </c>
      <c r="P21" s="3">
        <f t="shared" si="4"/>
        <v>0.21600000000000003</v>
      </c>
      <c r="Q21" s="3">
        <v>260.84961757900004</v>
      </c>
      <c r="R21" s="3">
        <v>15.519930361607026</v>
      </c>
      <c r="S21" s="3">
        <v>-104.84395813873334</v>
      </c>
      <c r="T21" s="3">
        <v>12.881876177181447</v>
      </c>
      <c r="U21" s="5">
        <v>3.0566666666666666</v>
      </c>
      <c r="V21" s="5">
        <v>1.5275252316519383E-2</v>
      </c>
      <c r="W21" s="3">
        <f t="shared" si="5"/>
        <v>-0.94068614885273416</v>
      </c>
      <c r="Z21" s="3" t="b">
        <v>0</v>
      </c>
    </row>
    <row r="22" spans="1:26" s="3" customFormat="1" x14ac:dyDescent="0.25">
      <c r="A22" s="2">
        <v>42199</v>
      </c>
      <c r="B22" s="3">
        <v>182700</v>
      </c>
      <c r="C22" s="3" t="s">
        <v>9</v>
      </c>
      <c r="D22" s="3" t="s">
        <v>28</v>
      </c>
      <c r="E22" s="3">
        <v>1787</v>
      </c>
      <c r="F22" s="3">
        <v>43.2</v>
      </c>
      <c r="G22" s="3">
        <v>2.2360000000000001E-2</v>
      </c>
      <c r="H22" s="3">
        <v>4.8000000000000001E-4</v>
      </c>
      <c r="I22" s="3">
        <v>120.6947</v>
      </c>
      <c r="J22" s="3">
        <f>SQRT((0.048/22.36)^2+(43.2/1789)^2)</f>
        <v>2.4242799825728297E-2</v>
      </c>
      <c r="K22" s="2">
        <v>42192</v>
      </c>
      <c r="L22" s="3">
        <v>4484</v>
      </c>
      <c r="M22" s="3">
        <v>4</v>
      </c>
      <c r="N22" s="3">
        <f t="shared" si="0"/>
        <v>17936</v>
      </c>
      <c r="O22" s="3">
        <v>100</v>
      </c>
      <c r="P22" s="3">
        <f t="shared" si="4"/>
        <v>0.21600000000000003</v>
      </c>
      <c r="Q22" s="3">
        <v>342.25055071350005</v>
      </c>
      <c r="R22" s="3">
        <v>15.888177669075564</v>
      </c>
      <c r="S22" s="3">
        <v>-135.1862050805</v>
      </c>
      <c r="T22" s="3">
        <v>13.18752936699655</v>
      </c>
      <c r="U22" s="3">
        <v>2.98</v>
      </c>
      <c r="V22" s="3">
        <v>2.8284271247461926E-2</v>
      </c>
      <c r="W22" s="3">
        <f t="shared" si="5"/>
        <v>-0.90969326864013289</v>
      </c>
      <c r="Y22" s="3" t="s">
        <v>7</v>
      </c>
      <c r="Z22" s="3" t="b">
        <v>0</v>
      </c>
    </row>
    <row r="23" spans="1:26" s="3" customFormat="1" x14ac:dyDescent="0.25">
      <c r="A23" s="2">
        <v>42201</v>
      </c>
      <c r="B23" s="3">
        <v>9135</v>
      </c>
      <c r="C23" s="3" t="s">
        <v>10</v>
      </c>
      <c r="D23" s="3" t="s">
        <v>28</v>
      </c>
      <c r="E23" s="3">
        <v>2528</v>
      </c>
      <c r="F23" s="3">
        <v>72.7</v>
      </c>
      <c r="G23" s="3">
        <v>1.58E-3</v>
      </c>
      <c r="H23" s="3">
        <v>4.0000000000000003E-5</v>
      </c>
      <c r="I23" s="3">
        <v>12.064959999999999</v>
      </c>
      <c r="J23" s="3">
        <f>SQRT((0.004/1.58)^2+(72.7/2529)^2)</f>
        <v>2.8857803086707341E-2</v>
      </c>
      <c r="K23" s="2">
        <v>42192</v>
      </c>
      <c r="L23" s="3">
        <v>4484</v>
      </c>
      <c r="M23" s="3">
        <v>0.5</v>
      </c>
      <c r="N23" s="3">
        <f t="shared" si="0"/>
        <v>2242</v>
      </c>
      <c r="O23" s="3">
        <v>100</v>
      </c>
      <c r="P23" s="3">
        <f t="shared" ref="P23:P29" si="6">0.05+0.03+0.01+0.02+0.002</f>
        <v>0.112</v>
      </c>
      <c r="Q23" s="3">
        <v>55.041870647333333</v>
      </c>
      <c r="R23" s="3">
        <v>0.32468855885462783</v>
      </c>
      <c r="S23" s="3">
        <v>-270.36458501766668</v>
      </c>
      <c r="T23" s="3">
        <v>2.6911687050741175</v>
      </c>
      <c r="U23" s="3">
        <v>3.2300000000000004</v>
      </c>
      <c r="V23" s="3">
        <v>0.12124355652982138</v>
      </c>
      <c r="W23" s="3">
        <f t="shared" si="5"/>
        <v>-1.4549232398103245</v>
      </c>
      <c r="Z23" s="3" t="b">
        <v>0</v>
      </c>
    </row>
    <row r="24" spans="1:26" s="3" customFormat="1" x14ac:dyDescent="0.25">
      <c r="A24" s="2">
        <v>42201</v>
      </c>
      <c r="B24" s="3">
        <v>18270</v>
      </c>
      <c r="C24" s="3" t="s">
        <v>10</v>
      </c>
      <c r="D24" s="3" t="s">
        <v>28</v>
      </c>
      <c r="E24" s="3">
        <v>2528</v>
      </c>
      <c r="F24" s="3">
        <v>72.7</v>
      </c>
      <c r="G24" s="3">
        <v>1.58E-3</v>
      </c>
      <c r="H24" s="3">
        <v>4.0000000000000003E-5</v>
      </c>
      <c r="I24" s="3">
        <v>12.064959999999999</v>
      </c>
      <c r="J24" s="3">
        <f>SQRT((0.004/1.58)^2+(72.7/2529)^2)</f>
        <v>2.8857803086707341E-2</v>
      </c>
      <c r="K24" s="2">
        <v>42192</v>
      </c>
      <c r="L24" s="3">
        <v>4484</v>
      </c>
      <c r="M24" s="3">
        <v>1</v>
      </c>
      <c r="N24" s="3">
        <f t="shared" si="0"/>
        <v>4484</v>
      </c>
      <c r="O24" s="3">
        <v>100</v>
      </c>
      <c r="P24" s="3">
        <f t="shared" si="6"/>
        <v>0.112</v>
      </c>
      <c r="Q24" s="3">
        <v>81.893266928466659</v>
      </c>
      <c r="R24" s="3">
        <v>1.8883346810487718</v>
      </c>
      <c r="S24" s="3">
        <v>-307.07350116700002</v>
      </c>
      <c r="T24" s="3">
        <v>15.651389799965308</v>
      </c>
      <c r="U24" s="3">
        <v>3.1733333333333333</v>
      </c>
      <c r="V24" s="3">
        <v>2.0816659994661382E-2</v>
      </c>
      <c r="W24" s="3">
        <f t="shared" si="5"/>
        <v>-0.82623316428184845</v>
      </c>
      <c r="Z24" s="3" t="b">
        <v>0</v>
      </c>
    </row>
    <row r="25" spans="1:26" s="3" customFormat="1" x14ac:dyDescent="0.25">
      <c r="A25" s="2">
        <v>42201</v>
      </c>
      <c r="B25" s="3">
        <v>18270</v>
      </c>
      <c r="C25" s="3" t="s">
        <v>10</v>
      </c>
      <c r="D25" s="3" t="s">
        <v>28</v>
      </c>
      <c r="E25" s="3">
        <v>2528</v>
      </c>
      <c r="F25" s="3">
        <v>72.7</v>
      </c>
      <c r="G25" s="3">
        <v>0</v>
      </c>
      <c r="H25" s="3">
        <v>0</v>
      </c>
      <c r="I25" s="3">
        <v>0</v>
      </c>
      <c r="J25" s="3">
        <v>0</v>
      </c>
      <c r="K25" s="2">
        <v>42192</v>
      </c>
      <c r="L25" s="3">
        <v>4484</v>
      </c>
      <c r="M25" s="3">
        <v>1</v>
      </c>
      <c r="N25" s="3">
        <f t="shared" si="0"/>
        <v>4484</v>
      </c>
      <c r="O25" s="3">
        <v>100</v>
      </c>
      <c r="P25" s="3">
        <f t="shared" si="6"/>
        <v>0.112</v>
      </c>
      <c r="Q25" s="3">
        <v>83.335351020000004</v>
      </c>
      <c r="R25" s="3">
        <v>0.43858396257825966</v>
      </c>
      <c r="S25" s="3">
        <v>-319.02616001899997</v>
      </c>
      <c r="T25" s="3">
        <v>3.6351864037334161</v>
      </c>
      <c r="U25" s="3">
        <v>3.3066666666666666</v>
      </c>
      <c r="V25" s="3">
        <v>1.5275252316519385E-2</v>
      </c>
      <c r="W25" s="3">
        <f t="shared" si="5"/>
        <v>0</v>
      </c>
      <c r="Z25" s="3" t="b">
        <v>0</v>
      </c>
    </row>
    <row r="26" spans="1:26" s="3" customFormat="1" x14ac:dyDescent="0.25">
      <c r="A26" s="2">
        <v>42201</v>
      </c>
      <c r="B26" s="3">
        <v>45675</v>
      </c>
      <c r="C26" s="3" t="s">
        <v>10</v>
      </c>
      <c r="D26" s="3" t="s">
        <v>28</v>
      </c>
      <c r="E26" s="3">
        <v>2528</v>
      </c>
      <c r="F26" s="3">
        <v>72.7</v>
      </c>
      <c r="G26" s="3">
        <v>1.58E-3</v>
      </c>
      <c r="H26" s="3">
        <v>4.0000000000000003E-5</v>
      </c>
      <c r="I26" s="3">
        <v>12.064959999999999</v>
      </c>
      <c r="J26" s="3">
        <f t="shared" ref="J26:J31" si="7">SQRT((0.004/1.58)^2+(72.7/2529)^2)</f>
        <v>2.8857803086707341E-2</v>
      </c>
      <c r="K26" s="2">
        <v>42192</v>
      </c>
      <c r="L26" s="3">
        <v>4484</v>
      </c>
      <c r="M26" s="3">
        <v>2.5</v>
      </c>
      <c r="N26" s="3">
        <f t="shared" si="0"/>
        <v>11210</v>
      </c>
      <c r="O26" s="3">
        <v>100</v>
      </c>
      <c r="P26" s="3">
        <f t="shared" si="6"/>
        <v>0.112</v>
      </c>
      <c r="Q26" s="3">
        <v>163.70273236</v>
      </c>
      <c r="R26" s="3">
        <v>4.7338004891221246</v>
      </c>
      <c r="S26" s="3">
        <v>-427.60456161833332</v>
      </c>
      <c r="T26" s="3">
        <v>39.235924351483604</v>
      </c>
      <c r="U26" s="3">
        <v>3.1533333333333338</v>
      </c>
      <c r="V26" s="3">
        <v>1.1547005383792526E-2</v>
      </c>
      <c r="W26" s="3">
        <f t="shared" si="5"/>
        <v>-0.46021694306357952</v>
      </c>
      <c r="Z26" s="3" t="b">
        <v>0</v>
      </c>
    </row>
    <row r="27" spans="1:26" s="3" customFormat="1" x14ac:dyDescent="0.25">
      <c r="A27" s="2">
        <v>42201</v>
      </c>
      <c r="B27" s="3">
        <v>91350</v>
      </c>
      <c r="C27" s="3" t="s">
        <v>10</v>
      </c>
      <c r="D27" s="3" t="s">
        <v>28</v>
      </c>
      <c r="E27" s="3">
        <v>2528</v>
      </c>
      <c r="F27" s="3">
        <v>72.7</v>
      </c>
      <c r="G27" s="3">
        <v>1.58E-3</v>
      </c>
      <c r="H27" s="3">
        <v>4.0000000000000003E-5</v>
      </c>
      <c r="I27" s="3">
        <v>12.064959999999999</v>
      </c>
      <c r="J27" s="3">
        <f t="shared" si="7"/>
        <v>2.8857803086707341E-2</v>
      </c>
      <c r="K27" s="2">
        <v>42192</v>
      </c>
      <c r="L27" s="3">
        <v>4484</v>
      </c>
      <c r="M27" s="3">
        <v>5</v>
      </c>
      <c r="N27" s="3">
        <f t="shared" si="0"/>
        <v>22420</v>
      </c>
      <c r="O27" s="3">
        <v>100</v>
      </c>
      <c r="P27" s="3">
        <f t="shared" si="6"/>
        <v>0.112</v>
      </c>
      <c r="Q27" s="3">
        <v>284.08707430866667</v>
      </c>
      <c r="R27" s="3">
        <v>6.3243784916211219</v>
      </c>
      <c r="S27" s="3">
        <v>-496.16630067133332</v>
      </c>
      <c r="T27" s="3">
        <v>52.419369302113637</v>
      </c>
      <c r="U27" s="3">
        <v>3.2733333333333334</v>
      </c>
      <c r="V27" s="3">
        <v>2.5166114784235735E-2</v>
      </c>
      <c r="W27" s="3">
        <f t="shared" si="5"/>
        <v>-0.26700386132683362</v>
      </c>
      <c r="Z27" s="3" t="b">
        <v>0</v>
      </c>
    </row>
    <row r="28" spans="1:26" s="3" customFormat="1" x14ac:dyDescent="0.25">
      <c r="A28" s="2">
        <v>42201</v>
      </c>
      <c r="B28" s="3">
        <v>137025</v>
      </c>
      <c r="C28" s="3" t="s">
        <v>10</v>
      </c>
      <c r="D28" s="3" t="s">
        <v>28</v>
      </c>
      <c r="E28" s="3">
        <v>2528</v>
      </c>
      <c r="F28" s="3">
        <v>72.7</v>
      </c>
      <c r="G28" s="3">
        <v>1.58E-3</v>
      </c>
      <c r="H28" s="3">
        <v>4.0000000000000003E-5</v>
      </c>
      <c r="I28" s="3">
        <v>12.064959999999999</v>
      </c>
      <c r="J28" s="3">
        <f t="shared" si="7"/>
        <v>2.8857803086707341E-2</v>
      </c>
      <c r="K28" s="2">
        <v>42192</v>
      </c>
      <c r="L28" s="3">
        <v>4484</v>
      </c>
      <c r="M28" s="3">
        <v>7.5</v>
      </c>
      <c r="N28" s="3">
        <f t="shared" si="0"/>
        <v>33630</v>
      </c>
      <c r="O28" s="3">
        <v>100</v>
      </c>
      <c r="P28" s="3">
        <f t="shared" si="6"/>
        <v>0.112</v>
      </c>
      <c r="Q28" s="3">
        <v>395.70543051433333</v>
      </c>
      <c r="R28" s="3">
        <v>7.4599440470799987</v>
      </c>
      <c r="S28" s="3">
        <v>-492.07150207733338</v>
      </c>
      <c r="T28" s="3">
        <v>61.831460986332807</v>
      </c>
      <c r="U28" s="3">
        <v>3.25</v>
      </c>
      <c r="V28" s="3">
        <v>2.6457513110645762E-2</v>
      </c>
      <c r="W28" s="3">
        <f t="shared" si="5"/>
        <v>-0.17653354117463407</v>
      </c>
      <c r="Z28" s="3" t="b">
        <v>0</v>
      </c>
    </row>
    <row r="29" spans="1:26" s="3" customFormat="1" x14ac:dyDescent="0.25">
      <c r="A29" s="2">
        <v>42201</v>
      </c>
      <c r="B29" s="3">
        <v>182700</v>
      </c>
      <c r="C29" s="3" t="s">
        <v>10</v>
      </c>
      <c r="D29" s="3" t="s">
        <v>28</v>
      </c>
      <c r="E29" s="3">
        <v>2528</v>
      </c>
      <c r="F29" s="3">
        <v>72.7</v>
      </c>
      <c r="G29" s="3">
        <v>1.58E-3</v>
      </c>
      <c r="H29" s="3">
        <v>4.0000000000000003E-5</v>
      </c>
      <c r="I29" s="3">
        <v>12.064959999999999</v>
      </c>
      <c r="J29" s="3">
        <f t="shared" si="7"/>
        <v>2.8857803086707341E-2</v>
      </c>
      <c r="K29" s="2">
        <v>42192</v>
      </c>
      <c r="L29" s="3">
        <v>4484</v>
      </c>
      <c r="M29" s="3">
        <v>10</v>
      </c>
      <c r="N29" s="3">
        <f t="shared" si="0"/>
        <v>44840</v>
      </c>
      <c r="O29" s="3">
        <v>100</v>
      </c>
      <c r="P29" s="3">
        <f t="shared" si="6"/>
        <v>0.112</v>
      </c>
      <c r="Q29" s="3">
        <v>552.98512731400001</v>
      </c>
      <c r="R29" s="3">
        <v>22.084336040291294</v>
      </c>
      <c r="S29" s="3">
        <v>-866.43897905200004</v>
      </c>
      <c r="T29" s="3">
        <v>183.04517483840678</v>
      </c>
      <c r="U29" s="3">
        <v>3.2350000000000003</v>
      </c>
      <c r="V29" s="3">
        <v>2.1213203435596288E-2</v>
      </c>
      <c r="W29" s="3">
        <f t="shared" si="5"/>
        <v>-0.23313005407455881</v>
      </c>
      <c r="Z29" s="3" t="b">
        <v>0</v>
      </c>
    </row>
    <row r="30" spans="1:26" s="3" customFormat="1" x14ac:dyDescent="0.25">
      <c r="A30" s="2">
        <v>42206</v>
      </c>
      <c r="B30" s="3">
        <v>9135</v>
      </c>
      <c r="C30" s="3" t="s">
        <v>10</v>
      </c>
      <c r="D30" s="3" t="s">
        <v>28</v>
      </c>
      <c r="E30" s="3">
        <v>2528</v>
      </c>
      <c r="F30" s="3">
        <v>72.7</v>
      </c>
      <c r="G30" s="3">
        <v>1.58E-3</v>
      </c>
      <c r="H30" s="3">
        <v>4.0000000000000003E-5</v>
      </c>
      <c r="I30" s="3">
        <v>12.064959999999999</v>
      </c>
      <c r="J30" s="3">
        <f t="shared" si="7"/>
        <v>2.8857803086707341E-2</v>
      </c>
      <c r="K30" s="2">
        <v>42192</v>
      </c>
      <c r="L30" s="3">
        <v>4484</v>
      </c>
      <c r="M30" s="3">
        <v>0.5</v>
      </c>
      <c r="N30" s="3">
        <f t="shared" si="0"/>
        <v>2242</v>
      </c>
      <c r="O30" s="3">
        <v>100</v>
      </c>
      <c r="P30" s="3">
        <f t="shared" ref="P30:P36" si="8">0.08+0.04+0.03+0.02+0.03</f>
        <v>0.19999999999999998</v>
      </c>
      <c r="Q30" s="3">
        <v>35.360739940066672</v>
      </c>
      <c r="R30" s="3">
        <v>1.3428717307150329</v>
      </c>
      <c r="S30" s="3">
        <v>-107.23828569563334</v>
      </c>
      <c r="T30" s="3">
        <v>11.130340992384797</v>
      </c>
      <c r="U30" s="3">
        <v>6.7666666666666666</v>
      </c>
      <c r="V30" s="3">
        <v>9.4516312525052007E-2</v>
      </c>
      <c r="W30" s="3">
        <f t="shared" si="5"/>
        <v>-0.57708547162639978</v>
      </c>
      <c r="Z30" s="3" t="b">
        <v>0</v>
      </c>
    </row>
    <row r="31" spans="1:26" s="3" customFormat="1" x14ac:dyDescent="0.25">
      <c r="A31" s="2">
        <v>42206</v>
      </c>
      <c r="B31" s="3">
        <v>18270</v>
      </c>
      <c r="C31" s="3" t="s">
        <v>10</v>
      </c>
      <c r="D31" s="3" t="s">
        <v>28</v>
      </c>
      <c r="E31" s="3">
        <v>2528</v>
      </c>
      <c r="F31" s="3">
        <v>72.7</v>
      </c>
      <c r="G31" s="3">
        <v>1.58E-3</v>
      </c>
      <c r="H31" s="3">
        <v>4.0000000000000003E-5</v>
      </c>
      <c r="I31" s="3">
        <v>12.064959999999999</v>
      </c>
      <c r="J31" s="3">
        <f t="shared" si="7"/>
        <v>2.8857803086707341E-2</v>
      </c>
      <c r="K31" s="2">
        <v>42192</v>
      </c>
      <c r="L31" s="3">
        <v>4484</v>
      </c>
      <c r="M31" s="3">
        <v>1</v>
      </c>
      <c r="N31" s="3">
        <f t="shared" si="0"/>
        <v>4484</v>
      </c>
      <c r="O31" s="3">
        <v>100</v>
      </c>
      <c r="P31" s="3">
        <f t="shared" si="8"/>
        <v>0.19999999999999998</v>
      </c>
      <c r="Q31" s="3">
        <v>42.714321288299999</v>
      </c>
      <c r="R31" s="3">
        <v>2.0280807196031034</v>
      </c>
      <c r="S31" s="3">
        <v>17.659691690706669</v>
      </c>
      <c r="T31" s="3">
        <v>16.809669496894994</v>
      </c>
      <c r="U31" s="3">
        <v>6.7966666666666669</v>
      </c>
      <c r="V31" s="3">
        <v>0.12503332889007385</v>
      </c>
      <c r="W31" s="3">
        <f t="shared" si="5"/>
        <v>4.7516385785171346E-2</v>
      </c>
      <c r="Z31" s="3" t="b">
        <v>0</v>
      </c>
    </row>
    <row r="32" spans="1:26" s="3" customFormat="1" x14ac:dyDescent="0.25">
      <c r="A32" s="2">
        <v>42206</v>
      </c>
      <c r="B32" s="3">
        <v>18270</v>
      </c>
      <c r="C32" s="3" t="s">
        <v>10</v>
      </c>
      <c r="D32" s="3" t="s">
        <v>28</v>
      </c>
      <c r="E32" s="3">
        <v>2528</v>
      </c>
      <c r="F32" s="3">
        <v>72.7</v>
      </c>
      <c r="G32" s="3">
        <v>0</v>
      </c>
      <c r="H32" s="3">
        <v>0</v>
      </c>
      <c r="I32" s="3">
        <v>0</v>
      </c>
      <c r="J32" s="3">
        <v>0</v>
      </c>
      <c r="K32" s="2">
        <v>42192</v>
      </c>
      <c r="L32" s="3">
        <v>4484</v>
      </c>
      <c r="M32" s="3">
        <v>1</v>
      </c>
      <c r="N32" s="3">
        <f t="shared" si="0"/>
        <v>4484</v>
      </c>
      <c r="O32" s="3">
        <v>100</v>
      </c>
      <c r="P32" s="3">
        <f t="shared" si="8"/>
        <v>0.19999999999999998</v>
      </c>
      <c r="Q32" s="3">
        <v>41.970583003799995</v>
      </c>
      <c r="R32" s="3">
        <v>4.0218523372696389</v>
      </c>
      <c r="S32" s="3">
        <v>23.824138023666666</v>
      </c>
      <c r="T32" s="3">
        <v>33.334969314328546</v>
      </c>
      <c r="U32" s="3">
        <v>6.73</v>
      </c>
      <c r="V32" s="3">
        <v>5.567764362830039E-2</v>
      </c>
      <c r="W32" s="3">
        <f t="shared" si="5"/>
        <v>0</v>
      </c>
      <c r="Z32" s="3" t="b">
        <v>0</v>
      </c>
    </row>
    <row r="33" spans="1:26" s="3" customFormat="1" x14ac:dyDescent="0.25">
      <c r="A33" s="2">
        <v>42206</v>
      </c>
      <c r="B33" s="3">
        <v>45675</v>
      </c>
      <c r="C33" s="3" t="s">
        <v>10</v>
      </c>
      <c r="D33" s="3" t="s">
        <v>28</v>
      </c>
      <c r="E33" s="3">
        <v>2528</v>
      </c>
      <c r="F33" s="3">
        <v>72.7</v>
      </c>
      <c r="G33" s="3">
        <v>1.58E-3</v>
      </c>
      <c r="H33" s="3">
        <v>4.0000000000000003E-5</v>
      </c>
      <c r="I33" s="3">
        <v>12.064959999999999</v>
      </c>
      <c r="J33" s="3">
        <f>SQRT((0.004/1.58)^2+(72.7/2529)^2)</f>
        <v>2.8857803086707341E-2</v>
      </c>
      <c r="K33" s="2">
        <v>42192</v>
      </c>
      <c r="L33" s="3">
        <v>4484</v>
      </c>
      <c r="M33" s="3">
        <v>2.5</v>
      </c>
      <c r="N33" s="3">
        <f t="shared" si="0"/>
        <v>11210</v>
      </c>
      <c r="O33" s="3">
        <v>100</v>
      </c>
      <c r="P33" s="3">
        <f t="shared" si="8"/>
        <v>0.19999999999999998</v>
      </c>
      <c r="Q33" s="3">
        <v>78.261868731800007</v>
      </c>
      <c r="R33" s="3">
        <v>2.1597459036780258</v>
      </c>
      <c r="S33" s="3">
        <v>280.56876957300005</v>
      </c>
      <c r="T33" s="3">
        <v>17.900971340156442</v>
      </c>
      <c r="U33" s="3">
        <v>6.9066666666666663</v>
      </c>
      <c r="V33" s="3">
        <v>5.1316014394469103E-2</v>
      </c>
      <c r="W33" s="3">
        <f t="shared" si="5"/>
        <v>0.30196708136908673</v>
      </c>
      <c r="Z33" s="3" t="b">
        <v>0</v>
      </c>
    </row>
    <row r="34" spans="1:26" s="3" customFormat="1" x14ac:dyDescent="0.25">
      <c r="A34" s="2">
        <v>42206</v>
      </c>
      <c r="B34" s="3">
        <v>91350</v>
      </c>
      <c r="C34" s="3" t="s">
        <v>10</v>
      </c>
      <c r="D34" s="3" t="s">
        <v>28</v>
      </c>
      <c r="E34" s="3">
        <v>2528</v>
      </c>
      <c r="F34" s="3">
        <v>72.7</v>
      </c>
      <c r="G34" s="3">
        <v>1.58E-3</v>
      </c>
      <c r="H34" s="3">
        <v>4.0000000000000003E-5</v>
      </c>
      <c r="I34" s="3">
        <v>12.064959999999999</v>
      </c>
      <c r="J34" s="3">
        <f>SQRT((0.004/1.58)^2+(72.7/2529)^2)</f>
        <v>2.8857803086707341E-2</v>
      </c>
      <c r="K34" s="2">
        <v>42192</v>
      </c>
      <c r="L34" s="3">
        <v>4484</v>
      </c>
      <c r="M34" s="3">
        <v>5</v>
      </c>
      <c r="N34" s="3">
        <f t="shared" si="0"/>
        <v>22420</v>
      </c>
      <c r="O34" s="3">
        <v>100</v>
      </c>
      <c r="P34" s="3">
        <f t="shared" si="8"/>
        <v>0.19999999999999998</v>
      </c>
      <c r="Q34" s="3">
        <v>124.81883782333334</v>
      </c>
      <c r="R34" s="3">
        <v>11.104681984209012</v>
      </c>
      <c r="S34" s="3">
        <v>823.92238751733339</v>
      </c>
      <c r="T34" s="3">
        <v>92.040732019283652</v>
      </c>
      <c r="U34" s="3">
        <v>6.7033333333333331</v>
      </c>
      <c r="V34" s="3">
        <v>0.11930353445448834</v>
      </c>
      <c r="W34" s="3">
        <f t="shared" si="5"/>
        <v>0.44338049279666036</v>
      </c>
      <c r="Z34" s="3" t="b">
        <v>0</v>
      </c>
    </row>
    <row r="35" spans="1:26" s="3" customFormat="1" x14ac:dyDescent="0.25">
      <c r="A35" s="2">
        <v>42206</v>
      </c>
      <c r="B35" s="3">
        <v>137025</v>
      </c>
      <c r="C35" s="3" t="s">
        <v>10</v>
      </c>
      <c r="D35" s="3" t="s">
        <v>28</v>
      </c>
      <c r="E35" s="3">
        <v>2528</v>
      </c>
      <c r="F35" s="3">
        <v>72.7</v>
      </c>
      <c r="G35" s="3">
        <v>1.58E-3</v>
      </c>
      <c r="H35" s="3">
        <v>4.0000000000000003E-5</v>
      </c>
      <c r="I35" s="3">
        <v>12.064959999999999</v>
      </c>
      <c r="J35" s="3">
        <f>SQRT((0.004/1.58)^2+(72.7/2529)^2)</f>
        <v>2.8857803086707341E-2</v>
      </c>
      <c r="K35" s="2">
        <v>42192</v>
      </c>
      <c r="L35" s="3">
        <v>4484</v>
      </c>
      <c r="M35" s="3">
        <v>7.5</v>
      </c>
      <c r="N35" s="3">
        <f t="shared" si="0"/>
        <v>33630</v>
      </c>
      <c r="O35" s="3">
        <v>100</v>
      </c>
      <c r="P35" s="3">
        <f t="shared" si="8"/>
        <v>0.19999999999999998</v>
      </c>
      <c r="Q35" s="3">
        <v>220.74710960899998</v>
      </c>
      <c r="R35" s="3">
        <v>9.5052472530180356</v>
      </c>
      <c r="S35" s="3">
        <v>958.06385088599984</v>
      </c>
      <c r="T35" s="3">
        <v>78.783878403700371</v>
      </c>
      <c r="U35" s="3">
        <v>7</v>
      </c>
      <c r="V35" s="3">
        <v>0.20000000000000018</v>
      </c>
      <c r="W35" s="3">
        <f t="shared" si="5"/>
        <v>0.34371103295823824</v>
      </c>
      <c r="Z35" s="3" t="b">
        <v>0</v>
      </c>
    </row>
    <row r="36" spans="1:26" s="3" customFormat="1" x14ac:dyDescent="0.25">
      <c r="A36" s="2">
        <v>42206</v>
      </c>
      <c r="B36" s="3">
        <v>182700</v>
      </c>
      <c r="C36" s="3" t="s">
        <v>10</v>
      </c>
      <c r="D36" s="3" t="s">
        <v>28</v>
      </c>
      <c r="E36" s="3">
        <v>2528</v>
      </c>
      <c r="F36" s="3">
        <v>72.7</v>
      </c>
      <c r="G36" s="3">
        <v>1.58E-3</v>
      </c>
      <c r="H36" s="3">
        <v>4.0000000000000003E-5</v>
      </c>
      <c r="I36" s="3">
        <v>12.064959999999999</v>
      </c>
      <c r="J36" s="3">
        <f>SQRT((0.004/1.58)^2+(72.7/2529)^2)</f>
        <v>2.8857803086707341E-2</v>
      </c>
      <c r="K36" s="2">
        <v>42192</v>
      </c>
      <c r="L36" s="3">
        <v>4484</v>
      </c>
      <c r="M36" s="3">
        <v>10</v>
      </c>
      <c r="N36" s="3">
        <f t="shared" si="0"/>
        <v>44840</v>
      </c>
      <c r="O36" s="3">
        <v>100</v>
      </c>
      <c r="P36" s="3">
        <f t="shared" si="8"/>
        <v>0.19999999999999998</v>
      </c>
      <c r="Q36" s="3">
        <v>303.54822608633327</v>
      </c>
      <c r="R36" s="3">
        <v>7.3381383553620623</v>
      </c>
      <c r="S36" s="3">
        <v>1201.0092390833333</v>
      </c>
      <c r="T36" s="3">
        <v>60.82187916991866</v>
      </c>
      <c r="U36" s="3">
        <v>6.78</v>
      </c>
      <c r="V36" s="3">
        <v>7.0710678118654502E-2</v>
      </c>
      <c r="W36" s="3">
        <f t="shared" si="5"/>
        <v>0.32315183829551408</v>
      </c>
      <c r="Z36" s="3" t="b">
        <v>0</v>
      </c>
    </row>
    <row r="37" spans="1:26" s="3" customFormat="1" x14ac:dyDescent="0.25">
      <c r="A37" s="2">
        <v>42212</v>
      </c>
      <c r="B37" s="3">
        <v>100000</v>
      </c>
      <c r="C37" s="3" t="s">
        <v>11</v>
      </c>
      <c r="D37" s="3" t="s">
        <v>28</v>
      </c>
      <c r="E37" s="3">
        <v>2245</v>
      </c>
      <c r="F37" s="3">
        <v>23.7</v>
      </c>
      <c r="G37" s="3">
        <v>1.7799999999999999E-3</v>
      </c>
      <c r="H37" s="3">
        <v>4.0000000000000003E-5</v>
      </c>
      <c r="I37" s="6">
        <v>12.07058</v>
      </c>
      <c r="J37" s="3">
        <f>SQRT((0.004/1.78)^2+(23.7/2244.9)^2)</f>
        <v>1.0793779330335889E-2</v>
      </c>
      <c r="K37" s="2" t="s">
        <v>35</v>
      </c>
      <c r="L37" s="3">
        <v>13112</v>
      </c>
      <c r="M37" s="3">
        <v>4</v>
      </c>
      <c r="N37" s="3">
        <f t="shared" si="0"/>
        <v>52448</v>
      </c>
      <c r="O37" s="3">
        <v>100</v>
      </c>
      <c r="P37" s="3">
        <f>0.08+0.06+0.004+0.008+0.012</f>
        <v>0.16400000000000003</v>
      </c>
      <c r="Q37" s="3">
        <v>389.2108145086666</v>
      </c>
      <c r="R37" s="3">
        <v>7.6634638976666469</v>
      </c>
      <c r="S37" s="3">
        <v>1120.7249137333333</v>
      </c>
      <c r="T37" s="3">
        <v>63.48876264670043</v>
      </c>
      <c r="U37" s="3">
        <v>3.1533333333333338</v>
      </c>
      <c r="V37" s="3">
        <v>2.0816659994661382E-2</v>
      </c>
      <c r="W37" s="3">
        <f t="shared" si="5"/>
        <v>0.25792784718599943</v>
      </c>
      <c r="Z37" s="3" t="b">
        <v>0</v>
      </c>
    </row>
    <row r="38" spans="1:26" s="3" customFormat="1" x14ac:dyDescent="0.25">
      <c r="A38" s="2">
        <v>42212</v>
      </c>
      <c r="B38" s="3">
        <v>100000</v>
      </c>
      <c r="C38" s="3" t="s">
        <v>11</v>
      </c>
      <c r="D38" s="3" t="s">
        <v>28</v>
      </c>
      <c r="E38" s="3">
        <v>2245</v>
      </c>
      <c r="F38" s="3">
        <v>23.7</v>
      </c>
      <c r="G38" s="3">
        <v>1.7799999999999999E-3</v>
      </c>
      <c r="H38" s="3">
        <v>4.0000000000000003E-5</v>
      </c>
      <c r="I38" s="6">
        <v>12.07058</v>
      </c>
      <c r="J38" s="3">
        <f>SQRT((0.004/1.78)^2+(23.7/2244.9)^2)</f>
        <v>1.0793779330335889E-2</v>
      </c>
      <c r="K38" s="2" t="s">
        <v>35</v>
      </c>
      <c r="L38" s="3">
        <v>13112</v>
      </c>
      <c r="M38" s="3">
        <v>4</v>
      </c>
      <c r="N38" s="3">
        <f t="shared" si="0"/>
        <v>52448</v>
      </c>
      <c r="O38" s="3">
        <v>100</v>
      </c>
      <c r="P38" s="3">
        <f>0.08+0.06+0.004+0.008+0.002</f>
        <v>0.15400000000000003</v>
      </c>
      <c r="Q38" s="3">
        <v>274.91255626866672</v>
      </c>
      <c r="R38" s="3">
        <v>23.688428596469183</v>
      </c>
      <c r="S38" s="3">
        <v>2067.640705936667</v>
      </c>
      <c r="T38" s="3">
        <v>196.24924715047311</v>
      </c>
      <c r="U38" s="3">
        <v>5.03</v>
      </c>
      <c r="V38" s="3">
        <v>5.5677643628299987E-2</v>
      </c>
      <c r="W38" s="3">
        <f t="shared" si="5"/>
        <v>0.4758546093705196</v>
      </c>
      <c r="Z38" s="3" t="b">
        <v>0</v>
      </c>
    </row>
    <row r="39" spans="1:26" s="3" customFormat="1" x14ac:dyDescent="0.25">
      <c r="A39" s="2">
        <v>42212</v>
      </c>
      <c r="B39" s="3">
        <v>100000</v>
      </c>
      <c r="C39" s="3" t="s">
        <v>11</v>
      </c>
      <c r="D39" s="3" t="s">
        <v>28</v>
      </c>
      <c r="E39" s="3">
        <v>2245</v>
      </c>
      <c r="F39" s="3">
        <v>23.7</v>
      </c>
      <c r="G39" s="3">
        <v>1.7799999999999999E-3</v>
      </c>
      <c r="H39" s="3">
        <v>4.0000000000000003E-5</v>
      </c>
      <c r="I39" s="6">
        <v>12.07058</v>
      </c>
      <c r="J39" s="3">
        <f>SQRT((0.004/1.78)^2+(23.7/2244.9)^2)</f>
        <v>1.0793779330335889E-2</v>
      </c>
      <c r="K39" s="2" t="s">
        <v>35</v>
      </c>
      <c r="L39" s="3">
        <v>13112</v>
      </c>
      <c r="M39" s="3">
        <v>4</v>
      </c>
      <c r="N39" s="3">
        <f t="shared" si="0"/>
        <v>52448</v>
      </c>
      <c r="O39" s="3">
        <v>100</v>
      </c>
      <c r="P39" s="3">
        <f>0.08+0.06+0.004+0.008+0.018</f>
        <v>0.17</v>
      </c>
      <c r="Q39" s="3">
        <v>215.94249045666666</v>
      </c>
      <c r="R39" s="3">
        <v>5.6608024843154281</v>
      </c>
      <c r="S39" s="3">
        <v>2556.1843411933332</v>
      </c>
      <c r="T39" s="3">
        <v>46.897506149186597</v>
      </c>
      <c r="U39" s="3">
        <v>6.7333333333333334</v>
      </c>
      <c r="V39" s="3">
        <v>4.725815626252608E-2</v>
      </c>
      <c r="W39" s="3">
        <f t="shared" si="5"/>
        <v>0.5882898792160125</v>
      </c>
      <c r="Z39" s="3" t="b">
        <v>0</v>
      </c>
    </row>
    <row r="40" spans="1:26" s="3" customFormat="1" x14ac:dyDescent="0.25">
      <c r="A40" s="2">
        <v>42212</v>
      </c>
      <c r="B40" s="3">
        <v>100000</v>
      </c>
      <c r="C40" s="3" t="s">
        <v>11</v>
      </c>
      <c r="D40" s="3" t="s">
        <v>28</v>
      </c>
      <c r="E40" s="3">
        <v>2245</v>
      </c>
      <c r="F40" s="3">
        <v>23.7</v>
      </c>
      <c r="G40" s="3">
        <v>1.7799999999999999E-3</v>
      </c>
      <c r="H40" s="3">
        <v>4.0000000000000003E-5</v>
      </c>
      <c r="I40" s="6">
        <v>12.07058</v>
      </c>
      <c r="J40" s="3">
        <f>SQRT((0.004/1.78)^2+(23.7/2244.9)^2)</f>
        <v>1.0793779330335889E-2</v>
      </c>
      <c r="K40" s="2" t="s">
        <v>35</v>
      </c>
      <c r="L40" s="3">
        <v>13112</v>
      </c>
      <c r="M40" s="3">
        <v>4</v>
      </c>
      <c r="N40" s="3">
        <f t="shared" si="0"/>
        <v>52448</v>
      </c>
      <c r="O40" s="3">
        <v>100</v>
      </c>
      <c r="P40" s="3">
        <f>0.08+0.06+0.004+0.008+0.04</f>
        <v>0.19200000000000003</v>
      </c>
      <c r="Q40" s="3">
        <v>61.154142323533335</v>
      </c>
      <c r="R40" s="3">
        <v>0.72926790120550411</v>
      </c>
      <c r="S40" s="3">
        <v>3838.5444886999999</v>
      </c>
      <c r="T40" s="3">
        <v>6.0416956726688502</v>
      </c>
      <c r="U40" s="3">
        <v>9.2333333333333325</v>
      </c>
      <c r="V40" s="3">
        <v>9.0737717258774386E-2</v>
      </c>
      <c r="W40" s="3">
        <f t="shared" si="5"/>
        <v>0.88341706708382473</v>
      </c>
      <c r="Z40" s="3" t="b">
        <v>0</v>
      </c>
    </row>
    <row r="41" spans="1:26" s="3" customFormat="1" x14ac:dyDescent="0.25">
      <c r="A41" s="2">
        <v>42212</v>
      </c>
      <c r="B41" s="3">
        <v>100000</v>
      </c>
      <c r="C41" s="3" t="s">
        <v>11</v>
      </c>
      <c r="D41" s="3" t="s">
        <v>28</v>
      </c>
      <c r="E41" s="3">
        <v>2245</v>
      </c>
      <c r="F41" s="3">
        <v>23.7</v>
      </c>
      <c r="G41" s="3">
        <v>1.7799999999999999E-3</v>
      </c>
      <c r="H41" s="3">
        <v>4.0000000000000003E-5</v>
      </c>
      <c r="I41" s="6">
        <v>12.07058</v>
      </c>
      <c r="J41" s="3">
        <f>SQRT((0.004/1.78)^2+(23.7/2244.9)^2)</f>
        <v>1.0793779330335889E-2</v>
      </c>
      <c r="K41" s="2" t="s">
        <v>35</v>
      </c>
      <c r="L41" s="3">
        <v>13112</v>
      </c>
      <c r="M41" s="3">
        <v>4</v>
      </c>
      <c r="N41" s="3">
        <f t="shared" si="0"/>
        <v>52448</v>
      </c>
      <c r="O41" s="3">
        <v>100</v>
      </c>
      <c r="P41" s="3">
        <f>0.08+0.06+0.004+0.008+0.22</f>
        <v>0.372</v>
      </c>
      <c r="Q41" s="3">
        <v>62.04627909203333</v>
      </c>
      <c r="R41" s="3">
        <v>0.98759313691193085</v>
      </c>
      <c r="S41" s="3">
        <v>3831.15348898</v>
      </c>
      <c r="T41" s="3">
        <v>8.1818179250939664</v>
      </c>
      <c r="U41" s="3">
        <v>10.873333333333335</v>
      </c>
      <c r="V41" s="3">
        <v>6.4291005073286014E-2</v>
      </c>
      <c r="W41" s="3">
        <f t="shared" si="5"/>
        <v>0.88171607460746271</v>
      </c>
      <c r="Z41" s="3" t="b">
        <v>0</v>
      </c>
    </row>
    <row r="42" spans="1:26" s="3" customFormat="1" x14ac:dyDescent="0.25">
      <c r="A42" s="2">
        <v>42226</v>
      </c>
      <c r="B42" s="3" t="s">
        <v>30</v>
      </c>
      <c r="C42" s="3" t="s">
        <v>29</v>
      </c>
      <c r="D42" s="3" t="s">
        <v>29</v>
      </c>
      <c r="E42" s="3" t="s">
        <v>19</v>
      </c>
      <c r="F42" s="3" t="s">
        <v>19</v>
      </c>
      <c r="G42" s="3" t="s">
        <v>19</v>
      </c>
      <c r="H42" s="3" t="s">
        <v>19</v>
      </c>
      <c r="I42" s="6">
        <v>20</v>
      </c>
      <c r="J42" s="3">
        <v>1</v>
      </c>
      <c r="K42" s="2" t="s">
        <v>36</v>
      </c>
      <c r="L42" s="3">
        <v>9942.1</v>
      </c>
      <c r="M42" s="3">
        <v>0.4</v>
      </c>
      <c r="N42" s="3">
        <v>3976.8419335899998</v>
      </c>
      <c r="O42" s="3">
        <v>100</v>
      </c>
      <c r="P42" s="3">
        <f>0.08+0.06+0.01+0.004+0.008+0.01</f>
        <v>0.17200000000000004</v>
      </c>
      <c r="Q42" s="3">
        <v>29.749531380400001</v>
      </c>
      <c r="R42" s="3">
        <v>2.5229724982000001</v>
      </c>
      <c r="S42" s="3">
        <v>50.094439777300003</v>
      </c>
      <c r="T42" s="3">
        <v>12.771212334499999</v>
      </c>
      <c r="U42" s="3">
        <v>7.34</v>
      </c>
      <c r="V42" s="3">
        <v>0.05</v>
      </c>
      <c r="W42" s="3">
        <f t="shared" si="5"/>
        <v>0.25193075618209665</v>
      </c>
      <c r="Y42" s="3" t="s">
        <v>37</v>
      </c>
      <c r="Z42" s="3" t="b">
        <v>0</v>
      </c>
    </row>
    <row r="43" spans="1:26" s="3" customFormat="1" x14ac:dyDescent="0.25">
      <c r="A43" s="2">
        <v>42226</v>
      </c>
      <c r="B43" s="3" t="s">
        <v>31</v>
      </c>
      <c r="C43" s="3" t="s">
        <v>29</v>
      </c>
      <c r="D43" s="3" t="s">
        <v>29</v>
      </c>
      <c r="E43" s="3" t="s">
        <v>19</v>
      </c>
      <c r="F43" s="3" t="s">
        <v>19</v>
      </c>
      <c r="G43" s="3" t="s">
        <v>19</v>
      </c>
      <c r="H43" s="3" t="s">
        <v>19</v>
      </c>
      <c r="I43" s="6">
        <v>20</v>
      </c>
      <c r="J43" s="3">
        <v>1</v>
      </c>
      <c r="K43" s="2" t="s">
        <v>36</v>
      </c>
      <c r="L43" s="3">
        <v>9942.1</v>
      </c>
      <c r="M43" s="3">
        <v>1</v>
      </c>
      <c r="N43" s="3">
        <v>9942.1048339699992</v>
      </c>
      <c r="O43" s="3">
        <v>100</v>
      </c>
      <c r="P43" s="3">
        <f t="shared" ref="P43:P51" si="9">0.08+0.06+0.01+0.004+0.008+0.01</f>
        <v>0.17200000000000004</v>
      </c>
      <c r="Q43" s="3">
        <v>30.744674155449999</v>
      </c>
      <c r="R43" s="3">
        <v>0.42220332274148981</v>
      </c>
      <c r="S43" s="3">
        <v>343.38187092099997</v>
      </c>
      <c r="T43" s="3">
        <v>2.1110166140609858</v>
      </c>
      <c r="U43" s="3">
        <v>7.2850000000000001</v>
      </c>
      <c r="V43" s="3">
        <v>0.54447222151364127</v>
      </c>
      <c r="W43" s="3">
        <f t="shared" si="5"/>
        <v>0.69076292526656768</v>
      </c>
      <c r="Y43" s="3" t="s">
        <v>38</v>
      </c>
      <c r="Z43" s="3" t="b">
        <v>0</v>
      </c>
    </row>
    <row r="44" spans="1:26" s="3" customFormat="1" x14ac:dyDescent="0.25">
      <c r="A44" s="2">
        <v>42226</v>
      </c>
      <c r="B44" s="3" t="s">
        <v>32</v>
      </c>
      <c r="C44" s="3" t="s">
        <v>29</v>
      </c>
      <c r="D44" s="3" t="s">
        <v>29</v>
      </c>
      <c r="E44" s="3" t="s">
        <v>19</v>
      </c>
      <c r="F44" s="3" t="s">
        <v>19</v>
      </c>
      <c r="G44" s="3" t="s">
        <v>19</v>
      </c>
      <c r="H44" s="3" t="s">
        <v>19</v>
      </c>
      <c r="I44" s="6">
        <v>20</v>
      </c>
      <c r="J44" s="3">
        <v>1</v>
      </c>
      <c r="K44" s="2" t="s">
        <v>36</v>
      </c>
      <c r="L44" s="3">
        <v>9942.1</v>
      </c>
      <c r="M44" s="3">
        <v>2</v>
      </c>
      <c r="N44" s="3">
        <v>19884.209667899999</v>
      </c>
      <c r="O44" s="3">
        <v>100</v>
      </c>
      <c r="P44" s="3">
        <f t="shared" si="9"/>
        <v>0.17200000000000004</v>
      </c>
      <c r="Q44" s="3">
        <v>33.358233338333335</v>
      </c>
      <c r="R44" s="3">
        <v>1.4151489291351109</v>
      </c>
      <c r="S44" s="3">
        <v>827.41931670466658</v>
      </c>
      <c r="T44" s="3">
        <v>7.0757446456116995</v>
      </c>
      <c r="U44" s="3">
        <v>7.2766666666666664</v>
      </c>
      <c r="V44" s="3">
        <v>0.13650396819628866</v>
      </c>
      <c r="W44" s="3">
        <f t="shared" si="5"/>
        <v>0.83223756993511078</v>
      </c>
      <c r="Z44" s="3" t="b">
        <v>0</v>
      </c>
    </row>
    <row r="45" spans="1:26" s="3" customFormat="1" x14ac:dyDescent="0.25">
      <c r="A45" s="2">
        <v>42226</v>
      </c>
      <c r="B45" s="3" t="s">
        <v>33</v>
      </c>
      <c r="C45" s="3" t="s">
        <v>29</v>
      </c>
      <c r="D45" s="3" t="s">
        <v>29</v>
      </c>
      <c r="E45" s="3" t="s">
        <v>19</v>
      </c>
      <c r="F45" s="3" t="s">
        <v>19</v>
      </c>
      <c r="G45" s="3" t="s">
        <v>19</v>
      </c>
      <c r="H45" s="3" t="s">
        <v>19</v>
      </c>
      <c r="I45" s="6">
        <v>20</v>
      </c>
      <c r="J45" s="3">
        <v>1</v>
      </c>
      <c r="K45" s="2" t="s">
        <v>36</v>
      </c>
      <c r="L45" s="3">
        <v>9942.1</v>
      </c>
      <c r="M45" s="3">
        <v>3</v>
      </c>
      <c r="N45" s="3">
        <v>29826.3145019</v>
      </c>
      <c r="O45" s="3">
        <v>100</v>
      </c>
      <c r="P45" s="3">
        <f t="shared" si="9"/>
        <v>0.17200000000000004</v>
      </c>
      <c r="Q45" s="3">
        <v>41.249540958033336</v>
      </c>
      <c r="R45" s="3">
        <v>8.3118899005881559</v>
      </c>
      <c r="S45" s="3">
        <v>1285.0680203066668</v>
      </c>
      <c r="T45" s="3">
        <v>41.55944950126711</v>
      </c>
      <c r="U45" s="3">
        <v>7.3033333333333337</v>
      </c>
      <c r="V45" s="3">
        <v>0.14047538337136997</v>
      </c>
      <c r="W45" s="3">
        <f t="shared" si="5"/>
        <v>0.86170084488635379</v>
      </c>
      <c r="Z45" s="3" t="b">
        <v>0</v>
      </c>
    </row>
    <row r="46" spans="1:26" s="3" customFormat="1" x14ac:dyDescent="0.25">
      <c r="A46" s="2">
        <v>42226</v>
      </c>
      <c r="B46" s="3" t="s">
        <v>34</v>
      </c>
      <c r="C46" s="3" t="s">
        <v>29</v>
      </c>
      <c r="D46" s="3" t="s">
        <v>29</v>
      </c>
      <c r="E46" s="3" t="s">
        <v>19</v>
      </c>
      <c r="F46" s="3" t="s">
        <v>19</v>
      </c>
      <c r="G46" s="3" t="s">
        <v>19</v>
      </c>
      <c r="H46" s="3" t="s">
        <v>19</v>
      </c>
      <c r="I46" s="6">
        <v>20</v>
      </c>
      <c r="J46" s="3">
        <v>1</v>
      </c>
      <c r="K46" s="2" t="s">
        <v>36</v>
      </c>
      <c r="L46" s="3">
        <v>9942.1</v>
      </c>
      <c r="M46" s="3">
        <v>4</v>
      </c>
      <c r="N46" s="3">
        <v>39768.419335899998</v>
      </c>
      <c r="O46" s="3">
        <v>100</v>
      </c>
      <c r="P46" s="3">
        <f t="shared" si="9"/>
        <v>0.17200000000000004</v>
      </c>
      <c r="Q46" s="3">
        <v>63.444716570666664</v>
      </c>
      <c r="R46" s="3">
        <v>25.340894866209855</v>
      </c>
      <c r="S46" s="3">
        <v>1671.19738394</v>
      </c>
      <c r="T46" s="3">
        <v>126.70447433350428</v>
      </c>
      <c r="U46" s="3">
        <v>6.8966666666666656</v>
      </c>
      <c r="V46" s="3">
        <v>0.1700980109623077</v>
      </c>
      <c r="W46" s="3">
        <f t="shared" si="5"/>
        <v>0.84046457558415766</v>
      </c>
      <c r="Z46" s="3" t="b">
        <v>0</v>
      </c>
    </row>
    <row r="47" spans="1:26" s="3" customFormat="1" x14ac:dyDescent="0.25">
      <c r="A47" s="2">
        <v>42229</v>
      </c>
      <c r="B47" s="3" t="s">
        <v>40</v>
      </c>
      <c r="C47" s="3" t="s">
        <v>29</v>
      </c>
      <c r="D47" s="3" t="s">
        <v>29</v>
      </c>
      <c r="E47" s="3" t="s">
        <v>19</v>
      </c>
      <c r="F47" s="3" t="s">
        <v>19</v>
      </c>
      <c r="G47" s="3" t="s">
        <v>19</v>
      </c>
      <c r="H47" s="3" t="s">
        <v>19</v>
      </c>
      <c r="I47" s="6">
        <v>20</v>
      </c>
      <c r="J47" s="3">
        <v>1</v>
      </c>
      <c r="K47" s="2" t="s">
        <v>36</v>
      </c>
      <c r="L47" s="3">
        <v>9942.1</v>
      </c>
      <c r="M47" s="3">
        <v>4</v>
      </c>
      <c r="N47" s="3">
        <v>39768.419335899998</v>
      </c>
      <c r="O47" s="3">
        <v>100</v>
      </c>
      <c r="P47" s="3">
        <f t="shared" si="9"/>
        <v>0.17200000000000004</v>
      </c>
      <c r="Q47" s="3">
        <v>524.036947747</v>
      </c>
      <c r="R47" s="3">
        <v>73.922616850438516</v>
      </c>
      <c r="S47" s="3">
        <v>-631.76377194300005</v>
      </c>
      <c r="T47" s="3">
        <v>369.61308425077817</v>
      </c>
      <c r="U47" s="3">
        <v>3.19</v>
      </c>
      <c r="V47" s="3">
        <v>0.12727922061357835</v>
      </c>
      <c r="W47" s="3">
        <f t="shared" si="5"/>
        <v>-0.31772133893825155</v>
      </c>
      <c r="Y47" s="3" t="s">
        <v>45</v>
      </c>
      <c r="Z47" s="3" t="b">
        <v>0</v>
      </c>
    </row>
    <row r="48" spans="1:26" s="3" customFormat="1" x14ac:dyDescent="0.25">
      <c r="A48" s="2">
        <v>42229</v>
      </c>
      <c r="B48" s="3" t="s">
        <v>41</v>
      </c>
      <c r="C48" s="3" t="s">
        <v>29</v>
      </c>
      <c r="D48" s="3" t="s">
        <v>29</v>
      </c>
      <c r="E48" s="3" t="s">
        <v>19</v>
      </c>
      <c r="F48" s="3" t="s">
        <v>19</v>
      </c>
      <c r="G48" s="3" t="s">
        <v>19</v>
      </c>
      <c r="H48" s="3" t="s">
        <v>19</v>
      </c>
      <c r="I48" s="6">
        <v>20</v>
      </c>
      <c r="J48" s="3">
        <v>1</v>
      </c>
      <c r="K48" s="2" t="s">
        <v>36</v>
      </c>
      <c r="L48" s="3">
        <v>9942.1</v>
      </c>
      <c r="M48" s="3">
        <v>4</v>
      </c>
      <c r="N48" s="3">
        <v>39768.419335899998</v>
      </c>
      <c r="O48" s="3">
        <v>100</v>
      </c>
      <c r="P48" s="3">
        <f t="shared" si="9"/>
        <v>0.17200000000000004</v>
      </c>
      <c r="Q48" s="3">
        <v>261.72254983800002</v>
      </c>
      <c r="R48" s="3">
        <v>1.111061375598277</v>
      </c>
      <c r="S48" s="3">
        <v>679.8082176035</v>
      </c>
      <c r="T48" s="3">
        <v>5.5553068772843668</v>
      </c>
      <c r="U48" s="3">
        <v>5.0449999999999999</v>
      </c>
      <c r="V48" s="3">
        <v>6.3639610306789177E-2</v>
      </c>
      <c r="W48" s="3">
        <f t="shared" si="5"/>
        <v>0.34188344870414261</v>
      </c>
      <c r="Y48" s="3" t="s">
        <v>45</v>
      </c>
      <c r="Z48" s="3" t="b">
        <v>0</v>
      </c>
    </row>
    <row r="49" spans="1:26" s="3" customFormat="1" x14ac:dyDescent="0.25">
      <c r="A49" s="2">
        <v>42229</v>
      </c>
      <c r="B49" s="3" t="s">
        <v>42</v>
      </c>
      <c r="C49" s="3" t="s">
        <v>29</v>
      </c>
      <c r="D49" s="3" t="s">
        <v>29</v>
      </c>
      <c r="E49" s="3" t="s">
        <v>19</v>
      </c>
      <c r="F49" s="3" t="s">
        <v>19</v>
      </c>
      <c r="G49" s="3" t="s">
        <v>19</v>
      </c>
      <c r="H49" s="3" t="s">
        <v>19</v>
      </c>
      <c r="I49" s="6">
        <v>20</v>
      </c>
      <c r="J49" s="3">
        <v>1</v>
      </c>
      <c r="K49" s="2" t="s">
        <v>36</v>
      </c>
      <c r="L49" s="3">
        <v>9942.1</v>
      </c>
      <c r="M49" s="3">
        <v>4</v>
      </c>
      <c r="N49" s="3">
        <v>39768.419335899998</v>
      </c>
      <c r="O49" s="3">
        <v>100</v>
      </c>
      <c r="P49" s="3">
        <f t="shared" si="9"/>
        <v>0.17200000000000004</v>
      </c>
      <c r="Q49" s="3">
        <v>229.5453938455</v>
      </c>
      <c r="R49" s="3">
        <v>9.4329110778819025</v>
      </c>
      <c r="S49" s="3">
        <v>840.69399756500002</v>
      </c>
      <c r="T49" s="3">
        <v>47.164555390116575</v>
      </c>
      <c r="U49" s="3">
        <v>5.4550000000000001</v>
      </c>
      <c r="V49" s="3">
        <v>3.5355339059327882E-2</v>
      </c>
      <c r="W49" s="3">
        <f t="shared" si="5"/>
        <v>0.42279477615852007</v>
      </c>
      <c r="Y49" s="3" t="s">
        <v>45</v>
      </c>
      <c r="Z49" s="3" t="b">
        <v>0</v>
      </c>
    </row>
    <row r="50" spans="1:26" s="3" customFormat="1" x14ac:dyDescent="0.25">
      <c r="A50" s="2">
        <v>42229</v>
      </c>
      <c r="B50" s="3" t="s">
        <v>43</v>
      </c>
      <c r="C50" s="3" t="s">
        <v>29</v>
      </c>
      <c r="D50" s="3" t="s">
        <v>29</v>
      </c>
      <c r="E50" s="3" t="s">
        <v>19</v>
      </c>
      <c r="F50" s="3" t="s">
        <v>19</v>
      </c>
      <c r="G50" s="3" t="s">
        <v>19</v>
      </c>
      <c r="H50" s="3" t="s">
        <v>19</v>
      </c>
      <c r="I50" s="6">
        <v>20</v>
      </c>
      <c r="J50" s="3">
        <v>1</v>
      </c>
      <c r="K50" s="2" t="s">
        <v>36</v>
      </c>
      <c r="L50" s="3">
        <v>9942.1</v>
      </c>
      <c r="M50" s="3">
        <v>4</v>
      </c>
      <c r="N50" s="3">
        <v>39768.419335899998</v>
      </c>
      <c r="O50" s="3">
        <v>100</v>
      </c>
      <c r="P50" s="3">
        <f t="shared" si="9"/>
        <v>0.17200000000000004</v>
      </c>
      <c r="Q50" s="3">
        <v>245.60647447550002</v>
      </c>
      <c r="R50" s="3">
        <v>15.99928380762535</v>
      </c>
      <c r="S50" s="3">
        <v>760.38859441499994</v>
      </c>
      <c r="T50" s="3">
        <v>79.996419036005364</v>
      </c>
      <c r="U50" s="3">
        <v>9.33</v>
      </c>
      <c r="V50" s="3">
        <v>0.141421356237309</v>
      </c>
      <c r="W50" s="3">
        <f t="shared" si="5"/>
        <v>0.38240825615544499</v>
      </c>
      <c r="Y50" s="3" t="s">
        <v>45</v>
      </c>
      <c r="Z50" s="3" t="b">
        <v>0</v>
      </c>
    </row>
    <row r="51" spans="1:26" s="3" customFormat="1" x14ac:dyDescent="0.25">
      <c r="A51" s="2">
        <v>42229</v>
      </c>
      <c r="B51" s="3" t="s">
        <v>44</v>
      </c>
      <c r="C51" s="3" t="s">
        <v>29</v>
      </c>
      <c r="D51" s="3" t="s">
        <v>29</v>
      </c>
      <c r="E51" s="3" t="s">
        <v>19</v>
      </c>
      <c r="F51" s="3" t="s">
        <v>19</v>
      </c>
      <c r="G51" s="3" t="s">
        <v>19</v>
      </c>
      <c r="H51" s="3" t="s">
        <v>19</v>
      </c>
      <c r="I51" s="6">
        <v>20</v>
      </c>
      <c r="J51" s="3">
        <v>1</v>
      </c>
      <c r="K51" s="2" t="s">
        <v>36</v>
      </c>
      <c r="L51" s="3">
        <v>9942.1</v>
      </c>
      <c r="M51" s="3">
        <v>4</v>
      </c>
      <c r="N51" s="3">
        <v>39768.419335899998</v>
      </c>
      <c r="O51" s="3">
        <v>100</v>
      </c>
      <c r="P51" s="3">
        <f t="shared" si="9"/>
        <v>0.17200000000000004</v>
      </c>
      <c r="Q51" s="3">
        <v>293.8813742525</v>
      </c>
      <c r="R51" s="3">
        <v>33.161478521182204</v>
      </c>
      <c r="S51" s="3">
        <v>519.01409552999996</v>
      </c>
      <c r="T51" s="3">
        <v>165.80739260379016</v>
      </c>
      <c r="U51" s="3">
        <v>11.120000000000001</v>
      </c>
      <c r="V51" s="3">
        <v>4.2426406871193201E-2</v>
      </c>
      <c r="W51" s="3">
        <f t="shared" si="5"/>
        <v>0.26101821706626005</v>
      </c>
      <c r="Y51" s="3" t="s">
        <v>45</v>
      </c>
      <c r="Z51" s="3" t="b">
        <v>0</v>
      </c>
    </row>
    <row r="52" spans="1:26" s="3" customFormat="1" x14ac:dyDescent="0.25">
      <c r="A52" s="2">
        <v>42233</v>
      </c>
      <c r="B52" s="3" t="s">
        <v>42</v>
      </c>
      <c r="C52" s="3" t="s">
        <v>29</v>
      </c>
      <c r="D52" s="3" t="s">
        <v>29</v>
      </c>
      <c r="E52" s="3" t="s">
        <v>19</v>
      </c>
      <c r="F52" s="3" t="s">
        <v>19</v>
      </c>
      <c r="G52" s="3" t="s">
        <v>19</v>
      </c>
      <c r="H52" s="3" t="s">
        <v>19</v>
      </c>
      <c r="I52" s="6">
        <v>20</v>
      </c>
      <c r="J52" s="3">
        <v>1</v>
      </c>
      <c r="K52" s="2" t="s">
        <v>36</v>
      </c>
      <c r="L52" s="3">
        <v>9942.1</v>
      </c>
      <c r="M52" s="3">
        <v>4</v>
      </c>
      <c r="N52" s="3">
        <v>39768.419335899998</v>
      </c>
      <c r="O52" s="3">
        <v>100</v>
      </c>
      <c r="P52" s="3">
        <v>0.17199999999999999</v>
      </c>
      <c r="Q52" s="3">
        <v>187.50584919333335</v>
      </c>
      <c r="R52" s="3">
        <v>14.411664809888011</v>
      </c>
      <c r="S52" s="3">
        <v>1050.8917208243331</v>
      </c>
      <c r="T52" s="3">
        <v>72.058324047826432</v>
      </c>
      <c r="U52" s="3">
        <v>7.1533333333333333</v>
      </c>
      <c r="V52" s="3">
        <v>1.5275252316519529E-2</v>
      </c>
      <c r="W52" s="3">
        <f t="shared" si="5"/>
        <v>0.52850565266277283</v>
      </c>
      <c r="Z52" s="3" t="b">
        <v>0</v>
      </c>
    </row>
    <row r="53" spans="1:26" x14ac:dyDescent="0.25">
      <c r="A53" s="1">
        <v>42283</v>
      </c>
      <c r="B53" t="s">
        <v>47</v>
      </c>
      <c r="C53" t="s">
        <v>29</v>
      </c>
      <c r="D53" t="s">
        <v>29</v>
      </c>
      <c r="E53" t="s">
        <v>19</v>
      </c>
      <c r="F53" t="s">
        <v>19</v>
      </c>
      <c r="G53" t="s">
        <v>19</v>
      </c>
      <c r="H53" t="s">
        <v>19</v>
      </c>
      <c r="I53">
        <v>4.9000000000000009E-2</v>
      </c>
      <c r="J53">
        <v>3.6120169803956714E-2</v>
      </c>
      <c r="K53" s="1" t="s">
        <v>52</v>
      </c>
      <c r="L53">
        <v>631.52245819489701</v>
      </c>
      <c r="M53" s="7">
        <v>1</v>
      </c>
      <c r="N53">
        <v>631.52245819489701</v>
      </c>
      <c r="O53" s="7">
        <v>100</v>
      </c>
      <c r="P53" s="7">
        <v>0.17199999999999999</v>
      </c>
      <c r="Q53">
        <v>6.1911027046909997</v>
      </c>
      <c r="R53">
        <v>2.94806627500835E-2</v>
      </c>
      <c r="S53">
        <v>394.50006559251301</v>
      </c>
      <c r="T53">
        <v>210.89136741589201</v>
      </c>
      <c r="U53">
        <v>3.07</v>
      </c>
      <c r="V53">
        <v>6.3770421565696594E-2</v>
      </c>
      <c r="W53" s="7">
        <f t="shared" si="5"/>
        <v>3.0609367827212672E-2</v>
      </c>
      <c r="X53" s="7">
        <v>3</v>
      </c>
      <c r="Y53" s="7" t="s">
        <v>56</v>
      </c>
      <c r="Z53" s="7" t="b">
        <v>1</v>
      </c>
    </row>
    <row r="54" spans="1:26" x14ac:dyDescent="0.25">
      <c r="A54" s="1">
        <v>42283</v>
      </c>
      <c r="B54" t="s">
        <v>48</v>
      </c>
      <c r="C54" t="s">
        <v>29</v>
      </c>
      <c r="D54" t="s">
        <v>29</v>
      </c>
      <c r="E54" t="s">
        <v>19</v>
      </c>
      <c r="F54" t="s">
        <v>19</v>
      </c>
      <c r="G54" t="s">
        <v>19</v>
      </c>
      <c r="H54" t="s">
        <v>19</v>
      </c>
      <c r="I54">
        <v>0.11</v>
      </c>
      <c r="J54">
        <v>1.6329931618554519E-2</v>
      </c>
      <c r="K54" s="1" t="s">
        <v>52</v>
      </c>
      <c r="L54">
        <v>631.52245819489701</v>
      </c>
      <c r="M54" s="7">
        <v>1</v>
      </c>
      <c r="N54">
        <v>631.52245819489701</v>
      </c>
      <c r="O54" s="7">
        <v>100</v>
      </c>
      <c r="P54" s="7">
        <v>0.17199999999999999</v>
      </c>
      <c r="Q54">
        <v>3.69243905585081</v>
      </c>
      <c r="R54">
        <v>0.24308483947166701</v>
      </c>
      <c r="S54">
        <v>2456.7945528494402</v>
      </c>
      <c r="T54">
        <v>548.192162496533</v>
      </c>
      <c r="U54">
        <v>9.09</v>
      </c>
      <c r="V54">
        <v>0.24097026095903801</v>
      </c>
      <c r="W54" s="7">
        <f t="shared" si="5"/>
        <v>0.42792999252298353</v>
      </c>
      <c r="X54" s="7">
        <v>3</v>
      </c>
      <c r="Z54" s="7" t="b">
        <v>1</v>
      </c>
    </row>
    <row r="55" spans="1:26" x14ac:dyDescent="0.25">
      <c r="A55" s="1">
        <v>42283</v>
      </c>
      <c r="B55" t="s">
        <v>49</v>
      </c>
      <c r="C55" t="s">
        <v>29</v>
      </c>
      <c r="D55" t="s">
        <v>29</v>
      </c>
      <c r="E55" t="s">
        <v>19</v>
      </c>
      <c r="F55" t="s">
        <v>19</v>
      </c>
      <c r="G55" t="s">
        <v>19</v>
      </c>
      <c r="H55" t="s">
        <v>19</v>
      </c>
      <c r="I55">
        <v>0.11333333333333334</v>
      </c>
      <c r="J55">
        <v>1.2472191289246464E-2</v>
      </c>
      <c r="K55" s="1" t="s">
        <v>52</v>
      </c>
      <c r="L55">
        <v>631.52245819489701</v>
      </c>
      <c r="M55" s="7">
        <v>1</v>
      </c>
      <c r="N55">
        <v>631.52245819489701</v>
      </c>
      <c r="O55" s="7">
        <v>100</v>
      </c>
      <c r="P55" s="7">
        <v>0.17199999999999999</v>
      </c>
      <c r="Q55">
        <v>3.8664762136283901</v>
      </c>
      <c r="R55">
        <v>5.0695460104195698E-2</v>
      </c>
      <c r="S55">
        <v>2181.82364925306</v>
      </c>
      <c r="T55">
        <v>194.64637112733701</v>
      </c>
      <c r="U55">
        <v>7.44</v>
      </c>
      <c r="V55">
        <v>0.14514360704718199</v>
      </c>
      <c r="W55" s="7">
        <f t="shared" si="5"/>
        <v>0.39155115341762664</v>
      </c>
      <c r="X55" s="7">
        <v>3</v>
      </c>
      <c r="Z55" s="7" t="b">
        <v>1</v>
      </c>
    </row>
    <row r="56" spans="1:26" x14ac:dyDescent="0.25">
      <c r="A56" s="1">
        <v>42283</v>
      </c>
      <c r="B56" t="s">
        <v>50</v>
      </c>
      <c r="C56" t="s">
        <v>29</v>
      </c>
      <c r="D56" t="s">
        <v>29</v>
      </c>
      <c r="E56" t="s">
        <v>19</v>
      </c>
      <c r="F56" t="s">
        <v>19</v>
      </c>
      <c r="G56" t="s">
        <v>19</v>
      </c>
      <c r="H56" t="s">
        <v>19</v>
      </c>
      <c r="I56">
        <v>0.10666666666666667</v>
      </c>
      <c r="J56">
        <v>4.714045207910314E-3</v>
      </c>
      <c r="K56" s="1" t="s">
        <v>52</v>
      </c>
      <c r="L56">
        <v>631.52245819489701</v>
      </c>
      <c r="M56" s="7">
        <v>1</v>
      </c>
      <c r="N56">
        <v>631.52245819489701</v>
      </c>
      <c r="O56" s="7">
        <v>100</v>
      </c>
      <c r="P56" s="7">
        <v>0.17199999999999999</v>
      </c>
      <c r="Q56">
        <v>4.1643806662523604</v>
      </c>
      <c r="R56">
        <v>0.25754872668856699</v>
      </c>
      <c r="S56">
        <v>2010.5677851908799</v>
      </c>
      <c r="T56">
        <v>167.425269864423</v>
      </c>
      <c r="U56">
        <v>11.296666666666701</v>
      </c>
      <c r="V56">
        <v>0.106249183003395</v>
      </c>
      <c r="W56" s="7">
        <f t="shared" si="5"/>
        <v>0.33959293287319359</v>
      </c>
      <c r="X56" s="7">
        <v>3</v>
      </c>
      <c r="Z56" s="7" t="b">
        <v>1</v>
      </c>
    </row>
    <row r="57" spans="1:26" x14ac:dyDescent="0.25">
      <c r="A57" s="1">
        <v>42283</v>
      </c>
      <c r="B57" t="s">
        <v>51</v>
      </c>
      <c r="C57" t="s">
        <v>29</v>
      </c>
      <c r="D57" t="s">
        <v>29</v>
      </c>
      <c r="E57" t="s">
        <v>19</v>
      </c>
      <c r="F57" t="s">
        <v>19</v>
      </c>
      <c r="G57" t="s">
        <v>19</v>
      </c>
      <c r="H57" t="s">
        <v>19</v>
      </c>
      <c r="I57">
        <v>0.10999999999999999</v>
      </c>
      <c r="J57">
        <v>8.164965809277256E-3</v>
      </c>
      <c r="K57" s="1" t="s">
        <v>52</v>
      </c>
      <c r="L57">
        <v>631.52245819489701</v>
      </c>
      <c r="M57" s="7">
        <v>1</v>
      </c>
      <c r="N57">
        <v>631.52245819489701</v>
      </c>
      <c r="O57" s="7">
        <v>100</v>
      </c>
      <c r="P57" s="7">
        <v>0.17199999999999999</v>
      </c>
      <c r="Q57">
        <v>3.8854873879766898</v>
      </c>
      <c r="R57">
        <v>0.12984989424622601</v>
      </c>
      <c r="S57">
        <v>2228.20938687034</v>
      </c>
      <c r="T57">
        <v>275.62897025708702</v>
      </c>
      <c r="U57">
        <v>6.2866666666666697</v>
      </c>
      <c r="V57">
        <v>9.4633797110522805E-2</v>
      </c>
      <c r="W57" s="7">
        <f t="shared" si="5"/>
        <v>0.38811451497120791</v>
      </c>
      <c r="X57" s="7">
        <v>3</v>
      </c>
      <c r="Z57" s="7" t="b">
        <v>1</v>
      </c>
    </row>
    <row r="58" spans="1:26" x14ac:dyDescent="0.25">
      <c r="X58" s="7"/>
    </row>
  </sheetData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Tiffany Wang</dc:creator>
  <cp:lastModifiedBy>Michael Chen</cp:lastModifiedBy>
  <dcterms:created xsi:type="dcterms:W3CDTF">2015-07-23T20:05:11Z</dcterms:created>
  <dcterms:modified xsi:type="dcterms:W3CDTF">2015-11-23T15:19:00Z</dcterms:modified>
</cp:coreProperties>
</file>